
<file path=[Content_Types].xml><?xml version="1.0" encoding="utf-8"?>
<Types xmlns="http://schemas.openxmlformats.org/package/2006/content-types">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filterPrivacy="1"/>
  <xr:revisionPtr revIDLastSave="0" documentId="8_{6FFB60BF-8403-D643-9E2B-7D8814190AFA}" xr6:coauthVersionLast="47" xr6:coauthVersionMax="47" xr10:uidLastSave="{00000000-0000-0000-0000-000000000000}"/>
  <bookViews>
    <workbookView xWindow="-23140" yWindow="-18620" windowWidth="34220" windowHeight="20020" activeTab="7" xr2:uid="{00000000-000D-0000-FFFF-FFFF00000000}"/>
  </bookViews>
  <sheets>
    <sheet name="Intro" sheetId="1" r:id="rId1"/>
    <sheet name="Cover" sheetId="2" r:id="rId2"/>
    <sheet name="Summary" sheetId="3" r:id="rId3"/>
    <sheet name="Model Output" sheetId="4" r:id="rId4"/>
    <sheet name="Football Field" sheetId="5" r:id="rId5"/>
    <sheet name="Integrity" sheetId="6" r:id="rId6"/>
    <sheet name="Revenue Build" sheetId="7" r:id="rId7"/>
    <sheet name="Model" sheetId="8" r:id="rId8"/>
    <sheet name="Segment Analysis" sheetId="9" r:id="rId9"/>
    <sheet name="Drivers" sheetId="10"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 name="Mapping Audit" sheetId="20" r:id="rId20"/>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9" l="1"/>
  <c r="C43" i="19"/>
  <c r="C42" i="19"/>
  <c r="J40" i="19"/>
  <c r="I40" i="19"/>
  <c r="C37" i="19"/>
  <c r="C36" i="19"/>
  <c r="C35" i="19"/>
  <c r="C34" i="19"/>
  <c r="C33" i="19"/>
  <c r="C32" i="19"/>
  <c r="N24" i="19"/>
  <c r="J24" i="19"/>
  <c r="I24" i="19"/>
  <c r="C21" i="19"/>
  <c r="C19" i="19"/>
  <c r="C18" i="19"/>
  <c r="C17" i="19"/>
  <c r="C16" i="19"/>
  <c r="C15" i="19"/>
  <c r="C14" i="19"/>
  <c r="C13" i="19"/>
  <c r="C12" i="19"/>
  <c r="N10" i="19"/>
  <c r="N40" i="19" s="1"/>
  <c r="M10" i="19"/>
  <c r="H7" i="19"/>
  <c r="K10" i="19" s="1"/>
  <c r="O10" i="19" s="1"/>
  <c r="C2" i="19"/>
  <c r="C1" i="19"/>
  <c r="C44" i="18"/>
  <c r="C43" i="18"/>
  <c r="C42" i="18"/>
  <c r="I40" i="18"/>
  <c r="H40" i="18"/>
  <c r="C37" i="18"/>
  <c r="C36" i="18"/>
  <c r="C35" i="18"/>
  <c r="C34" i="18"/>
  <c r="C33" i="18"/>
  <c r="C32" i="18"/>
  <c r="I24" i="18"/>
  <c r="H24" i="18"/>
  <c r="C21" i="18"/>
  <c r="C19" i="18"/>
  <c r="C18" i="18"/>
  <c r="C17" i="18"/>
  <c r="C16" i="18"/>
  <c r="C15" i="18"/>
  <c r="C14" i="18"/>
  <c r="C13" i="18"/>
  <c r="C12" i="18"/>
  <c r="L10" i="18"/>
  <c r="L24" i="18" s="1"/>
  <c r="H7" i="18"/>
  <c r="J10" i="18" s="1"/>
  <c r="C2" i="18"/>
  <c r="C1" i="18"/>
  <c r="B157" i="17"/>
  <c r="P157" i="17" s="1"/>
  <c r="P156" i="17"/>
  <c r="B143" i="17"/>
  <c r="B144" i="17" s="1"/>
  <c r="P142" i="17"/>
  <c r="P141" i="17"/>
  <c r="B141" i="17"/>
  <c r="B142" i="17" s="1"/>
  <c r="P140" i="17"/>
  <c r="D129" i="17"/>
  <c r="B129" i="17"/>
  <c r="P129" i="17" s="1"/>
  <c r="D128" i="17"/>
  <c r="B128" i="17"/>
  <c r="D127" i="17"/>
  <c r="D126" i="17"/>
  <c r="B126" i="17"/>
  <c r="B127" i="17" s="1"/>
  <c r="P125" i="17"/>
  <c r="D125" i="17"/>
  <c r="P124" i="17"/>
  <c r="D124" i="17"/>
  <c r="D113" i="17"/>
  <c r="D112" i="17"/>
  <c r="D111" i="17"/>
  <c r="D110" i="17"/>
  <c r="B110" i="17"/>
  <c r="D109" i="17"/>
  <c r="D108" i="17"/>
  <c r="P108" i="17" s="1"/>
  <c r="C106" i="17"/>
  <c r="C122" i="17" s="1"/>
  <c r="C138" i="17" s="1"/>
  <c r="C154" i="17" s="1"/>
  <c r="D97" i="17"/>
  <c r="D96" i="17"/>
  <c r="D95" i="17"/>
  <c r="B95" i="17"/>
  <c r="B96" i="17" s="1"/>
  <c r="D94" i="17"/>
  <c r="B94" i="17"/>
  <c r="D93" i="17"/>
  <c r="D92" i="17"/>
  <c r="P92" i="17" s="1"/>
  <c r="C88" i="17"/>
  <c r="D81" i="17"/>
  <c r="D80" i="17"/>
  <c r="B80" i="17"/>
  <c r="D79" i="17"/>
  <c r="B79" i="17"/>
  <c r="D78" i="17"/>
  <c r="B78" i="17"/>
  <c r="D77" i="17"/>
  <c r="P76" i="17"/>
  <c r="D76" i="17"/>
  <c r="D65" i="17"/>
  <c r="D64" i="17"/>
  <c r="D63" i="17"/>
  <c r="D62" i="17"/>
  <c r="B62" i="17"/>
  <c r="D61" i="17"/>
  <c r="D60" i="17"/>
  <c r="P60" i="17" s="1"/>
  <c r="D49" i="17"/>
  <c r="D48" i="17"/>
  <c r="D47" i="17"/>
  <c r="D46" i="17"/>
  <c r="B46" i="17"/>
  <c r="B47" i="17" s="1"/>
  <c r="D45" i="17"/>
  <c r="P44" i="17"/>
  <c r="D44" i="17"/>
  <c r="O42" i="17"/>
  <c r="O58" i="17" s="1"/>
  <c r="O74" i="17" s="1"/>
  <c r="O90" i="17" s="1"/>
  <c r="O106" i="17" s="1"/>
  <c r="O122" i="17" s="1"/>
  <c r="O138" i="17" s="1"/>
  <c r="O154" i="17" s="1"/>
  <c r="D33" i="17"/>
  <c r="D32" i="17"/>
  <c r="D31" i="17"/>
  <c r="B31" i="17"/>
  <c r="D30" i="17"/>
  <c r="B30" i="17"/>
  <c r="D29" i="17"/>
  <c r="D28" i="17"/>
  <c r="P28" i="17" s="1"/>
  <c r="O26" i="17"/>
  <c r="C26" i="17"/>
  <c r="C42" i="17" s="1"/>
  <c r="C58" i="17" s="1"/>
  <c r="C74" i="17" s="1"/>
  <c r="C90" i="17" s="1"/>
  <c r="C24" i="17"/>
  <c r="D17" i="17"/>
  <c r="D16" i="17"/>
  <c r="D15" i="17"/>
  <c r="B15" i="17"/>
  <c r="D14" i="17"/>
  <c r="B14" i="17"/>
  <c r="D13" i="17"/>
  <c r="P12" i="17"/>
  <c r="D12" i="17"/>
  <c r="C13" i="17"/>
  <c r="C29" i="17" s="1"/>
  <c r="C45" i="17" s="1"/>
  <c r="C61" i="17" s="1"/>
  <c r="C77" i="17" s="1"/>
  <c r="C93" i="17" s="1"/>
  <c r="C109" i="17" s="1"/>
  <c r="C125" i="17" s="1"/>
  <c r="C141" i="17" s="1"/>
  <c r="C12" i="17" a="1"/>
  <c r="E6" i="17"/>
  <c r="L5" i="17"/>
  <c r="K5" i="17"/>
  <c r="J5" i="17"/>
  <c r="I5" i="17"/>
  <c r="H5" i="17"/>
  <c r="G5" i="17"/>
  <c r="E5" i="17"/>
  <c r="C8" i="17" s="1"/>
  <c r="E4" i="17"/>
  <c r="C2" i="17"/>
  <c r="C1" i="17"/>
  <c r="P184" i="16"/>
  <c r="O184" i="16"/>
  <c r="P183" i="16"/>
  <c r="O183" i="16"/>
  <c r="H181" i="16"/>
  <c r="G181" i="16"/>
  <c r="F181" i="16"/>
  <c r="C180" i="16"/>
  <c r="C177" i="16"/>
  <c r="M159" i="16"/>
  <c r="N159" i="16" s="1"/>
  <c r="O159" i="16" s="1"/>
  <c r="P159" i="16" s="1"/>
  <c r="Q159" i="16" s="1"/>
  <c r="I159" i="16"/>
  <c r="H159" i="16"/>
  <c r="F159" i="16"/>
  <c r="G159" i="16" s="1"/>
  <c r="E159" i="16"/>
  <c r="E135" i="16"/>
  <c r="F135" i="16" s="1"/>
  <c r="G135" i="16" s="1"/>
  <c r="H135" i="16" s="1"/>
  <c r="I135" i="16" s="1"/>
  <c r="J135" i="16" s="1"/>
  <c r="K135" i="16" s="1"/>
  <c r="L135" i="16" s="1"/>
  <c r="M135" i="16" s="1"/>
  <c r="N135" i="16" s="1"/>
  <c r="O135" i="16" s="1"/>
  <c r="P135" i="16" s="1"/>
  <c r="Q135" i="16" s="1"/>
  <c r="C133" i="16"/>
  <c r="I116" i="16"/>
  <c r="H116" i="16"/>
  <c r="G116" i="16"/>
  <c r="F116" i="16"/>
  <c r="E116" i="16"/>
  <c r="D116" i="16"/>
  <c r="G92" i="16"/>
  <c r="F92" i="16"/>
  <c r="E92" i="16"/>
  <c r="C91" i="16"/>
  <c r="R88" i="16"/>
  <c r="C88" i="16"/>
  <c r="K71" i="16"/>
  <c r="C71" i="16"/>
  <c r="K68" i="16"/>
  <c r="C68" i="16"/>
  <c r="K28" i="16"/>
  <c r="K31" i="16" s="1"/>
  <c r="C25" i="16"/>
  <c r="C2" i="16"/>
  <c r="C1" i="16"/>
  <c r="H92" i="15"/>
  <c r="G92" i="15"/>
  <c r="F92" i="15"/>
  <c r="E92" i="15"/>
  <c r="H91" i="15"/>
  <c r="G91" i="15"/>
  <c r="F91" i="15"/>
  <c r="E91" i="15"/>
  <c r="H90" i="15"/>
  <c r="G90" i="15"/>
  <c r="F90" i="15"/>
  <c r="E90" i="15"/>
  <c r="H89" i="15"/>
  <c r="G89" i="15"/>
  <c r="F89" i="15"/>
  <c r="E89" i="15"/>
  <c r="H88" i="15"/>
  <c r="G88" i="15"/>
  <c r="F88" i="15"/>
  <c r="F84" i="15" s="1"/>
  <c r="E88" i="15"/>
  <c r="H87" i="15"/>
  <c r="H83" i="15" s="1"/>
  <c r="G87" i="15"/>
  <c r="F87" i="15"/>
  <c r="E87" i="15"/>
  <c r="BR86" i="15"/>
  <c r="BL86" i="15"/>
  <c r="BK86" i="15"/>
  <c r="BD86" i="15"/>
  <c r="CD86" i="15" s="1"/>
  <c r="AX86" i="15"/>
  <c r="BX86" i="15" s="1"/>
  <c r="AR86" i="15"/>
  <c r="AL86" i="15"/>
  <c r="AK86" i="15"/>
  <c r="H86" i="15"/>
  <c r="G86" i="15"/>
  <c r="F86" i="15"/>
  <c r="F82" i="15" s="1"/>
  <c r="E86" i="15"/>
  <c r="E82" i="15" s="1"/>
  <c r="H85" i="15"/>
  <c r="G85" i="15"/>
  <c r="F85" i="15"/>
  <c r="E85" i="15"/>
  <c r="CD84" i="15"/>
  <c r="BX84" i="15"/>
  <c r="BR84" i="15"/>
  <c r="BD84" i="15"/>
  <c r="AX84" i="15"/>
  <c r="AR84" i="15"/>
  <c r="AL84" i="15"/>
  <c r="BL84" i="15" s="1"/>
  <c r="H84" i="15"/>
  <c r="G84" i="15"/>
  <c r="E84" i="15"/>
  <c r="CD83" i="15"/>
  <c r="BD83" i="15"/>
  <c r="AX83" i="15"/>
  <c r="BX83" i="15" s="1"/>
  <c r="AR83" i="15"/>
  <c r="BR83" i="15" s="1"/>
  <c r="AL83" i="15"/>
  <c r="BL83" i="15" s="1"/>
  <c r="G83" i="15"/>
  <c r="F83" i="15"/>
  <c r="E83" i="15"/>
  <c r="CD82" i="15"/>
  <c r="BL82" i="15"/>
  <c r="BD82" i="15"/>
  <c r="AX82" i="15"/>
  <c r="BX82" i="15" s="1"/>
  <c r="AR82" i="15"/>
  <c r="BR82" i="15" s="1"/>
  <c r="AL82" i="15"/>
  <c r="H82" i="15"/>
  <c r="G82" i="15"/>
  <c r="BL81" i="15"/>
  <c r="BD81" i="15"/>
  <c r="CD81" i="15" s="1"/>
  <c r="AX81" i="15"/>
  <c r="BX81" i="15" s="1"/>
  <c r="AR81" i="15"/>
  <c r="BR81" i="15" s="1"/>
  <c r="AL81" i="15"/>
  <c r="H81" i="15"/>
  <c r="G81" i="15"/>
  <c r="F81" i="15"/>
  <c r="E81" i="15"/>
  <c r="BX80" i="15"/>
  <c r="BR80" i="15"/>
  <c r="BL80" i="15"/>
  <c r="BD80" i="15"/>
  <c r="CD80" i="15" s="1"/>
  <c r="AX80" i="15"/>
  <c r="AR80" i="15"/>
  <c r="AL80" i="15"/>
  <c r="BX79" i="15"/>
  <c r="BD79" i="15"/>
  <c r="CD79" i="15" s="1"/>
  <c r="AX79" i="15"/>
  <c r="AR79" i="15"/>
  <c r="BR79" i="15" s="1"/>
  <c r="AL79" i="15"/>
  <c r="BL79" i="15" s="1"/>
  <c r="CD78" i="15"/>
  <c r="BX78" i="15"/>
  <c r="BR78" i="15"/>
  <c r="BL78" i="15"/>
  <c r="BD78" i="15"/>
  <c r="AX78" i="15"/>
  <c r="AR78" i="15"/>
  <c r="AL78" i="15"/>
  <c r="H78" i="15"/>
  <c r="G78" i="15"/>
  <c r="F78" i="15"/>
  <c r="E78" i="15"/>
  <c r="CD77" i="15"/>
  <c r="BX77" i="15"/>
  <c r="BR77" i="15"/>
  <c r="BD77" i="15"/>
  <c r="AX77" i="15"/>
  <c r="AR77" i="15"/>
  <c r="AL77" i="15"/>
  <c r="BL77" i="15" s="1"/>
  <c r="H77" i="15"/>
  <c r="G77" i="15"/>
  <c r="F77" i="15"/>
  <c r="E77" i="15"/>
  <c r="CD76" i="15"/>
  <c r="BX76" i="15"/>
  <c r="BR76" i="15"/>
  <c r="BD76" i="15"/>
  <c r="AX76" i="15"/>
  <c r="AR76" i="15"/>
  <c r="AL76" i="15"/>
  <c r="BL76" i="15" s="1"/>
  <c r="H76" i="15"/>
  <c r="G76" i="15"/>
  <c r="F76" i="15"/>
  <c r="E76" i="15"/>
  <c r="BD75" i="15"/>
  <c r="CD75" i="15" s="1"/>
  <c r="AX75" i="15"/>
  <c r="BX75" i="15" s="1"/>
  <c r="AR75" i="15"/>
  <c r="BR75" i="15" s="1"/>
  <c r="AL75" i="15"/>
  <c r="BL75" i="15" s="1"/>
  <c r="H75" i="15"/>
  <c r="G75" i="15"/>
  <c r="F75" i="15"/>
  <c r="E75" i="15"/>
  <c r="CD74" i="15"/>
  <c r="BD74" i="15"/>
  <c r="AX74" i="15"/>
  <c r="BX74" i="15" s="1"/>
  <c r="AR74" i="15"/>
  <c r="BR74" i="15" s="1"/>
  <c r="AL74" i="15"/>
  <c r="BL74" i="15" s="1"/>
  <c r="CD73" i="15"/>
  <c r="BD73" i="15"/>
  <c r="AX73" i="15"/>
  <c r="BX73" i="15" s="1"/>
  <c r="AR73" i="15"/>
  <c r="BR73" i="15" s="1"/>
  <c r="AL73" i="15"/>
  <c r="BL73" i="15" s="1"/>
  <c r="BR72" i="15"/>
  <c r="BL72" i="15"/>
  <c r="BD72" i="15"/>
  <c r="CD72" i="15" s="1"/>
  <c r="AX72" i="15"/>
  <c r="BX72" i="15" s="1"/>
  <c r="AR72" i="15"/>
  <c r="AL72" i="15"/>
  <c r="C72" i="15"/>
  <c r="CD71" i="15"/>
  <c r="BD71" i="15"/>
  <c r="AX71" i="15"/>
  <c r="BX71" i="15" s="1"/>
  <c r="AR71" i="15"/>
  <c r="BR71" i="15" s="1"/>
  <c r="AL71" i="15"/>
  <c r="BL71" i="15" s="1"/>
  <c r="CD70" i="15"/>
  <c r="BD70" i="15"/>
  <c r="AX70" i="15"/>
  <c r="BX70" i="15" s="1"/>
  <c r="AR70" i="15"/>
  <c r="BR70" i="15" s="1"/>
  <c r="AL70" i="15"/>
  <c r="BL70" i="15" s="1"/>
  <c r="H70" i="15"/>
  <c r="G70" i="15"/>
  <c r="G62" i="15" s="1"/>
  <c r="F70" i="15"/>
  <c r="E70" i="15"/>
  <c r="E62" i="15" s="1"/>
  <c r="CD69" i="15"/>
  <c r="BD69" i="15"/>
  <c r="AX69" i="15"/>
  <c r="BX69" i="15" s="1"/>
  <c r="AR69" i="15"/>
  <c r="BR69" i="15" s="1"/>
  <c r="AL69" i="15"/>
  <c r="BL69" i="15" s="1"/>
  <c r="H69" i="15"/>
  <c r="G69" i="15"/>
  <c r="F69" i="15"/>
  <c r="E69" i="15"/>
  <c r="E61" i="15" s="1"/>
  <c r="CD68" i="15"/>
  <c r="BX68" i="15"/>
  <c r="BD68" i="15"/>
  <c r="AX68" i="15"/>
  <c r="AR68" i="15"/>
  <c r="BR68" i="15" s="1"/>
  <c r="AL68" i="15"/>
  <c r="BL68" i="15" s="1"/>
  <c r="H68" i="15"/>
  <c r="G68" i="15"/>
  <c r="F68" i="15"/>
  <c r="M221" i="14" s="1" a="1"/>
  <c r="M221" i="14" s="1"/>
  <c r="E68" i="15"/>
  <c r="BL67" i="15"/>
  <c r="BD67" i="15"/>
  <c r="CD67" i="15" s="1"/>
  <c r="AX67" i="15"/>
  <c r="BX67" i="15" s="1"/>
  <c r="AR67" i="15"/>
  <c r="BR67" i="15" s="1"/>
  <c r="AL67" i="15"/>
  <c r="H67" i="15"/>
  <c r="G67" i="15"/>
  <c r="F67" i="15"/>
  <c r="E67" i="15"/>
  <c r="BL66" i="15"/>
  <c r="BD66" i="15"/>
  <c r="CD66" i="15" s="1"/>
  <c r="AX66" i="15"/>
  <c r="BX66" i="15" s="1"/>
  <c r="AR66" i="15"/>
  <c r="BR66" i="15" s="1"/>
  <c r="AL66" i="15"/>
  <c r="H66" i="15"/>
  <c r="G66" i="15"/>
  <c r="F66" i="15"/>
  <c r="F62" i="15" s="1"/>
  <c r="E66" i="15"/>
  <c r="BR65" i="15"/>
  <c r="BL65" i="15"/>
  <c r="BD65" i="15"/>
  <c r="CD65" i="15" s="1"/>
  <c r="AX65" i="15"/>
  <c r="BX65" i="15" s="1"/>
  <c r="AR65" i="15"/>
  <c r="AL65" i="15"/>
  <c r="H65" i="15"/>
  <c r="H61" i="15" s="1"/>
  <c r="G65" i="15"/>
  <c r="G61" i="15" s="1"/>
  <c r="F65" i="15"/>
  <c r="E65" i="15"/>
  <c r="BX64" i="15"/>
  <c r="BR64" i="15"/>
  <c r="BL64" i="15"/>
  <c r="BD64" i="15"/>
  <c r="CD64" i="15" s="1"/>
  <c r="AX64" i="15"/>
  <c r="AR64" i="15"/>
  <c r="AL64" i="15"/>
  <c r="H64" i="15"/>
  <c r="H60" i="15" s="1"/>
  <c r="G64" i="15"/>
  <c r="F64" i="15"/>
  <c r="E64" i="15"/>
  <c r="CD63" i="15"/>
  <c r="BX63" i="15"/>
  <c r="BR63" i="15"/>
  <c r="BL63" i="15"/>
  <c r="BD63" i="15"/>
  <c r="AX63" i="15"/>
  <c r="AR63" i="15"/>
  <c r="AL63" i="15"/>
  <c r="H63" i="15"/>
  <c r="G63" i="15"/>
  <c r="F63" i="15"/>
  <c r="E63" i="15"/>
  <c r="BX62" i="15"/>
  <c r="BR62" i="15"/>
  <c r="BL62" i="15"/>
  <c r="BD62" i="15"/>
  <c r="CD62" i="15" s="1"/>
  <c r="AX62" i="15"/>
  <c r="AR62" i="15"/>
  <c r="AL62" i="15"/>
  <c r="H62" i="15"/>
  <c r="BR61" i="15"/>
  <c r="BD61" i="15"/>
  <c r="CD61" i="15" s="1"/>
  <c r="AX61" i="15"/>
  <c r="BX61" i="15" s="1"/>
  <c r="AR61" i="15"/>
  <c r="AL61" i="15"/>
  <c r="BL61" i="15" s="1"/>
  <c r="F61" i="15"/>
  <c r="BL60" i="15"/>
  <c r="BD60" i="15"/>
  <c r="CD60" i="15" s="1"/>
  <c r="AX60" i="15"/>
  <c r="BX60" i="15" s="1"/>
  <c r="AR60" i="15"/>
  <c r="BR60" i="15" s="1"/>
  <c r="AL60" i="15"/>
  <c r="G60" i="15"/>
  <c r="F60" i="15"/>
  <c r="E60" i="15"/>
  <c r="BD59" i="15"/>
  <c r="CD59" i="15" s="1"/>
  <c r="AX59" i="15"/>
  <c r="BX59" i="15" s="1"/>
  <c r="AR59" i="15"/>
  <c r="BR59" i="15" s="1"/>
  <c r="AL59" i="15"/>
  <c r="BL59" i="15" s="1"/>
  <c r="H59" i="15"/>
  <c r="G59" i="15"/>
  <c r="F59" i="15"/>
  <c r="E59" i="15"/>
  <c r="BX58" i="15"/>
  <c r="BL58" i="15"/>
  <c r="BD58" i="15"/>
  <c r="CD58" i="15" s="1"/>
  <c r="AX58" i="15"/>
  <c r="AR58" i="15"/>
  <c r="BR58" i="15" s="1"/>
  <c r="AL58" i="15"/>
  <c r="BX57" i="15"/>
  <c r="BR57" i="15"/>
  <c r="BD57" i="15"/>
  <c r="CD57" i="15" s="1"/>
  <c r="AX57" i="15"/>
  <c r="AR57" i="15"/>
  <c r="AL57" i="15"/>
  <c r="BL57" i="15" s="1"/>
  <c r="CD56" i="15"/>
  <c r="BX56" i="15"/>
  <c r="BD56" i="15"/>
  <c r="AX56" i="15"/>
  <c r="AR56" i="15"/>
  <c r="BR56" i="15" s="1"/>
  <c r="AL56" i="15"/>
  <c r="BL56" i="15" s="1"/>
  <c r="H56" i="15"/>
  <c r="G56" i="15"/>
  <c r="F56" i="15"/>
  <c r="E56" i="15"/>
  <c r="CD55" i="15"/>
  <c r="BD55" i="15"/>
  <c r="AX55" i="15"/>
  <c r="BX55" i="15" s="1"/>
  <c r="AR55" i="15"/>
  <c r="BR55" i="15" s="1"/>
  <c r="AL55" i="15"/>
  <c r="BL55" i="15" s="1"/>
  <c r="H55" i="15"/>
  <c r="G55" i="15"/>
  <c r="F55" i="15"/>
  <c r="E55" i="15"/>
  <c r="BD54" i="15"/>
  <c r="CD54" i="15" s="1"/>
  <c r="AX54" i="15"/>
  <c r="BX54" i="15" s="1"/>
  <c r="AR54" i="15"/>
  <c r="BR54" i="15" s="1"/>
  <c r="AL54" i="15"/>
  <c r="BL54" i="15" s="1"/>
  <c r="H54" i="15"/>
  <c r="G54" i="15"/>
  <c r="F54" i="15"/>
  <c r="E54" i="15"/>
  <c r="BL53" i="15"/>
  <c r="BD53" i="15"/>
  <c r="CD53" i="15" s="1"/>
  <c r="AX53" i="15"/>
  <c r="BX53" i="15" s="1"/>
  <c r="AR53" i="15"/>
  <c r="BR53" i="15" s="1"/>
  <c r="AL53" i="15"/>
  <c r="H53" i="15"/>
  <c r="G53" i="15"/>
  <c r="F53" i="15"/>
  <c r="E53" i="15"/>
  <c r="BR52" i="15"/>
  <c r="BL52" i="15"/>
  <c r="BD52" i="15"/>
  <c r="CD52" i="15" s="1"/>
  <c r="AX52" i="15"/>
  <c r="BX52" i="15" s="1"/>
  <c r="AR52" i="15"/>
  <c r="AL52" i="15"/>
  <c r="CD51" i="15"/>
  <c r="BX51" i="15"/>
  <c r="BD51" i="15"/>
  <c r="AX51" i="15"/>
  <c r="AR51" i="15"/>
  <c r="BR51" i="15" s="1"/>
  <c r="AL51" i="15"/>
  <c r="BL51" i="15" s="1"/>
  <c r="CD50" i="15"/>
  <c r="BX50" i="15"/>
  <c r="BR50" i="15"/>
  <c r="BL50" i="15"/>
  <c r="BD50" i="15"/>
  <c r="AX50" i="15"/>
  <c r="AR50" i="15"/>
  <c r="AL50" i="15"/>
  <c r="C50" i="15"/>
  <c r="BR49" i="15"/>
  <c r="BL49" i="15"/>
  <c r="BD49" i="15"/>
  <c r="CD49" i="15" s="1"/>
  <c r="AX49" i="15"/>
  <c r="BX49" i="15" s="1"/>
  <c r="AR49" i="15"/>
  <c r="AL49" i="15"/>
  <c r="CD48" i="15"/>
  <c r="BX48" i="15"/>
  <c r="BD48" i="15"/>
  <c r="AX48" i="15"/>
  <c r="AR48" i="15"/>
  <c r="BR48" i="15" s="1"/>
  <c r="AL48" i="15"/>
  <c r="BL48" i="15" s="1"/>
  <c r="H48" i="15"/>
  <c r="G48" i="15"/>
  <c r="G40" i="15" s="1"/>
  <c r="F48" i="15"/>
  <c r="E48" i="15"/>
  <c r="BD47" i="15"/>
  <c r="CD47" i="15" s="1"/>
  <c r="AX47" i="15"/>
  <c r="BX47" i="15" s="1"/>
  <c r="AR47" i="15"/>
  <c r="BR47" i="15" s="1"/>
  <c r="AL47" i="15"/>
  <c r="BL47" i="15" s="1"/>
  <c r="H47" i="15"/>
  <c r="G47" i="15"/>
  <c r="G39" i="15" s="1"/>
  <c r="F47" i="15"/>
  <c r="E47" i="15"/>
  <c r="E39" i="15" s="1"/>
  <c r="BL46" i="15"/>
  <c r="BD46" i="15"/>
  <c r="CD46" i="15" s="1"/>
  <c r="AX46" i="15"/>
  <c r="BX46" i="15" s="1"/>
  <c r="AR46" i="15"/>
  <c r="BR46" i="15" s="1"/>
  <c r="AL46" i="15"/>
  <c r="H46" i="15"/>
  <c r="H38" i="15" s="1"/>
  <c r="G46" i="15"/>
  <c r="G38" i="15" s="1"/>
  <c r="F46" i="15"/>
  <c r="E46" i="15"/>
  <c r="BR45" i="15"/>
  <c r="BL45" i="15"/>
  <c r="BD45" i="15"/>
  <c r="CD45" i="15" s="1"/>
  <c r="AX45" i="15"/>
  <c r="BX45" i="15" s="1"/>
  <c r="AR45" i="15"/>
  <c r="AL45" i="15"/>
  <c r="H45" i="15"/>
  <c r="G45" i="15"/>
  <c r="F45" i="15"/>
  <c r="E45" i="15"/>
  <c r="BX44" i="15"/>
  <c r="BR44" i="15"/>
  <c r="BL44" i="15"/>
  <c r="BD44" i="15"/>
  <c r="CD44" i="15" s="1"/>
  <c r="AX44" i="15"/>
  <c r="AR44" i="15"/>
  <c r="AL44" i="15"/>
  <c r="H44" i="15"/>
  <c r="H40" i="15" s="1"/>
  <c r="G44" i="15"/>
  <c r="F44" i="15"/>
  <c r="E44" i="15"/>
  <c r="CD43" i="15"/>
  <c r="BX43" i="15"/>
  <c r="BR43" i="15"/>
  <c r="BL43" i="15"/>
  <c r="BD43" i="15"/>
  <c r="AX43" i="15"/>
  <c r="AR43" i="15"/>
  <c r="AL43" i="15"/>
  <c r="H43" i="15"/>
  <c r="G43" i="15"/>
  <c r="F43" i="15"/>
  <c r="E43" i="15"/>
  <c r="CD42" i="15"/>
  <c r="BX42" i="15"/>
  <c r="BR42" i="15"/>
  <c r="BL42" i="15"/>
  <c r="BD42" i="15"/>
  <c r="AX42" i="15"/>
  <c r="AR42" i="15"/>
  <c r="AL42" i="15"/>
  <c r="H42" i="15"/>
  <c r="G42" i="15"/>
  <c r="F42" i="15"/>
  <c r="E42" i="15"/>
  <c r="E38" i="15" s="1"/>
  <c r="CD41" i="15"/>
  <c r="BX41" i="15"/>
  <c r="BD41" i="15"/>
  <c r="AX41" i="15"/>
  <c r="AR41" i="15"/>
  <c r="BR41" i="15" s="1"/>
  <c r="AL41" i="15"/>
  <c r="BL41" i="15" s="1"/>
  <c r="H41" i="15"/>
  <c r="G41" i="15"/>
  <c r="F41" i="15"/>
  <c r="E41" i="15"/>
  <c r="CD40" i="15"/>
  <c r="BX40" i="15"/>
  <c r="BD40" i="15"/>
  <c r="AX40" i="15"/>
  <c r="AR40" i="15"/>
  <c r="BR40" i="15" s="1"/>
  <c r="AL40" i="15"/>
  <c r="BL40" i="15" s="1"/>
  <c r="F40" i="15"/>
  <c r="E40" i="15"/>
  <c r="BD39" i="15"/>
  <c r="CD39" i="15" s="1"/>
  <c r="AX39" i="15"/>
  <c r="BX39" i="15" s="1"/>
  <c r="AR39" i="15"/>
  <c r="BR39" i="15" s="1"/>
  <c r="AL39" i="15"/>
  <c r="BL39" i="15" s="1"/>
  <c r="H39" i="15"/>
  <c r="F39" i="15"/>
  <c r="BL38" i="15"/>
  <c r="BD38" i="15"/>
  <c r="CD38" i="15" s="1"/>
  <c r="AX38" i="15"/>
  <c r="BX38" i="15" s="1"/>
  <c r="AR38" i="15"/>
  <c r="BR38" i="15" s="1"/>
  <c r="AL38" i="15"/>
  <c r="F38" i="15"/>
  <c r="BR37" i="15"/>
  <c r="BL37" i="15"/>
  <c r="BD37" i="15"/>
  <c r="CD37" i="15" s="1"/>
  <c r="AX37" i="15"/>
  <c r="BX37" i="15" s="1"/>
  <c r="AR37" i="15"/>
  <c r="AL37" i="15"/>
  <c r="H37" i="15"/>
  <c r="G37" i="15"/>
  <c r="F37" i="15"/>
  <c r="E37" i="15"/>
  <c r="BX36" i="15"/>
  <c r="BR36" i="15"/>
  <c r="BL36" i="15"/>
  <c r="BD36" i="15"/>
  <c r="CD36" i="15" s="1"/>
  <c r="AX36" i="15"/>
  <c r="AR36" i="15"/>
  <c r="AL36" i="15"/>
  <c r="BD35" i="15"/>
  <c r="CD35" i="15" s="1"/>
  <c r="AX35" i="15"/>
  <c r="BX35" i="15" s="1"/>
  <c r="AR35" i="15"/>
  <c r="BR35" i="15" s="1"/>
  <c r="AL35" i="15"/>
  <c r="BL35" i="15" s="1"/>
  <c r="CD34" i="15"/>
  <c r="BX34" i="15"/>
  <c r="BR34" i="15"/>
  <c r="BD34" i="15"/>
  <c r="AX34" i="15"/>
  <c r="AR34" i="15"/>
  <c r="AL34" i="15"/>
  <c r="BL34" i="15" s="1"/>
  <c r="H34" i="15"/>
  <c r="G34" i="15"/>
  <c r="F34" i="15"/>
  <c r="E34" i="15"/>
  <c r="CD33" i="15"/>
  <c r="BX33" i="15"/>
  <c r="BR33" i="15"/>
  <c r="BD33" i="15"/>
  <c r="AX33" i="15"/>
  <c r="AR33" i="15"/>
  <c r="AL33" i="15"/>
  <c r="BL33" i="15" s="1"/>
  <c r="H33" i="15"/>
  <c r="G33" i="15"/>
  <c r="F33" i="15"/>
  <c r="E33" i="15"/>
  <c r="CD32" i="15"/>
  <c r="BX32" i="15"/>
  <c r="BD32" i="15"/>
  <c r="AX32" i="15"/>
  <c r="AR32" i="15"/>
  <c r="BR32" i="15" s="1"/>
  <c r="AL32" i="15"/>
  <c r="BL32" i="15" s="1"/>
  <c r="H32" i="15"/>
  <c r="G32" i="15"/>
  <c r="F32" i="15"/>
  <c r="E32" i="15"/>
  <c r="CD31" i="15"/>
  <c r="BD31" i="15"/>
  <c r="AX31" i="15"/>
  <c r="BX31" i="15" s="1"/>
  <c r="AR31" i="15"/>
  <c r="BR31" i="15" s="1"/>
  <c r="AL31" i="15"/>
  <c r="BL31" i="15" s="1"/>
  <c r="H31" i="15"/>
  <c r="G31" i="15"/>
  <c r="F31" i="15"/>
  <c r="E31" i="15"/>
  <c r="BL30" i="15"/>
  <c r="BD30" i="15"/>
  <c r="CD30" i="15" s="1"/>
  <c r="AX30" i="15"/>
  <c r="BX30" i="15" s="1"/>
  <c r="AR30" i="15"/>
  <c r="BR30" i="15" s="1"/>
  <c r="AL30" i="15"/>
  <c r="BD29" i="15"/>
  <c r="CD29" i="15" s="1"/>
  <c r="AX29" i="15"/>
  <c r="BX29" i="15" s="1"/>
  <c r="AR29" i="15"/>
  <c r="BR29" i="15" s="1"/>
  <c r="AL29" i="15"/>
  <c r="BL29" i="15" s="1"/>
  <c r="BX28" i="15"/>
  <c r="BR28" i="15"/>
  <c r="BL28" i="15"/>
  <c r="BD28" i="15"/>
  <c r="CD28" i="15" s="1"/>
  <c r="AX28" i="15"/>
  <c r="AR28" i="15"/>
  <c r="AL28" i="15"/>
  <c r="C28" i="15"/>
  <c r="BL27" i="15"/>
  <c r="BD27" i="15"/>
  <c r="CD27" i="15" s="1"/>
  <c r="AX27" i="15"/>
  <c r="BX27" i="15" s="1"/>
  <c r="AR27" i="15"/>
  <c r="BR27" i="15" s="1"/>
  <c r="AL27" i="15"/>
  <c r="BR26" i="15"/>
  <c r="BD26" i="15"/>
  <c r="CD26" i="15" s="1"/>
  <c r="AX26" i="15"/>
  <c r="BX26" i="15" s="1"/>
  <c r="AR26" i="15"/>
  <c r="AL26" i="15"/>
  <c r="BL26" i="15" s="1"/>
  <c r="H26" i="15"/>
  <c r="G26" i="15"/>
  <c r="F26" i="15"/>
  <c r="F18" i="15" s="1"/>
  <c r="E26" i="15"/>
  <c r="CD25" i="15"/>
  <c r="BX25" i="15"/>
  <c r="BD25" i="15"/>
  <c r="AX25" i="15"/>
  <c r="AR25" i="15"/>
  <c r="BR25" i="15" s="1"/>
  <c r="AL25" i="15"/>
  <c r="BL25" i="15" s="1"/>
  <c r="H25" i="15"/>
  <c r="G25" i="15"/>
  <c r="F25" i="15"/>
  <c r="E25" i="15"/>
  <c r="CD24" i="15"/>
  <c r="BL24" i="15"/>
  <c r="BD24" i="15"/>
  <c r="AX24" i="15"/>
  <c r="BX24" i="15" s="1"/>
  <c r="AR24" i="15"/>
  <c r="BR24" i="15" s="1"/>
  <c r="AL24" i="15"/>
  <c r="H24" i="15"/>
  <c r="N197" i="14" s="1" a="1"/>
  <c r="N197" i="14" s="1"/>
  <c r="N201" i="14" s="1"/>
  <c r="G24" i="15"/>
  <c r="G16" i="15" s="1"/>
  <c r="F24" i="15"/>
  <c r="E24" i="15"/>
  <c r="E16" i="15" s="1"/>
  <c r="BL23" i="15"/>
  <c r="BD23" i="15"/>
  <c r="CD23" i="15" s="1"/>
  <c r="AX23" i="15"/>
  <c r="BX23" i="15" s="1"/>
  <c r="AR23" i="15"/>
  <c r="BR23" i="15" s="1"/>
  <c r="AL23" i="15"/>
  <c r="H23" i="15"/>
  <c r="G23" i="15"/>
  <c r="F23" i="15"/>
  <c r="E23" i="15"/>
  <c r="BR22" i="15"/>
  <c r="BL22" i="15"/>
  <c r="BD22" i="15"/>
  <c r="CD22" i="15" s="1"/>
  <c r="AX22" i="15"/>
  <c r="BX22" i="15" s="1"/>
  <c r="AR22" i="15"/>
  <c r="AL22" i="15"/>
  <c r="H22" i="15"/>
  <c r="G22" i="15"/>
  <c r="G18" i="15" s="1"/>
  <c r="F22" i="15"/>
  <c r="E22" i="15"/>
  <c r="BX21" i="15"/>
  <c r="BL21" i="15"/>
  <c r="AX21" i="15"/>
  <c r="AR21" i="15"/>
  <c r="BR21" i="15" s="1"/>
  <c r="AL21" i="15"/>
  <c r="H21" i="15"/>
  <c r="H17" i="15" s="1"/>
  <c r="G21" i="15"/>
  <c r="F21" i="15"/>
  <c r="E21" i="15"/>
  <c r="BR20" i="15"/>
  <c r="BL20" i="15"/>
  <c r="AX20" i="15"/>
  <c r="BX20" i="15" s="1"/>
  <c r="AR20" i="15"/>
  <c r="AL20" i="15"/>
  <c r="H20" i="15"/>
  <c r="G20" i="15"/>
  <c r="F20" i="15"/>
  <c r="E20" i="15"/>
  <c r="BX19" i="15"/>
  <c r="BR19" i="15"/>
  <c r="BL19" i="15"/>
  <c r="AX19" i="15"/>
  <c r="AR19" i="15"/>
  <c r="AL19" i="15"/>
  <c r="H19" i="15"/>
  <c r="G19" i="15"/>
  <c r="F19" i="15"/>
  <c r="E19" i="15"/>
  <c r="BR18" i="15"/>
  <c r="BL18" i="15"/>
  <c r="AX18" i="15"/>
  <c r="BX18" i="15" s="1"/>
  <c r="AR18" i="15"/>
  <c r="AL18" i="15"/>
  <c r="H18" i="15"/>
  <c r="E18" i="15"/>
  <c r="BL17" i="15"/>
  <c r="AX17" i="15"/>
  <c r="BX17" i="15" s="1"/>
  <c r="AR17" i="15"/>
  <c r="BR17" i="15" s="1"/>
  <c r="AL17" i="15"/>
  <c r="G17" i="15"/>
  <c r="F17" i="15"/>
  <c r="E17" i="15"/>
  <c r="BX16" i="15"/>
  <c r="AX16" i="15"/>
  <c r="AR16" i="15"/>
  <c r="BR16" i="15" s="1"/>
  <c r="AL16" i="15"/>
  <c r="BL16" i="15" s="1"/>
  <c r="H16" i="15"/>
  <c r="F16" i="15"/>
  <c r="AX15" i="15"/>
  <c r="BX15" i="15" s="1"/>
  <c r="AR15" i="15"/>
  <c r="BR15" i="15" s="1"/>
  <c r="AL15" i="15"/>
  <c r="BL15" i="15" s="1"/>
  <c r="H15" i="15"/>
  <c r="G15" i="15"/>
  <c r="F15" i="15"/>
  <c r="E15" i="15"/>
  <c r="BX14" i="15"/>
  <c r="AX14" i="15"/>
  <c r="AR14" i="15"/>
  <c r="BR14" i="15" s="1"/>
  <c r="AL14" i="15"/>
  <c r="BL14" i="15" s="1"/>
  <c r="I14" i="15"/>
  <c r="BL13" i="15"/>
  <c r="AX13" i="15"/>
  <c r="BX13" i="15" s="1"/>
  <c r="AR13" i="15"/>
  <c r="BR13" i="15" s="1"/>
  <c r="AL13" i="15"/>
  <c r="I13" i="15"/>
  <c r="BX12" i="15"/>
  <c r="BR12" i="15"/>
  <c r="BL12" i="15"/>
  <c r="AX12" i="15"/>
  <c r="AR12" i="15"/>
  <c r="AL12" i="15"/>
  <c r="H12" i="15"/>
  <c r="G12" i="15"/>
  <c r="F12" i="15"/>
  <c r="E12" i="15"/>
  <c r="BX11" i="15"/>
  <c r="BR11" i="15"/>
  <c r="BL11" i="15"/>
  <c r="AX11" i="15"/>
  <c r="AR11" i="15"/>
  <c r="AL11" i="15"/>
  <c r="H11" i="15"/>
  <c r="G11" i="15"/>
  <c r="F11" i="15"/>
  <c r="J118" i="14" s="1"/>
  <c r="E11" i="15"/>
  <c r="BR10" i="15"/>
  <c r="AX10" i="15"/>
  <c r="BX10" i="15" s="1"/>
  <c r="AR10" i="15"/>
  <c r="AL10" i="15"/>
  <c r="BL10" i="15" s="1"/>
  <c r="H10" i="15"/>
  <c r="G10" i="15"/>
  <c r="F10" i="15"/>
  <c r="E10" i="15"/>
  <c r="BL9" i="15"/>
  <c r="AX9" i="15"/>
  <c r="BX9" i="15" s="1"/>
  <c r="AR9" i="15"/>
  <c r="BR9" i="15" s="1"/>
  <c r="AL9" i="15"/>
  <c r="I9" i="15"/>
  <c r="H9" i="15"/>
  <c r="G9" i="15"/>
  <c r="F9" i="15"/>
  <c r="E9" i="15"/>
  <c r="BX8" i="15"/>
  <c r="AX8" i="15"/>
  <c r="AR8" i="15"/>
  <c r="BR8" i="15" s="1"/>
  <c r="AL8" i="15"/>
  <c r="BL8" i="15" s="1"/>
  <c r="K8" i="15"/>
  <c r="AK8" i="15" s="1"/>
  <c r="CH7" i="15"/>
  <c r="CG7" i="15"/>
  <c r="CD7" i="15"/>
  <c r="BZ7" i="15"/>
  <c r="CF7" i="15" s="1"/>
  <c r="BY7" i="15"/>
  <c r="CE7" i="15" s="1"/>
  <c r="BX7" i="15"/>
  <c r="BU7" i="15"/>
  <c r="CA7" i="15" s="1"/>
  <c r="BQ7" i="15"/>
  <c r="BW7" i="15" s="1"/>
  <c r="CC7" i="15" s="1"/>
  <c r="CI7" i="15" s="1"/>
  <c r="BP7" i="15"/>
  <c r="BV7" i="15" s="1"/>
  <c r="CB7" i="15" s="1"/>
  <c r="BO7" i="15"/>
  <c r="BN7" i="15"/>
  <c r="BT7" i="15" s="1"/>
  <c r="BM7" i="15"/>
  <c r="BS7" i="15" s="1"/>
  <c r="BL7" i="15"/>
  <c r="BF7" i="15"/>
  <c r="BE7" i="15"/>
  <c r="AW7" i="15"/>
  <c r="BC7" i="15" s="1"/>
  <c r="BI7" i="15" s="1"/>
  <c r="AV7" i="15"/>
  <c r="BB7" i="15" s="1"/>
  <c r="BH7" i="15" s="1"/>
  <c r="AU7" i="15"/>
  <c r="BA7" i="15" s="1"/>
  <c r="BG7" i="15" s="1"/>
  <c r="AR7" i="15"/>
  <c r="AQ7" i="15"/>
  <c r="AP7" i="15"/>
  <c r="AO7" i="15"/>
  <c r="AN7" i="15"/>
  <c r="AT7" i="15" s="1"/>
  <c r="AZ7" i="15" s="1"/>
  <c r="AM7" i="15"/>
  <c r="AS7" i="15" s="1"/>
  <c r="AY7" i="15" s="1"/>
  <c r="AL7" i="15"/>
  <c r="AI7" i="15"/>
  <c r="AH7" i="15"/>
  <c r="AE7" i="15"/>
  <c r="AD7" i="15"/>
  <c r="AC7" i="15"/>
  <c r="AB7" i="15"/>
  <c r="W7" i="15"/>
  <c r="V7" i="15"/>
  <c r="U7" i="15"/>
  <c r="R7" i="15"/>
  <c r="Q7" i="15"/>
  <c r="P7" i="15"/>
  <c r="O7" i="15"/>
  <c r="N7" i="15"/>
  <c r="M7" i="15"/>
  <c r="L7" i="15"/>
  <c r="X7" i="15" s="1"/>
  <c r="CI6" i="15"/>
  <c r="CF6" i="15"/>
  <c r="CD6" i="15"/>
  <c r="BX6" i="15"/>
  <c r="BW6" i="15"/>
  <c r="CC6" i="15" s="1"/>
  <c r="BV6" i="15"/>
  <c r="CB6" i="15" s="1"/>
  <c r="CH6" i="15" s="1"/>
  <c r="BS6" i="15"/>
  <c r="BY6" i="15" s="1"/>
  <c r="CE6" i="15" s="1"/>
  <c r="BQ6" i="15"/>
  <c r="BP6" i="15"/>
  <c r="BO6" i="15"/>
  <c r="BU6" i="15" s="1"/>
  <c r="CA6" i="15" s="1"/>
  <c r="CG6" i="15" s="1"/>
  <c r="BN6" i="15"/>
  <c r="BT6" i="15" s="1"/>
  <c r="BZ6" i="15" s="1"/>
  <c r="BM6" i="15"/>
  <c r="BL6" i="15"/>
  <c r="AU6" i="15"/>
  <c r="BA6" i="15" s="1"/>
  <c r="BG6" i="15" s="1"/>
  <c r="AT6" i="15"/>
  <c r="AZ6" i="15" s="1"/>
  <c r="BF6" i="15" s="1"/>
  <c r="AQ6" i="15"/>
  <c r="AW6" i="15" s="1"/>
  <c r="BC6" i="15" s="1"/>
  <c r="BI6" i="15" s="1"/>
  <c r="AP6" i="15"/>
  <c r="AV6" i="15" s="1"/>
  <c r="BB6" i="15" s="1"/>
  <c r="BH6" i="15" s="1"/>
  <c r="AO6" i="15"/>
  <c r="AN6" i="15"/>
  <c r="AM6" i="15"/>
  <c r="F15" i="14" s="1"/>
  <c r="AI6" i="15"/>
  <c r="AG6" i="15"/>
  <c r="AF6" i="15"/>
  <c r="AC6" i="15"/>
  <c r="AA6" i="15"/>
  <c r="Z6" i="15"/>
  <c r="U6" i="15"/>
  <c r="T6" i="15"/>
  <c r="S6" i="15"/>
  <c r="Q6" i="15"/>
  <c r="W6" i="15" s="1"/>
  <c r="P6" i="15"/>
  <c r="I10" i="14" s="1"/>
  <c r="O6" i="15"/>
  <c r="N6" i="15"/>
  <c r="M6" i="15"/>
  <c r="I6" i="15"/>
  <c r="I7" i="15" s="1"/>
  <c r="I8" i="15" s="1"/>
  <c r="I12" i="15" s="1"/>
  <c r="I16" i="15" s="1"/>
  <c r="C6" i="15"/>
  <c r="BL4" i="15"/>
  <c r="AL4" i="15"/>
  <c r="L4" i="15"/>
  <c r="C2" i="15"/>
  <c r="C1" i="15"/>
  <c r="C292" i="14"/>
  <c r="C290" i="14"/>
  <c r="R279" i="14"/>
  <c r="R277" i="14"/>
  <c r="C277" i="14"/>
  <c r="C294" i="14" s="1"/>
  <c r="C276" i="14"/>
  <c r="C293" i="14" s="1"/>
  <c r="C275" i="14"/>
  <c r="C274" i="14"/>
  <c r="C291" i="14" s="1"/>
  <c r="C273" i="14"/>
  <c r="C272" i="14"/>
  <c r="C289" i="14" s="1"/>
  <c r="R266" i="14"/>
  <c r="Q266" i="14"/>
  <c r="P266" i="14"/>
  <c r="O266" i="14"/>
  <c r="N266" i="14"/>
  <c r="M266" i="14"/>
  <c r="E266" i="14"/>
  <c r="R265" i="14"/>
  <c r="Q265" i="14"/>
  <c r="P265" i="14"/>
  <c r="O265" i="14"/>
  <c r="N265" i="14"/>
  <c r="E265" i="14"/>
  <c r="M265" i="14" s="1"/>
  <c r="R264" i="14"/>
  <c r="Q264" i="14"/>
  <c r="P264" i="14"/>
  <c r="O264" i="14"/>
  <c r="N264" i="14"/>
  <c r="M264" i="14"/>
  <c r="R263" i="14"/>
  <c r="Q263" i="14"/>
  <c r="P263" i="14"/>
  <c r="O263" i="14"/>
  <c r="N263" i="14"/>
  <c r="M263" i="14"/>
  <c r="E263" i="14"/>
  <c r="R262" i="14"/>
  <c r="Q262" i="14"/>
  <c r="P262" i="14"/>
  <c r="O262" i="14"/>
  <c r="N262" i="14"/>
  <c r="M262" i="14"/>
  <c r="E262" i="14"/>
  <c r="P261" i="14"/>
  <c r="M261" i="14"/>
  <c r="I261" i="14"/>
  <c r="Q261" i="14" s="1"/>
  <c r="G261" i="14"/>
  <c r="N260" i="14"/>
  <c r="F260" i="14"/>
  <c r="R258" i="14"/>
  <c r="Q258" i="14"/>
  <c r="P258" i="14"/>
  <c r="O258" i="14"/>
  <c r="N258" i="14"/>
  <c r="E258" i="14"/>
  <c r="M258" i="14" s="1"/>
  <c r="R257" i="14"/>
  <c r="Q257" i="14"/>
  <c r="P257" i="14"/>
  <c r="O257" i="14"/>
  <c r="N257" i="14"/>
  <c r="E257" i="14"/>
  <c r="M257" i="14" s="1"/>
  <c r="R256" i="14"/>
  <c r="Q256" i="14"/>
  <c r="P256" i="14"/>
  <c r="O256" i="14"/>
  <c r="N256" i="14"/>
  <c r="M256" i="14"/>
  <c r="R255" i="14"/>
  <c r="Q255" i="14"/>
  <c r="P255" i="14"/>
  <c r="O255" i="14"/>
  <c r="N255" i="14"/>
  <c r="E255" i="14"/>
  <c r="M255" i="14" s="1"/>
  <c r="R254" i="14"/>
  <c r="Q254" i="14"/>
  <c r="P254" i="14"/>
  <c r="O254" i="14"/>
  <c r="N254" i="14"/>
  <c r="E254" i="14"/>
  <c r="M254" i="14" s="1"/>
  <c r="P253" i="14"/>
  <c r="M253" i="14"/>
  <c r="I253" i="14"/>
  <c r="J253" i="14" s="1"/>
  <c r="R253" i="14" s="1"/>
  <c r="G253" i="14"/>
  <c r="F252" i="14"/>
  <c r="N252" i="14" s="1"/>
  <c r="R250" i="14"/>
  <c r="Q250" i="14"/>
  <c r="P250" i="14"/>
  <c r="O250" i="14"/>
  <c r="N250" i="14"/>
  <c r="E250" i="14"/>
  <c r="M250" i="14" s="1"/>
  <c r="R249" i="14"/>
  <c r="Q249" i="14"/>
  <c r="P249" i="14"/>
  <c r="O249" i="14"/>
  <c r="N249" i="14"/>
  <c r="M249" i="14"/>
  <c r="E249" i="14"/>
  <c r="R248" i="14"/>
  <c r="Q248" i="14"/>
  <c r="P248" i="14"/>
  <c r="O248" i="14"/>
  <c r="N248" i="14"/>
  <c r="M248" i="14"/>
  <c r="R247" i="14"/>
  <c r="Q247" i="14"/>
  <c r="P247" i="14"/>
  <c r="O247" i="14"/>
  <c r="N247" i="14"/>
  <c r="E247" i="14"/>
  <c r="M247" i="14" s="1"/>
  <c r="R246" i="14"/>
  <c r="Q246" i="14"/>
  <c r="P246" i="14"/>
  <c r="O246" i="14"/>
  <c r="N246" i="14"/>
  <c r="E246" i="14"/>
  <c r="M246" i="14" s="1"/>
  <c r="R245" i="14"/>
  <c r="Q245" i="14"/>
  <c r="P245" i="14"/>
  <c r="M245" i="14"/>
  <c r="I245" i="14"/>
  <c r="J245" i="14" s="1"/>
  <c r="G245" i="14"/>
  <c r="O245" i="14" s="1"/>
  <c r="F245" i="14"/>
  <c r="N245" i="14" s="1"/>
  <c r="F244" i="14"/>
  <c r="N244" i="14" s="1"/>
  <c r="R242" i="14"/>
  <c r="Q242" i="14"/>
  <c r="P242" i="14"/>
  <c r="O242" i="14"/>
  <c r="N242" i="14"/>
  <c r="M242" i="14"/>
  <c r="E242" i="14"/>
  <c r="R241" i="14"/>
  <c r="Q241" i="14"/>
  <c r="P241" i="14"/>
  <c r="O241" i="14"/>
  <c r="N241" i="14"/>
  <c r="E241" i="14"/>
  <c r="M241" i="14" s="1"/>
  <c r="R240" i="14"/>
  <c r="Q240" i="14"/>
  <c r="P240" i="14"/>
  <c r="O240" i="14"/>
  <c r="N240" i="14"/>
  <c r="M240" i="14"/>
  <c r="R239" i="14"/>
  <c r="Q239" i="14"/>
  <c r="P239" i="14"/>
  <c r="O239" i="14"/>
  <c r="N239" i="14"/>
  <c r="E239" i="14"/>
  <c r="M239" i="14" s="1"/>
  <c r="R238" i="14"/>
  <c r="Q238" i="14"/>
  <c r="P238" i="14"/>
  <c r="O238" i="14"/>
  <c r="N238" i="14"/>
  <c r="M238" i="14"/>
  <c r="E238" i="14"/>
  <c r="Q237" i="14"/>
  <c r="P237" i="14"/>
  <c r="O237" i="14"/>
  <c r="M237" i="14"/>
  <c r="J237" i="14"/>
  <c r="R237" i="14" s="1"/>
  <c r="I237" i="14"/>
  <c r="G237" i="14"/>
  <c r="F237" i="14"/>
  <c r="N237" i="14" s="1"/>
  <c r="N236" i="14"/>
  <c r="F236" i="14"/>
  <c r="O222" i="14" a="1"/>
  <c r="O222" i="14" s="1"/>
  <c r="M222" i="14" a="1"/>
  <c r="M222" i="14"/>
  <c r="K222" i="14" a="1"/>
  <c r="K222" i="14" s="1"/>
  <c r="H222" i="14"/>
  <c r="O221" i="14" a="1"/>
  <c r="O221" i="14" s="1"/>
  <c r="K221" i="14" a="1"/>
  <c r="K221" i="14" s="1"/>
  <c r="K220" i="14"/>
  <c r="F197" i="14" a="1"/>
  <c r="F197" i="14"/>
  <c r="F201" i="14" s="1"/>
  <c r="E227" i="14" s="1"/>
  <c r="F227" i="14" s="1"/>
  <c r="R196" i="14" a="1"/>
  <c r="R196" i="14" s="1"/>
  <c r="J196" i="14" a="1"/>
  <c r="J196" i="14" s="1"/>
  <c r="R190" i="14"/>
  <c r="Q190" i="14"/>
  <c r="P190" i="14"/>
  <c r="O190" i="14"/>
  <c r="N190" i="14"/>
  <c r="M190" i="14"/>
  <c r="E190" i="14"/>
  <c r="R189" i="14"/>
  <c r="Q189" i="14"/>
  <c r="P189" i="14"/>
  <c r="O189" i="14"/>
  <c r="N189" i="14"/>
  <c r="E189" i="14"/>
  <c r="M189" i="14" s="1"/>
  <c r="R188" i="14"/>
  <c r="Q188" i="14"/>
  <c r="P188" i="14"/>
  <c r="O188" i="14"/>
  <c r="N188" i="14"/>
  <c r="M188" i="14"/>
  <c r="R187" i="14"/>
  <c r="Q187" i="14"/>
  <c r="P187" i="14"/>
  <c r="O187" i="14"/>
  <c r="N187" i="14"/>
  <c r="E187" i="14"/>
  <c r="M187" i="14" s="1"/>
  <c r="R186" i="14"/>
  <c r="Q186" i="14"/>
  <c r="P186" i="14"/>
  <c r="O186" i="14"/>
  <c r="N186" i="14"/>
  <c r="M186" i="14"/>
  <c r="E186" i="14"/>
  <c r="P185" i="14"/>
  <c r="M185" i="14"/>
  <c r="I185" i="14"/>
  <c r="G185" i="14"/>
  <c r="F185" i="14" s="1"/>
  <c r="N185" i="14" s="1"/>
  <c r="N184" i="14"/>
  <c r="F184" i="14"/>
  <c r="R182" i="14"/>
  <c r="Q182" i="14"/>
  <c r="P182" i="14"/>
  <c r="O182" i="14"/>
  <c r="N182" i="14"/>
  <c r="E182" i="14"/>
  <c r="M182" i="14" s="1"/>
  <c r="R181" i="14"/>
  <c r="Q181" i="14"/>
  <c r="P181" i="14"/>
  <c r="O181" i="14"/>
  <c r="N181" i="14"/>
  <c r="E181" i="14"/>
  <c r="M181" i="14" s="1"/>
  <c r="R180" i="14"/>
  <c r="Q180" i="14"/>
  <c r="P180" i="14"/>
  <c r="O180" i="14"/>
  <c r="N180" i="14"/>
  <c r="M180" i="14"/>
  <c r="R179" i="14"/>
  <c r="Q179" i="14"/>
  <c r="P179" i="14"/>
  <c r="O179" i="14"/>
  <c r="N179" i="14"/>
  <c r="M179" i="14"/>
  <c r="E179" i="14"/>
  <c r="R178" i="14"/>
  <c r="Q178" i="14"/>
  <c r="P178" i="14"/>
  <c r="O178" i="14"/>
  <c r="N178" i="14"/>
  <c r="E178" i="14"/>
  <c r="M178" i="14" s="1"/>
  <c r="P177" i="14"/>
  <c r="N177" i="14"/>
  <c r="M177" i="14"/>
  <c r="I177" i="14"/>
  <c r="J177" i="14" s="1"/>
  <c r="R177" i="14" s="1"/>
  <c r="G177" i="14"/>
  <c r="O177" i="14" s="1"/>
  <c r="F177" i="14"/>
  <c r="N176" i="14"/>
  <c r="F176" i="14"/>
  <c r="R174" i="14"/>
  <c r="Q174" i="14"/>
  <c r="P174" i="14"/>
  <c r="O174" i="14"/>
  <c r="N174" i="14"/>
  <c r="E174" i="14"/>
  <c r="M174" i="14" s="1"/>
  <c r="R173" i="14"/>
  <c r="Q173" i="14"/>
  <c r="P173" i="14"/>
  <c r="O173" i="14"/>
  <c r="N173" i="14"/>
  <c r="M173" i="14"/>
  <c r="E173" i="14"/>
  <c r="R172" i="14"/>
  <c r="Q172" i="14"/>
  <c r="P172" i="14"/>
  <c r="O172" i="14"/>
  <c r="N172" i="14"/>
  <c r="M172" i="14"/>
  <c r="R171" i="14"/>
  <c r="Q171" i="14"/>
  <c r="P171" i="14"/>
  <c r="O171" i="14"/>
  <c r="N171" i="14"/>
  <c r="E171" i="14"/>
  <c r="M171" i="14" s="1"/>
  <c r="R170" i="14"/>
  <c r="Q170" i="14"/>
  <c r="P170" i="14"/>
  <c r="O170" i="14"/>
  <c r="N170" i="14"/>
  <c r="M170" i="14"/>
  <c r="E170" i="14"/>
  <c r="R169" i="14"/>
  <c r="Q169" i="14"/>
  <c r="P169" i="14"/>
  <c r="N169" i="14"/>
  <c r="M169" i="14"/>
  <c r="J169" i="14"/>
  <c r="I169" i="14"/>
  <c r="G169" i="14"/>
  <c r="O169" i="14" s="1"/>
  <c r="F169" i="14"/>
  <c r="F168" i="14"/>
  <c r="N168" i="14" s="1"/>
  <c r="R166" i="14"/>
  <c r="Q166" i="14"/>
  <c r="P166" i="14"/>
  <c r="O166" i="14"/>
  <c r="N166" i="14"/>
  <c r="M166" i="14"/>
  <c r="E166" i="14"/>
  <c r="R165" i="14"/>
  <c r="Q165" i="14"/>
  <c r="P165" i="14"/>
  <c r="O165" i="14"/>
  <c r="N165" i="14"/>
  <c r="E165" i="14"/>
  <c r="M165" i="14" s="1"/>
  <c r="R164" i="14"/>
  <c r="Q164" i="14"/>
  <c r="P164" i="14"/>
  <c r="O164" i="14"/>
  <c r="N164" i="14"/>
  <c r="M164" i="14"/>
  <c r="R163" i="14"/>
  <c r="Q163" i="14"/>
  <c r="P163" i="14"/>
  <c r="O163" i="14"/>
  <c r="N163" i="14"/>
  <c r="M163" i="14"/>
  <c r="E163" i="14"/>
  <c r="R162" i="14"/>
  <c r="Q162" i="14"/>
  <c r="P162" i="14"/>
  <c r="O162" i="14"/>
  <c r="N162" i="14"/>
  <c r="M162" i="14"/>
  <c r="E162" i="14"/>
  <c r="Q161" i="14"/>
  <c r="P161" i="14"/>
  <c r="O161" i="14"/>
  <c r="M161" i="14"/>
  <c r="J161" i="14"/>
  <c r="R161" i="14" s="1"/>
  <c r="I161" i="14"/>
  <c r="G161" i="14"/>
  <c r="F161" i="14"/>
  <c r="N161" i="14" s="1"/>
  <c r="N160" i="14"/>
  <c r="F160" i="14"/>
  <c r="K147" i="14"/>
  <c r="K146" i="14"/>
  <c r="R119" i="14" s="1"/>
  <c r="J146" i="14"/>
  <c r="J119" i="14" s="1"/>
  <c r="H144" i="14"/>
  <c r="N132" i="14"/>
  <c r="N130" i="14"/>
  <c r="N208" i="14" s="1"/>
  <c r="R208" i="14" s="1"/>
  <c r="N123" i="14"/>
  <c r="N119" i="14"/>
  <c r="F119" i="14"/>
  <c r="F123" i="14" s="1"/>
  <c r="R118" i="14"/>
  <c r="R120" i="14" s="1"/>
  <c r="N118" i="14"/>
  <c r="N120" i="14" s="1"/>
  <c r="R111" i="14"/>
  <c r="Q111" i="14"/>
  <c r="P111" i="14"/>
  <c r="O111" i="14"/>
  <c r="N111" i="14"/>
  <c r="R110" i="14"/>
  <c r="Q110" i="14"/>
  <c r="P110" i="14"/>
  <c r="O110" i="14"/>
  <c r="N110" i="14"/>
  <c r="M110" i="14"/>
  <c r="E110" i="14"/>
  <c r="R109" i="14"/>
  <c r="Q109" i="14"/>
  <c r="P109" i="14"/>
  <c r="O109" i="14"/>
  <c r="N109" i="14"/>
  <c r="M109" i="14"/>
  <c r="R108" i="14"/>
  <c r="Q108" i="14"/>
  <c r="P108" i="14"/>
  <c r="O108" i="14"/>
  <c r="N108" i="14"/>
  <c r="R107" i="14"/>
  <c r="Q107" i="14"/>
  <c r="P107" i="14"/>
  <c r="O107" i="14"/>
  <c r="N107" i="14"/>
  <c r="P106" i="14"/>
  <c r="O106" i="14"/>
  <c r="N106" i="14"/>
  <c r="M106" i="14"/>
  <c r="J106" i="14"/>
  <c r="R106" i="14" s="1"/>
  <c r="I106" i="14"/>
  <c r="Q106" i="14" s="1"/>
  <c r="G106" i="14"/>
  <c r="F106" i="14"/>
  <c r="R103" i="14"/>
  <c r="Q103" i="14"/>
  <c r="P103" i="14"/>
  <c r="O103" i="14"/>
  <c r="N103" i="14"/>
  <c r="E103" i="14"/>
  <c r="R102" i="14"/>
  <c r="Q102" i="14"/>
  <c r="P102" i="14"/>
  <c r="O102" i="14"/>
  <c r="N102" i="14"/>
  <c r="M102" i="14"/>
  <c r="E102" i="14"/>
  <c r="R101" i="14"/>
  <c r="Q101" i="14"/>
  <c r="P101" i="14"/>
  <c r="O101" i="14"/>
  <c r="N101" i="14"/>
  <c r="M101" i="14"/>
  <c r="R100" i="14"/>
  <c r="Q100" i="14"/>
  <c r="P100" i="14"/>
  <c r="O100" i="14"/>
  <c r="N100" i="14"/>
  <c r="E100" i="14"/>
  <c r="E108" i="14" s="1"/>
  <c r="M108" i="14" s="1"/>
  <c r="R99" i="14"/>
  <c r="Q99" i="14"/>
  <c r="P99" i="14"/>
  <c r="O99" i="14"/>
  <c r="N99" i="14"/>
  <c r="R98" i="14"/>
  <c r="Q98" i="14"/>
  <c r="P98" i="14"/>
  <c r="M98" i="14"/>
  <c r="J98" i="14"/>
  <c r="I98" i="14"/>
  <c r="G98" i="14"/>
  <c r="O98" i="14" s="1"/>
  <c r="F98" i="14"/>
  <c r="N98" i="14" s="1"/>
  <c r="J92" i="14"/>
  <c r="K92" i="14" s="1"/>
  <c r="F92" i="14"/>
  <c r="E92" i="14"/>
  <c r="G87" i="14"/>
  <c r="R71" i="14"/>
  <c r="AB70" i="14"/>
  <c r="R70" i="14"/>
  <c r="K70" i="14"/>
  <c r="R69" i="14"/>
  <c r="AB67" i="14"/>
  <c r="K67" i="14"/>
  <c r="AB60" i="14"/>
  <c r="R60" i="14"/>
  <c r="K60" i="14"/>
  <c r="L43" i="14"/>
  <c r="K43" i="14"/>
  <c r="J43" i="14"/>
  <c r="C43" i="14"/>
  <c r="C42" i="14"/>
  <c r="L41" i="14"/>
  <c r="K41" i="14"/>
  <c r="J41" i="14"/>
  <c r="J40" i="14"/>
  <c r="C40" i="14"/>
  <c r="J39" i="14"/>
  <c r="C39" i="14"/>
  <c r="L38" i="14"/>
  <c r="K38" i="14"/>
  <c r="J38" i="14"/>
  <c r="C38" i="14"/>
  <c r="L34" i="14"/>
  <c r="J34" i="14"/>
  <c r="C34" i="14"/>
  <c r="C33" i="14"/>
  <c r="C32" i="14"/>
  <c r="C31" i="14"/>
  <c r="I29" i="14"/>
  <c r="O26" i="14"/>
  <c r="P26" i="14" s="1"/>
  <c r="Q26" i="14" s="1"/>
  <c r="R26" i="14" s="1"/>
  <c r="M22" i="14"/>
  <c r="J22" i="14"/>
  <c r="I22" i="14"/>
  <c r="H22" i="14"/>
  <c r="G22" i="14"/>
  <c r="E22" i="14" s="1"/>
  <c r="F22" i="14"/>
  <c r="J21" i="14"/>
  <c r="I21" i="14"/>
  <c r="H21" i="14"/>
  <c r="G21" i="14"/>
  <c r="F21" i="14"/>
  <c r="D21" i="14"/>
  <c r="M20" i="14"/>
  <c r="J20" i="14"/>
  <c r="I20" i="14"/>
  <c r="H20" i="14"/>
  <c r="G20" i="14"/>
  <c r="F20" i="14"/>
  <c r="D20" i="14"/>
  <c r="M19" i="14"/>
  <c r="C19" i="14"/>
  <c r="M18" i="14"/>
  <c r="M17" i="14"/>
  <c r="J17" i="14"/>
  <c r="I17" i="14"/>
  <c r="H17" i="14"/>
  <c r="G17" i="14"/>
  <c r="F17" i="14"/>
  <c r="J16" i="14"/>
  <c r="I16" i="14"/>
  <c r="H16" i="14"/>
  <c r="G16" i="14"/>
  <c r="E16" i="14" s="1"/>
  <c r="F16" i="14"/>
  <c r="M15" i="14"/>
  <c r="J15" i="14"/>
  <c r="H15" i="14"/>
  <c r="G15" i="14"/>
  <c r="D15" i="14"/>
  <c r="M14" i="14"/>
  <c r="C14" i="14"/>
  <c r="M220" i="14" s="1"/>
  <c r="M13" i="14"/>
  <c r="M12" i="14"/>
  <c r="J12" i="14"/>
  <c r="I12" i="14"/>
  <c r="H12" i="14"/>
  <c r="G12" i="14"/>
  <c r="F12" i="14"/>
  <c r="D12" i="14"/>
  <c r="N196" i="14" s="1"/>
  <c r="B12" i="14"/>
  <c r="J11" i="14"/>
  <c r="I11" i="14"/>
  <c r="H11" i="14"/>
  <c r="G11" i="14"/>
  <c r="F11" i="14"/>
  <c r="D11" i="14"/>
  <c r="F196" i="14" s="1"/>
  <c r="J10" i="14"/>
  <c r="H10" i="14"/>
  <c r="G10" i="14"/>
  <c r="F10" i="14"/>
  <c r="D10" i="14"/>
  <c r="B10" i="14"/>
  <c r="C9" i="14"/>
  <c r="D7" i="14"/>
  <c r="W4" i="14"/>
  <c r="C2" i="14"/>
  <c r="C1" i="14"/>
  <c r="G49" i="13"/>
  <c r="C49" i="13"/>
  <c r="E47" i="13"/>
  <c r="C43" i="13"/>
  <c r="F37" i="13"/>
  <c r="E37" i="13"/>
  <c r="D37" i="13"/>
  <c r="G37" i="13" s="1"/>
  <c r="G36" i="13"/>
  <c r="F36" i="13"/>
  <c r="E36" i="13"/>
  <c r="D36" i="13"/>
  <c r="G35" i="13"/>
  <c r="F35" i="13"/>
  <c r="F39" i="13" s="1"/>
  <c r="E35" i="13"/>
  <c r="D35" i="13"/>
  <c r="F34" i="13"/>
  <c r="E34" i="13"/>
  <c r="D34" i="13"/>
  <c r="G34" i="13" s="1"/>
  <c r="G39" i="13" s="1"/>
  <c r="D47" i="13" s="1"/>
  <c r="M33" i="13"/>
  <c r="N33" i="13" s="1"/>
  <c r="F33" i="13"/>
  <c r="F40" i="13" s="1"/>
  <c r="E33" i="13"/>
  <c r="E40" i="13" s="1"/>
  <c r="D33" i="13"/>
  <c r="G33" i="13" s="1"/>
  <c r="K28" i="13"/>
  <c r="C28" i="13"/>
  <c r="K27" i="13"/>
  <c r="K25" i="13"/>
  <c r="K24" i="13"/>
  <c r="G24" i="13"/>
  <c r="P23" i="13"/>
  <c r="O23" i="13"/>
  <c r="M23" i="13"/>
  <c r="L23" i="13"/>
  <c r="G23" i="13"/>
  <c r="C23" i="13"/>
  <c r="G22" i="13"/>
  <c r="G25" i="13" s="1"/>
  <c r="O7" i="13" s="1"/>
  <c r="C22" i="13"/>
  <c r="G15" i="13"/>
  <c r="O8" i="13"/>
  <c r="C2" i="13"/>
  <c r="C1" i="13"/>
  <c r="P30" i="12"/>
  <c r="J30" i="12"/>
  <c r="C30" i="12" s="1"/>
  <c r="G30" i="12"/>
  <c r="F30" i="12"/>
  <c r="E30" i="12"/>
  <c r="P29" i="12"/>
  <c r="J29" i="12"/>
  <c r="C29" i="12" s="1"/>
  <c r="G29" i="12"/>
  <c r="P28" i="12"/>
  <c r="J28" i="12"/>
  <c r="C28" i="12" s="1"/>
  <c r="G28" i="12"/>
  <c r="P27" i="12"/>
  <c r="J27" i="12"/>
  <c r="C27" i="12" s="1"/>
  <c r="G27" i="12"/>
  <c r="F27" i="12"/>
  <c r="P26" i="12"/>
  <c r="J26" i="12"/>
  <c r="C26" i="12" s="1"/>
  <c r="G26" i="12"/>
  <c r="F26" i="12"/>
  <c r="E26" i="12"/>
  <c r="P25" i="12"/>
  <c r="J25" i="12"/>
  <c r="C25" i="12" s="1"/>
  <c r="G25" i="12"/>
  <c r="P24" i="12"/>
  <c r="J24" i="12"/>
  <c r="C24" i="12" s="1"/>
  <c r="G24" i="12"/>
  <c r="P23" i="12"/>
  <c r="J23" i="12"/>
  <c r="C23" i="12" s="1"/>
  <c r="G23" i="12"/>
  <c r="F23" i="12"/>
  <c r="P22" i="12"/>
  <c r="J22" i="12"/>
  <c r="C22" i="12" s="1"/>
  <c r="G22" i="12"/>
  <c r="F22" i="12"/>
  <c r="E22" i="12"/>
  <c r="P21" i="12"/>
  <c r="J21" i="12"/>
  <c r="C21" i="12" s="1"/>
  <c r="G21" i="12"/>
  <c r="P20" i="12"/>
  <c r="J20" i="12"/>
  <c r="C20" i="12" s="1"/>
  <c r="G20" i="12"/>
  <c r="P19" i="12"/>
  <c r="J19" i="12"/>
  <c r="C19" i="12" s="1"/>
  <c r="G19" i="12"/>
  <c r="F19" i="12"/>
  <c r="P18" i="12"/>
  <c r="J18" i="12"/>
  <c r="C18" i="12" s="1"/>
  <c r="G18" i="12"/>
  <c r="F18" i="12"/>
  <c r="E18" i="12"/>
  <c r="P17" i="12"/>
  <c r="J17" i="12"/>
  <c r="C17" i="12" s="1"/>
  <c r="G17" i="12"/>
  <c r="P16" i="12"/>
  <c r="J16" i="12"/>
  <c r="C16" i="12" s="1"/>
  <c r="G16" i="12"/>
  <c r="P15" i="12"/>
  <c r="J15" i="12"/>
  <c r="C15" i="12" s="1"/>
  <c r="G15" i="12"/>
  <c r="F15" i="12"/>
  <c r="P14" i="12"/>
  <c r="J14" i="12"/>
  <c r="C14" i="12" s="1"/>
  <c r="G14" i="12"/>
  <c r="F14" i="12"/>
  <c r="E14" i="12"/>
  <c r="P13" i="12"/>
  <c r="J13" i="12"/>
  <c r="C13" i="12" s="1"/>
  <c r="G13" i="12"/>
  <c r="Q12" i="12"/>
  <c r="F29" i="12" s="1"/>
  <c r="M12" i="12"/>
  <c r="N12" i="12" s="1"/>
  <c r="O12" i="12" s="1"/>
  <c r="L12" i="12"/>
  <c r="K12" i="12"/>
  <c r="E28" i="12" s="1"/>
  <c r="L4" i="12"/>
  <c r="L5" i="12" s="1"/>
  <c r="L6" i="12" s="1"/>
  <c r="L3" i="12"/>
  <c r="AC2" i="12"/>
  <c r="N90" i="11"/>
  <c r="I90" i="11"/>
  <c r="X70" i="11" s="1"/>
  <c r="N89" i="11"/>
  <c r="I89" i="11"/>
  <c r="E89" i="11"/>
  <c r="N88" i="11"/>
  <c r="I88" i="11"/>
  <c r="E88" i="11"/>
  <c r="L6" i="15" s="1"/>
  <c r="L86" i="11"/>
  <c r="G86" i="11"/>
  <c r="D86" i="11"/>
  <c r="BN76" i="11"/>
  <c r="BM76" i="11"/>
  <c r="BL76" i="11"/>
  <c r="BK76" i="11"/>
  <c r="BJ76" i="11"/>
  <c r="BI76" i="11"/>
  <c r="BH76" i="11"/>
  <c r="BG76" i="11"/>
  <c r="BF76" i="11"/>
  <c r="BE76" i="11"/>
  <c r="BD76" i="11"/>
  <c r="BC76" i="11"/>
  <c r="BA76" i="11"/>
  <c r="AZ76" i="11"/>
  <c r="AY76" i="11"/>
  <c r="BB76" i="11" s="1"/>
  <c r="AU76" i="11"/>
  <c r="AT76" i="11"/>
  <c r="AR76" i="11"/>
  <c r="AQ76" i="11"/>
  <c r="AP76" i="11"/>
  <c r="AO76" i="11"/>
  <c r="AN76" i="11"/>
  <c r="AM76" i="11"/>
  <c r="AL76" i="11"/>
  <c r="AK76" i="11"/>
  <c r="AJ76" i="11"/>
  <c r="AI76" i="11"/>
  <c r="AH76" i="11"/>
  <c r="AG76" i="11"/>
  <c r="AE76" i="11"/>
  <c r="AD76" i="11"/>
  <c r="AC76" i="11"/>
  <c r="AF76" i="11" s="1"/>
  <c r="AB76" i="11"/>
  <c r="X76" i="11"/>
  <c r="V76" i="11"/>
  <c r="U76" i="11"/>
  <c r="T76" i="11"/>
  <c r="S76" i="11"/>
  <c r="R76" i="11"/>
  <c r="Q76" i="11"/>
  <c r="P76" i="11"/>
  <c r="O76" i="11"/>
  <c r="N76" i="11"/>
  <c r="M76" i="11"/>
  <c r="L76" i="11"/>
  <c r="K76" i="11"/>
  <c r="I76" i="11"/>
  <c r="H76" i="11"/>
  <c r="G76" i="11"/>
  <c r="J76" i="11" s="1"/>
  <c r="F76" i="11"/>
  <c r="B76" i="11"/>
  <c r="BN75" i="11"/>
  <c r="BM75" i="11"/>
  <c r="BL75" i="11"/>
  <c r="BK75" i="11"/>
  <c r="BJ75" i="11"/>
  <c r="BI75" i="11"/>
  <c r="BH75" i="11"/>
  <c r="BG75" i="11"/>
  <c r="BF75" i="11"/>
  <c r="BE75" i="11"/>
  <c r="BD75" i="11"/>
  <c r="BC75" i="11"/>
  <c r="BA75" i="11"/>
  <c r="AZ75" i="11"/>
  <c r="AY75" i="11"/>
  <c r="BB75" i="11" s="1"/>
  <c r="AU75" i="11"/>
  <c r="AT75" i="11"/>
  <c r="AR75" i="11"/>
  <c r="AQ75" i="11"/>
  <c r="AP75" i="11"/>
  <c r="AO75" i="11"/>
  <c r="AN75" i="11"/>
  <c r="AM75" i="11"/>
  <c r="AL75" i="11"/>
  <c r="AK75" i="11"/>
  <c r="AJ75" i="11"/>
  <c r="AI75" i="11"/>
  <c r="AH75" i="11"/>
  <c r="AG75" i="11"/>
  <c r="AE75" i="11"/>
  <c r="AD75" i="11"/>
  <c r="AC75" i="11"/>
  <c r="AF75" i="11" s="1"/>
  <c r="AB75" i="11"/>
  <c r="X75" i="11"/>
  <c r="V75" i="11"/>
  <c r="U75" i="11"/>
  <c r="T75" i="11"/>
  <c r="S75" i="11"/>
  <c r="R75" i="11"/>
  <c r="Q75" i="11"/>
  <c r="P75" i="11"/>
  <c r="O75" i="11"/>
  <c r="N75" i="11"/>
  <c r="M75" i="11"/>
  <c r="L75" i="11"/>
  <c r="K75" i="11"/>
  <c r="I75" i="11"/>
  <c r="H75" i="11"/>
  <c r="G75" i="11"/>
  <c r="J75" i="11" s="1"/>
  <c r="F75" i="11"/>
  <c r="B75" i="11"/>
  <c r="BN74" i="11"/>
  <c r="BM74" i="11"/>
  <c r="BL74" i="11"/>
  <c r="BK74" i="11"/>
  <c r="BJ74" i="11"/>
  <c r="BI74" i="11"/>
  <c r="BH74" i="11"/>
  <c r="BG74" i="11"/>
  <c r="BF74" i="11"/>
  <c r="BE74" i="11"/>
  <c r="BD74" i="11"/>
  <c r="BC74" i="11"/>
  <c r="BA74" i="11"/>
  <c r="AZ74" i="11"/>
  <c r="AY74" i="11"/>
  <c r="BB74" i="11" s="1"/>
  <c r="AU74" i="11"/>
  <c r="AT74" i="11"/>
  <c r="AR74" i="11"/>
  <c r="AQ74" i="11"/>
  <c r="AP74" i="11"/>
  <c r="AO74" i="11"/>
  <c r="AN74" i="11"/>
  <c r="AM74" i="11"/>
  <c r="AL74" i="11"/>
  <c r="AK74" i="11"/>
  <c r="AJ74" i="11"/>
  <c r="AI74" i="11"/>
  <c r="AH74" i="11"/>
  <c r="AG74" i="11"/>
  <c r="AE74" i="11"/>
  <c r="AD74" i="11"/>
  <c r="AC74" i="11"/>
  <c r="AF74" i="11" s="1"/>
  <c r="AB74" i="11"/>
  <c r="X74" i="11"/>
  <c r="V74" i="11"/>
  <c r="U74" i="11"/>
  <c r="T74" i="11"/>
  <c r="S74" i="11"/>
  <c r="R74" i="11"/>
  <c r="Q74" i="11"/>
  <c r="P74" i="11"/>
  <c r="O74" i="11"/>
  <c r="N74" i="11"/>
  <c r="M74" i="11"/>
  <c r="L74" i="11"/>
  <c r="K74" i="11"/>
  <c r="I74" i="11"/>
  <c r="H74" i="11"/>
  <c r="G74" i="11"/>
  <c r="J74" i="11" s="1"/>
  <c r="F74" i="11"/>
  <c r="B74" i="11"/>
  <c r="BN73" i="11"/>
  <c r="BM73" i="11"/>
  <c r="BL73" i="11"/>
  <c r="BK73" i="11"/>
  <c r="BJ73" i="11"/>
  <c r="BI73" i="11"/>
  <c r="BH73" i="11"/>
  <c r="BG73" i="11"/>
  <c r="BF73" i="11"/>
  <c r="BE73" i="11"/>
  <c r="BD73" i="11"/>
  <c r="BC73" i="11"/>
  <c r="BA73" i="11"/>
  <c r="AZ73" i="11"/>
  <c r="AY73" i="11"/>
  <c r="BB73" i="11" s="1"/>
  <c r="AU73" i="11"/>
  <c r="AT73" i="11"/>
  <c r="AT54" i="11" s="1"/>
  <c r="AR73" i="11"/>
  <c r="AQ73" i="11"/>
  <c r="AP73" i="11"/>
  <c r="AO73" i="11"/>
  <c r="AN73" i="11"/>
  <c r="AM73" i="11"/>
  <c r="AL73" i="11"/>
  <c r="AK73" i="11"/>
  <c r="AJ73" i="11"/>
  <c r="AI73" i="11"/>
  <c r="AH73" i="11"/>
  <c r="AG73" i="11"/>
  <c r="AE73" i="11"/>
  <c r="AD73" i="11"/>
  <c r="AC73" i="11"/>
  <c r="AF73" i="11" s="1"/>
  <c r="AB73" i="11"/>
  <c r="X73" i="11"/>
  <c r="V73" i="11"/>
  <c r="U73" i="11"/>
  <c r="T73" i="11"/>
  <c r="S73" i="11"/>
  <c r="R73" i="11"/>
  <c r="Q73" i="11"/>
  <c r="P73" i="11"/>
  <c r="O73" i="11"/>
  <c r="N73" i="11"/>
  <c r="M73" i="11"/>
  <c r="L73" i="11"/>
  <c r="K73" i="11"/>
  <c r="I73" i="11"/>
  <c r="H73" i="11"/>
  <c r="G73" i="11"/>
  <c r="J73" i="11" s="1"/>
  <c r="F73" i="11"/>
  <c r="B73" i="11"/>
  <c r="BN72" i="11"/>
  <c r="BM72" i="11"/>
  <c r="BL72" i="11"/>
  <c r="BL78" i="11" s="1"/>
  <c r="BK72" i="11"/>
  <c r="BJ72" i="11"/>
  <c r="BJ81" i="11" s="1"/>
  <c r="BI72" i="11"/>
  <c r="BI79" i="11" s="1"/>
  <c r="BH72" i="11"/>
  <c r="BH79" i="11" s="1"/>
  <c r="BG72" i="11"/>
  <c r="BG78" i="11" s="1"/>
  <c r="BF72" i="11"/>
  <c r="BF78" i="11" s="1"/>
  <c r="BE72" i="11"/>
  <c r="BD72" i="11"/>
  <c r="BC72" i="11"/>
  <c r="BA72" i="11"/>
  <c r="BA79" i="11" s="1"/>
  <c r="AZ72" i="11"/>
  <c r="AZ79" i="11" s="1"/>
  <c r="AY72" i="11"/>
  <c r="AY78" i="11" s="1"/>
  <c r="AX72" i="11"/>
  <c r="AU72" i="11"/>
  <c r="AT72" i="11"/>
  <c r="AR72" i="11"/>
  <c r="AQ72" i="11"/>
  <c r="AP72" i="11"/>
  <c r="AP78" i="11" s="1"/>
  <c r="AO72" i="11"/>
  <c r="AO81" i="11" s="1"/>
  <c r="AN72" i="11"/>
  <c r="AM72" i="11"/>
  <c r="AL72" i="11"/>
  <c r="AK72" i="11"/>
  <c r="AJ72" i="11"/>
  <c r="AJ80" i="11" s="1"/>
  <c r="AI72" i="11"/>
  <c r="AI81" i="11" s="1"/>
  <c r="AH72" i="11"/>
  <c r="AH78" i="11" s="1"/>
  <c r="AG72" i="11"/>
  <c r="AG81" i="11" s="1"/>
  <c r="AE72" i="11"/>
  <c r="AD72" i="11"/>
  <c r="AD79" i="11" s="1"/>
  <c r="AC72" i="11"/>
  <c r="AC79" i="11" s="1"/>
  <c r="AB72" i="11"/>
  <c r="X72" i="11"/>
  <c r="V72" i="11"/>
  <c r="U72" i="11"/>
  <c r="T72" i="11"/>
  <c r="S72" i="11"/>
  <c r="R72" i="11"/>
  <c r="Q72" i="11"/>
  <c r="Q79" i="11" s="1"/>
  <c r="P72" i="11"/>
  <c r="O72" i="11"/>
  <c r="N72" i="11"/>
  <c r="N78" i="11" s="1"/>
  <c r="M72" i="11"/>
  <c r="L72" i="11"/>
  <c r="K72" i="11"/>
  <c r="I72" i="11"/>
  <c r="I79" i="11" s="1"/>
  <c r="H72" i="11"/>
  <c r="G72" i="11"/>
  <c r="G79" i="11" s="1"/>
  <c r="F72" i="11"/>
  <c r="B72" i="11"/>
  <c r="B53" i="11" s="1"/>
  <c r="BN70" i="11"/>
  <c r="BM70" i="11"/>
  <c r="BL70" i="11"/>
  <c r="BK70" i="11"/>
  <c r="BJ70" i="11"/>
  <c r="BI70" i="11"/>
  <c r="BH70" i="11"/>
  <c r="BG70" i="11"/>
  <c r="BF70" i="11"/>
  <c r="BE70" i="11"/>
  <c r="BD70" i="11"/>
  <c r="BC70" i="11"/>
  <c r="BA70" i="11"/>
  <c r="AZ70" i="11"/>
  <c r="AY70" i="11"/>
  <c r="BB70" i="11" s="1"/>
  <c r="AX70" i="11"/>
  <c r="AU70" i="11"/>
  <c r="AT70" i="11"/>
  <c r="AR70" i="11"/>
  <c r="AQ70" i="11"/>
  <c r="AP70" i="11"/>
  <c r="AO70" i="11"/>
  <c r="AN70" i="11"/>
  <c r="AM70" i="11"/>
  <c r="AL70" i="11"/>
  <c r="AK70" i="11"/>
  <c r="AJ70" i="11"/>
  <c r="AI70" i="11"/>
  <c r="AH70" i="11"/>
  <c r="AG70" i="11"/>
  <c r="AE70" i="11"/>
  <c r="AD70" i="11"/>
  <c r="AC70" i="11"/>
  <c r="AF70" i="11" s="1"/>
  <c r="V70" i="11"/>
  <c r="U70" i="11"/>
  <c r="T70" i="11"/>
  <c r="S70" i="11"/>
  <c r="R70" i="11"/>
  <c r="Q70" i="11"/>
  <c r="P70" i="11"/>
  <c r="O70" i="11"/>
  <c r="N70" i="11"/>
  <c r="M70" i="11"/>
  <c r="L70" i="11"/>
  <c r="K70" i="11"/>
  <c r="I70" i="11"/>
  <c r="H70" i="11"/>
  <c r="G70" i="11"/>
  <c r="J70" i="11" s="1"/>
  <c r="B70" i="11"/>
  <c r="B51" i="11" s="1"/>
  <c r="BN68" i="11"/>
  <c r="BM68" i="11"/>
  <c r="BL68" i="11"/>
  <c r="BK68" i="11"/>
  <c r="BJ68" i="11"/>
  <c r="BI68" i="11"/>
  <c r="BH68" i="11"/>
  <c r="BG68" i="11"/>
  <c r="BF68" i="11"/>
  <c r="BE68" i="11"/>
  <c r="BD68" i="11"/>
  <c r="BC68" i="11"/>
  <c r="BB68" i="11"/>
  <c r="BA68" i="11"/>
  <c r="AZ68" i="11"/>
  <c r="AY68" i="11"/>
  <c r="AX68" i="11"/>
  <c r="AR68" i="11"/>
  <c r="AQ68" i="11"/>
  <c r="AP68" i="11"/>
  <c r="AO68" i="11"/>
  <c r="AN68" i="11"/>
  <c r="AM68" i="11"/>
  <c r="AL68" i="11"/>
  <c r="AK68" i="11"/>
  <c r="AJ68" i="11"/>
  <c r="AI68" i="11"/>
  <c r="AH68" i="11"/>
  <c r="AG68" i="11"/>
  <c r="AF68" i="11"/>
  <c r="AE68" i="11"/>
  <c r="AD68" i="11"/>
  <c r="AC68" i="11"/>
  <c r="AB68" i="11"/>
  <c r="T68" i="11"/>
  <c r="S68" i="11"/>
  <c r="R68" i="11"/>
  <c r="Q68" i="11"/>
  <c r="P68" i="11"/>
  <c r="O68" i="11"/>
  <c r="N68" i="11"/>
  <c r="M68" i="11"/>
  <c r="L68" i="11"/>
  <c r="K68" i="11"/>
  <c r="J68" i="11"/>
  <c r="I68" i="11"/>
  <c r="H68" i="11"/>
  <c r="G68" i="11"/>
  <c r="F68" i="11"/>
  <c r="BL67" i="11"/>
  <c r="BK67" i="11"/>
  <c r="BJ67" i="11"/>
  <c r="BI67" i="11"/>
  <c r="BH67" i="11"/>
  <c r="BA67" i="11"/>
  <c r="AP67" i="11"/>
  <c r="AO67" i="11"/>
  <c r="AN67" i="11"/>
  <c r="AM67" i="11"/>
  <c r="AL67" i="11"/>
  <c r="AE67" i="11"/>
  <c r="T67" i="11"/>
  <c r="S67" i="11"/>
  <c r="R67" i="11"/>
  <c r="Q67" i="11"/>
  <c r="P67" i="11"/>
  <c r="I67" i="11"/>
  <c r="BE66" i="11"/>
  <c r="AI66" i="11"/>
  <c r="M66" i="11"/>
  <c r="BM65" i="11"/>
  <c r="BK65" i="11"/>
  <c r="BB65" i="11"/>
  <c r="AY65" i="11"/>
  <c r="AV65" i="11"/>
  <c r="AQ65" i="11"/>
  <c r="AO65" i="11"/>
  <c r="AL65" i="11"/>
  <c r="AF65" i="11"/>
  <c r="AC65" i="11"/>
  <c r="Z65" i="11"/>
  <c r="U65" i="11"/>
  <c r="S65" i="11"/>
  <c r="J65" i="11"/>
  <c r="G65" i="11"/>
  <c r="D65" i="11"/>
  <c r="AV62" i="11"/>
  <c r="Z62" i="11"/>
  <c r="D62" i="11"/>
  <c r="AV61" i="11"/>
  <c r="Z61" i="11"/>
  <c r="D61" i="11"/>
  <c r="AV60" i="11"/>
  <c r="Z60" i="11"/>
  <c r="D60" i="11"/>
  <c r="AV59" i="11"/>
  <c r="Z59" i="11"/>
  <c r="D59" i="11"/>
  <c r="BN57" i="11"/>
  <c r="BM57" i="11"/>
  <c r="BL57" i="11"/>
  <c r="BK57" i="11"/>
  <c r="BJ57" i="11"/>
  <c r="BI57" i="11"/>
  <c r="BH57" i="11"/>
  <c r="BG57" i="11"/>
  <c r="BF57" i="11"/>
  <c r="BE57" i="11"/>
  <c r="BD57" i="11"/>
  <c r="BC57" i="11"/>
  <c r="BB57" i="11"/>
  <c r="BA57" i="11"/>
  <c r="AZ57" i="11"/>
  <c r="AY57" i="11"/>
  <c r="AX57" i="11"/>
  <c r="AX76" i="11" s="1"/>
  <c r="AV57" i="11"/>
  <c r="AT57" i="11"/>
  <c r="AR57" i="11"/>
  <c r="AQ57" i="11"/>
  <c r="AP57" i="11"/>
  <c r="AO57" i="11"/>
  <c r="AN57" i="11"/>
  <c r="AM57" i="11"/>
  <c r="AL57" i="11"/>
  <c r="AK57" i="11"/>
  <c r="AJ57" i="11"/>
  <c r="AI57" i="11"/>
  <c r="AH57" i="11"/>
  <c r="AG57" i="11"/>
  <c r="AF57" i="11"/>
  <c r="AE57" i="11"/>
  <c r="AD57" i="11"/>
  <c r="AC57" i="11"/>
  <c r="AB57" i="11"/>
  <c r="Z57" i="11"/>
  <c r="Z76" i="11" s="1"/>
  <c r="Z16" i="11" s="1"/>
  <c r="X57" i="11"/>
  <c r="V57" i="11"/>
  <c r="U57" i="11"/>
  <c r="T57" i="11"/>
  <c r="S57" i="11"/>
  <c r="R57" i="11"/>
  <c r="Q57" i="11"/>
  <c r="P57" i="11"/>
  <c r="O57" i="11"/>
  <c r="N57" i="11"/>
  <c r="M57" i="11"/>
  <c r="L57" i="11"/>
  <c r="K57" i="11"/>
  <c r="J57" i="11"/>
  <c r="I57" i="11"/>
  <c r="H57" i="11"/>
  <c r="G57" i="11"/>
  <c r="F57" i="11"/>
  <c r="D57" i="11"/>
  <c r="D76" i="11" s="1"/>
  <c r="B57" i="11"/>
  <c r="BN56" i="11"/>
  <c r="BM56" i="11"/>
  <c r="BL56" i="11"/>
  <c r="BK56" i="11"/>
  <c r="BJ56" i="11"/>
  <c r="BI56" i="11"/>
  <c r="BH56" i="11"/>
  <c r="BG56" i="11"/>
  <c r="BF56" i="11"/>
  <c r="BE56" i="11"/>
  <c r="BD56" i="11"/>
  <c r="BC56" i="11"/>
  <c r="BB56" i="11"/>
  <c r="BA56" i="11"/>
  <c r="AZ56" i="11"/>
  <c r="AY56" i="11"/>
  <c r="AX56" i="11"/>
  <c r="AX75" i="11" s="1"/>
  <c r="AV56" i="11"/>
  <c r="AV75" i="11" s="1"/>
  <c r="AT56" i="11"/>
  <c r="AR56" i="11"/>
  <c r="AQ56" i="11"/>
  <c r="AP56" i="11"/>
  <c r="AO56" i="11"/>
  <c r="AN56" i="11"/>
  <c r="AM56" i="11"/>
  <c r="AL56" i="11"/>
  <c r="AK56" i="11"/>
  <c r="AJ56" i="11"/>
  <c r="AI56" i="11"/>
  <c r="AH56" i="11"/>
  <c r="AG56" i="11"/>
  <c r="AF56" i="11"/>
  <c r="AE56" i="11"/>
  <c r="AD56" i="11"/>
  <c r="AC56" i="11"/>
  <c r="AB56" i="11"/>
  <c r="Z56" i="11"/>
  <c r="Z75" i="11" s="1"/>
  <c r="Z15" i="11" s="1"/>
  <c r="X56" i="11"/>
  <c r="V56" i="11"/>
  <c r="U56" i="11"/>
  <c r="T56" i="11"/>
  <c r="S56" i="11"/>
  <c r="R56" i="11"/>
  <c r="Q56" i="11"/>
  <c r="P56" i="11"/>
  <c r="O56" i="11"/>
  <c r="N56" i="11"/>
  <c r="M56" i="11"/>
  <c r="L56" i="11"/>
  <c r="K56" i="11"/>
  <c r="J56" i="11"/>
  <c r="I56" i="11"/>
  <c r="H56" i="11"/>
  <c r="G56" i="11"/>
  <c r="F56" i="11"/>
  <c r="D56" i="11"/>
  <c r="D75" i="11" s="1"/>
  <c r="B56" i="11"/>
  <c r="BN55" i="11"/>
  <c r="BM55" i="11"/>
  <c r="BL55" i="11"/>
  <c r="BK55" i="11"/>
  <c r="BJ55" i="11"/>
  <c r="BI55" i="11"/>
  <c r="BH55" i="11"/>
  <c r="BG55" i="11"/>
  <c r="BF55" i="11"/>
  <c r="BE55" i="11"/>
  <c r="BD55" i="11"/>
  <c r="BC55" i="11"/>
  <c r="BB55" i="11"/>
  <c r="BA55" i="11"/>
  <c r="AZ55" i="11"/>
  <c r="AY55" i="11"/>
  <c r="AX55" i="11"/>
  <c r="AX74" i="11" s="1"/>
  <c r="AV55" i="11"/>
  <c r="AV74" i="11" s="1"/>
  <c r="AT55" i="11"/>
  <c r="AR55" i="11"/>
  <c r="AQ55" i="11"/>
  <c r="AP55" i="11"/>
  <c r="AO55" i="11"/>
  <c r="AN55" i="11"/>
  <c r="AM55" i="11"/>
  <c r="AL55" i="11"/>
  <c r="AK55" i="11"/>
  <c r="AJ55" i="11"/>
  <c r="AI55" i="11"/>
  <c r="AH55" i="11"/>
  <c r="AG55" i="11"/>
  <c r="AF55" i="11"/>
  <c r="AE55" i="11"/>
  <c r="AD55" i="11"/>
  <c r="AC55" i="11"/>
  <c r="AB55" i="11"/>
  <c r="Z55" i="11"/>
  <c r="X55" i="11"/>
  <c r="V55" i="11"/>
  <c r="U55" i="11"/>
  <c r="T55" i="11"/>
  <c r="S55" i="11"/>
  <c r="R55" i="11"/>
  <c r="Q55" i="11"/>
  <c r="P55" i="11"/>
  <c r="O55" i="11"/>
  <c r="N55" i="11"/>
  <c r="M55" i="11"/>
  <c r="L55" i="11"/>
  <c r="K55" i="11"/>
  <c r="J55" i="11"/>
  <c r="I55" i="11"/>
  <c r="H55" i="11"/>
  <c r="G55" i="11"/>
  <c r="F55" i="11"/>
  <c r="D55" i="11"/>
  <c r="B55" i="11"/>
  <c r="BN54" i="11"/>
  <c r="BM54" i="11"/>
  <c r="BL54" i="11"/>
  <c r="BK54" i="11"/>
  <c r="BJ54" i="11"/>
  <c r="BI54" i="11"/>
  <c r="BH54" i="11"/>
  <c r="BG54" i="11"/>
  <c r="BF54" i="11"/>
  <c r="BE54" i="11"/>
  <c r="BD54" i="11"/>
  <c r="BC54" i="11"/>
  <c r="BB54" i="11"/>
  <c r="BA54" i="11"/>
  <c r="AZ54" i="11"/>
  <c r="AY54" i="11"/>
  <c r="AX54" i="11"/>
  <c r="AX73" i="11" s="1"/>
  <c r="AV54" i="11"/>
  <c r="AV73" i="11" s="1"/>
  <c r="AR54" i="11"/>
  <c r="AQ54" i="11"/>
  <c r="AP54" i="11"/>
  <c r="AO54" i="11"/>
  <c r="AN54" i="11"/>
  <c r="AM54" i="11"/>
  <c r="AL54" i="11"/>
  <c r="AK54" i="11"/>
  <c r="AJ54" i="11"/>
  <c r="AI54" i="11"/>
  <c r="AH54" i="11"/>
  <c r="AG54" i="11"/>
  <c r="AF54" i="11"/>
  <c r="AE54" i="11"/>
  <c r="AD54" i="11"/>
  <c r="AC54" i="11"/>
  <c r="AB54" i="11"/>
  <c r="Z54" i="11"/>
  <c r="X54" i="11"/>
  <c r="V54" i="11"/>
  <c r="U54" i="11"/>
  <c r="T54" i="11"/>
  <c r="S54" i="11"/>
  <c r="R54" i="11"/>
  <c r="Q54" i="11"/>
  <c r="P54" i="11"/>
  <c r="O54" i="11"/>
  <c r="N54" i="11"/>
  <c r="M54" i="11"/>
  <c r="L54" i="11"/>
  <c r="K54" i="11"/>
  <c r="J54" i="11"/>
  <c r="I54" i="11"/>
  <c r="H54" i="11"/>
  <c r="G54" i="11"/>
  <c r="F54" i="11"/>
  <c r="D54" i="11"/>
  <c r="D73" i="11" s="1"/>
  <c r="B54" i="11"/>
  <c r="BN53" i="11"/>
  <c r="BN62" i="11" s="1"/>
  <c r="BM53" i="11"/>
  <c r="BM62" i="11" s="1"/>
  <c r="BL53" i="11"/>
  <c r="BL61" i="11" s="1"/>
  <c r="BK53" i="11"/>
  <c r="BJ53" i="11"/>
  <c r="BI53" i="11"/>
  <c r="BH53" i="11"/>
  <c r="BG53" i="11"/>
  <c r="BF53" i="11"/>
  <c r="BF62" i="11" s="1"/>
  <c r="BE53" i="11"/>
  <c r="BE60" i="11" s="1"/>
  <c r="BD53" i="11"/>
  <c r="BC53" i="11"/>
  <c r="BB53" i="11"/>
  <c r="BA53" i="11"/>
  <c r="AZ53" i="11"/>
  <c r="AY53" i="11"/>
  <c r="AX53" i="11"/>
  <c r="AV53" i="11"/>
  <c r="AV72" i="11" s="1"/>
  <c r="AT53" i="11"/>
  <c r="AR53" i="11"/>
  <c r="AQ53" i="11"/>
  <c r="AP53" i="11"/>
  <c r="AO53" i="11"/>
  <c r="AN53" i="11"/>
  <c r="AM53" i="11"/>
  <c r="AM61" i="11" s="1"/>
  <c r="AL53" i="11"/>
  <c r="AL59" i="11" s="1"/>
  <c r="AK53" i="11"/>
  <c r="AJ53" i="11"/>
  <c r="AI53" i="11"/>
  <c r="AH53" i="11"/>
  <c r="AG53" i="11"/>
  <c r="AF53" i="11"/>
  <c r="AE53" i="11"/>
  <c r="AE61" i="11" s="1"/>
  <c r="AD53" i="11"/>
  <c r="AD59" i="11" s="1"/>
  <c r="AC53" i="11"/>
  <c r="AC59" i="11" s="1"/>
  <c r="AB53" i="11"/>
  <c r="Z53" i="11"/>
  <c r="X53" i="11"/>
  <c r="V53" i="11"/>
  <c r="U53" i="11"/>
  <c r="T53" i="11"/>
  <c r="T62" i="11" s="1"/>
  <c r="S53" i="11"/>
  <c r="S61" i="11" s="1"/>
  <c r="R53" i="11"/>
  <c r="Q53" i="11"/>
  <c r="P53" i="11"/>
  <c r="O53" i="11"/>
  <c r="N53" i="11"/>
  <c r="M53" i="11"/>
  <c r="L53" i="11"/>
  <c r="L60" i="11" s="1"/>
  <c r="K53" i="11"/>
  <c r="K61" i="11" s="1"/>
  <c r="J53" i="11"/>
  <c r="I53" i="11"/>
  <c r="H53" i="11"/>
  <c r="G53" i="11"/>
  <c r="G59" i="11" s="1"/>
  <c r="F53" i="11"/>
  <c r="D53" i="11"/>
  <c r="D72" i="11" s="1"/>
  <c r="BN51" i="11"/>
  <c r="BM51" i="11"/>
  <c r="BL51" i="11"/>
  <c r="BK51" i="11"/>
  <c r="BJ51" i="11"/>
  <c r="BI51" i="11"/>
  <c r="BH51" i="11"/>
  <c r="BG51" i="11"/>
  <c r="BF51" i="11"/>
  <c r="BE51" i="11"/>
  <c r="BD51" i="11"/>
  <c r="BC51" i="11"/>
  <c r="BB51" i="11"/>
  <c r="BA51" i="11"/>
  <c r="AZ51" i="11"/>
  <c r="AY51" i="11"/>
  <c r="AX51" i="11"/>
  <c r="AV51" i="11"/>
  <c r="AV70" i="11" s="1"/>
  <c r="AT51" i="11"/>
  <c r="AR51" i="11"/>
  <c r="AQ51" i="11"/>
  <c r="AP51" i="11"/>
  <c r="AO51" i="11"/>
  <c r="AN51" i="11"/>
  <c r="AM51" i="11"/>
  <c r="AL51" i="11"/>
  <c r="AK51" i="11"/>
  <c r="AJ51" i="11"/>
  <c r="AI51" i="11"/>
  <c r="AH51" i="11"/>
  <c r="AG51" i="11"/>
  <c r="AF51" i="11"/>
  <c r="AE51" i="11"/>
  <c r="AD51" i="11"/>
  <c r="AC51" i="11"/>
  <c r="AB51" i="11"/>
  <c r="AB70" i="11" s="1"/>
  <c r="Z51" i="11"/>
  <c r="X51" i="11"/>
  <c r="V51" i="11"/>
  <c r="U51" i="11"/>
  <c r="T51" i="11"/>
  <c r="S51" i="11"/>
  <c r="R51" i="11"/>
  <c r="Q51" i="11"/>
  <c r="P51" i="11"/>
  <c r="O51" i="11"/>
  <c r="N51" i="11"/>
  <c r="M51" i="11"/>
  <c r="L51" i="11"/>
  <c r="K51" i="11"/>
  <c r="J51" i="11"/>
  <c r="I51" i="11"/>
  <c r="H51" i="11"/>
  <c r="G51" i="11"/>
  <c r="F51" i="11"/>
  <c r="F70" i="11" s="1"/>
  <c r="D51" i="11"/>
  <c r="BA49" i="11"/>
  <c r="AZ49" i="11"/>
  <c r="AY49" i="11"/>
  <c r="AX49" i="11"/>
  <c r="AO49" i="11"/>
  <c r="AM49" i="11"/>
  <c r="AG49" i="11"/>
  <c r="AE49" i="11"/>
  <c r="AD49" i="11"/>
  <c r="AC49" i="11"/>
  <c r="AB49" i="11"/>
  <c r="U49" i="11"/>
  <c r="S49" i="11"/>
  <c r="Q49" i="11"/>
  <c r="O49" i="11"/>
  <c r="M49" i="11"/>
  <c r="K49" i="11"/>
  <c r="I49" i="11"/>
  <c r="H49" i="11"/>
  <c r="G49" i="11"/>
  <c r="F49" i="11"/>
  <c r="BM48" i="11"/>
  <c r="BK48" i="11"/>
  <c r="BI48" i="11"/>
  <c r="BG48" i="11"/>
  <c r="BE48" i="11"/>
  <c r="BC48" i="11"/>
  <c r="BA48" i="11"/>
  <c r="AZ48" i="11"/>
  <c r="AY48" i="11"/>
  <c r="AQ48" i="11"/>
  <c r="AO48" i="11"/>
  <c r="AM48" i="11"/>
  <c r="AK48" i="11"/>
  <c r="AI48" i="11"/>
  <c r="AG48" i="11"/>
  <c r="AE48" i="11"/>
  <c r="AD48" i="11"/>
  <c r="AC48" i="11"/>
  <c r="U48" i="11"/>
  <c r="S48" i="11"/>
  <c r="Q48" i="11"/>
  <c r="O48" i="11"/>
  <c r="M48" i="11"/>
  <c r="K48" i="11"/>
  <c r="I48" i="11"/>
  <c r="H48" i="11"/>
  <c r="G48" i="11"/>
  <c r="BL47" i="11"/>
  <c r="BI47" i="11"/>
  <c r="AP47" i="11"/>
  <c r="AM47" i="11"/>
  <c r="T47" i="11"/>
  <c r="Q47" i="11"/>
  <c r="AV46" i="11"/>
  <c r="Z46" i="1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T39" i="11"/>
  <c r="S39" i="11"/>
  <c r="R39" i="11"/>
  <c r="Q39" i="11"/>
  <c r="P39" i="11"/>
  <c r="O39" i="11"/>
  <c r="N39" i="11"/>
  <c r="M39" i="11"/>
  <c r="L39" i="11"/>
  <c r="K39" i="11"/>
  <c r="J39" i="11"/>
  <c r="I39" i="11"/>
  <c r="H39" i="11"/>
  <c r="G39" i="11"/>
  <c r="D39" i="11"/>
  <c r="D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8" i="11"/>
  <c r="S38" i="11"/>
  <c r="R38" i="11"/>
  <c r="Q38" i="11"/>
  <c r="P38" i="11"/>
  <c r="O38" i="11"/>
  <c r="N38" i="11"/>
  <c r="M38" i="11"/>
  <c r="L38" i="11"/>
  <c r="K38" i="11"/>
  <c r="J38" i="11"/>
  <c r="I38" i="11"/>
  <c r="H38" i="11"/>
  <c r="G38" i="11"/>
  <c r="D38" i="11"/>
  <c r="D80" i="11" s="1"/>
  <c r="BL37" i="11"/>
  <c r="BK37" i="11"/>
  <c r="BJ37" i="11"/>
  <c r="BI37" i="11"/>
  <c r="BH37" i="11"/>
  <c r="BG37" i="11"/>
  <c r="BF37" i="11"/>
  <c r="BE37" i="11"/>
  <c r="BD37" i="11"/>
  <c r="BC37" i="11"/>
  <c r="BB37" i="11"/>
  <c r="BA37" i="11"/>
  <c r="AZ37" i="11"/>
  <c r="AY37" i="11"/>
  <c r="AV37" i="11"/>
  <c r="AV79" i="11" s="1"/>
  <c r="AP37" i="11"/>
  <c r="AO37" i="11"/>
  <c r="AN37" i="11"/>
  <c r="AM37" i="11"/>
  <c r="AL37" i="11"/>
  <c r="AK37" i="11"/>
  <c r="AJ37" i="11"/>
  <c r="AI37" i="11"/>
  <c r="AH37" i="11"/>
  <c r="AG37" i="11"/>
  <c r="AF37" i="11"/>
  <c r="AE37" i="11"/>
  <c r="AD37" i="11"/>
  <c r="AC37" i="11"/>
  <c r="Z37" i="11"/>
  <c r="Z79" i="11" s="1"/>
  <c r="T37" i="11"/>
  <c r="S37" i="11"/>
  <c r="R37" i="11"/>
  <c r="Q37" i="11"/>
  <c r="P37" i="11"/>
  <c r="O37" i="11"/>
  <c r="N37" i="11"/>
  <c r="M37" i="11"/>
  <c r="L37" i="11"/>
  <c r="K37" i="11"/>
  <c r="J37" i="11"/>
  <c r="I37" i="11"/>
  <c r="H37" i="11"/>
  <c r="G37" i="11"/>
  <c r="D37" i="11"/>
  <c r="D79" i="11" s="1"/>
  <c r="BL36" i="11"/>
  <c r="BK36" i="11"/>
  <c r="BJ36" i="11"/>
  <c r="BI36" i="11"/>
  <c r="BH36" i="11"/>
  <c r="BG36" i="11"/>
  <c r="BF36" i="11"/>
  <c r="BE36" i="11"/>
  <c r="BD36" i="11"/>
  <c r="BC36" i="11"/>
  <c r="BB36" i="11"/>
  <c r="BA36" i="11"/>
  <c r="AZ36" i="11"/>
  <c r="AY36" i="11"/>
  <c r="AV36" i="11"/>
  <c r="AV78" i="11" s="1"/>
  <c r="AP36" i="11"/>
  <c r="AO36" i="11"/>
  <c r="AN36" i="11"/>
  <c r="AM36" i="11"/>
  <c r="AL36" i="11"/>
  <c r="AK36" i="11"/>
  <c r="AJ36" i="11"/>
  <c r="AI36" i="11"/>
  <c r="AH36" i="11"/>
  <c r="AG36" i="11"/>
  <c r="AF36" i="11"/>
  <c r="AE36" i="11"/>
  <c r="AD36" i="11"/>
  <c r="AC36" i="11"/>
  <c r="Z36" i="11"/>
  <c r="Z78" i="11" s="1"/>
  <c r="T36" i="11"/>
  <c r="S36" i="11"/>
  <c r="R36" i="11"/>
  <c r="Q36" i="11"/>
  <c r="P36" i="11"/>
  <c r="O36" i="11"/>
  <c r="N36" i="11"/>
  <c r="M36" i="11"/>
  <c r="L36" i="11"/>
  <c r="K36" i="11"/>
  <c r="J36" i="11"/>
  <c r="I36" i="11"/>
  <c r="H36" i="11"/>
  <c r="G36" i="11"/>
  <c r="D36" i="11"/>
  <c r="D78" i="11" s="1"/>
  <c r="AV28" i="11"/>
  <c r="Z28" i="11"/>
  <c r="D28" i="11"/>
  <c r="BH23" i="11"/>
  <c r="BH65" i="11" s="1"/>
  <c r="BE23" i="11"/>
  <c r="BE65" i="11" s="1"/>
  <c r="AL23" i="11"/>
  <c r="AI23" i="11"/>
  <c r="AI65" i="11" s="1"/>
  <c r="P23" i="11"/>
  <c r="P65" i="11" s="1"/>
  <c r="M23" i="11"/>
  <c r="M65" i="11" s="1"/>
  <c r="BN21" i="11"/>
  <c r="BM21" i="11"/>
  <c r="BL21" i="11"/>
  <c r="BK21" i="11"/>
  <c r="BJ21" i="11"/>
  <c r="BI21" i="11"/>
  <c r="BH21" i="11"/>
  <c r="BG21" i="11"/>
  <c r="BF21" i="11"/>
  <c r="BE21" i="11"/>
  <c r="BD21" i="11"/>
  <c r="BC21" i="11"/>
  <c r="BB21" i="11"/>
  <c r="BA21" i="11"/>
  <c r="AZ21" i="11"/>
  <c r="AY21" i="11"/>
  <c r="AR21" i="11"/>
  <c r="AQ21" i="11"/>
  <c r="AP21" i="11"/>
  <c r="AO21" i="11"/>
  <c r="AN21" i="11"/>
  <c r="AM21" i="11"/>
  <c r="AL21" i="11"/>
  <c r="AK21" i="11"/>
  <c r="AJ21" i="11"/>
  <c r="AI21" i="11"/>
  <c r="AH21" i="11"/>
  <c r="AG21" i="11"/>
  <c r="AF21" i="11"/>
  <c r="AE21" i="11"/>
  <c r="AD21" i="11"/>
  <c r="AC21" i="11"/>
  <c r="V21" i="11"/>
  <c r="U21" i="11"/>
  <c r="T21" i="11"/>
  <c r="S21" i="11"/>
  <c r="R21" i="11"/>
  <c r="Q21" i="11"/>
  <c r="P21" i="11"/>
  <c r="O21" i="11"/>
  <c r="N21" i="11"/>
  <c r="M21" i="11"/>
  <c r="L21" i="11"/>
  <c r="K21" i="11"/>
  <c r="J21" i="11"/>
  <c r="I21" i="11"/>
  <c r="H21" i="11"/>
  <c r="G21" i="1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V20" i="11"/>
  <c r="U20" i="11"/>
  <c r="T20" i="11"/>
  <c r="S20" i="11"/>
  <c r="R20" i="11"/>
  <c r="Q20" i="11"/>
  <c r="P20" i="11"/>
  <c r="O20" i="11"/>
  <c r="N20" i="11"/>
  <c r="M20" i="11"/>
  <c r="L20" i="11"/>
  <c r="K20" i="11"/>
  <c r="J20" i="11"/>
  <c r="I20" i="11"/>
  <c r="H20" i="11"/>
  <c r="G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V19" i="11"/>
  <c r="U19" i="11"/>
  <c r="T19" i="11"/>
  <c r="S19" i="11"/>
  <c r="R19" i="11"/>
  <c r="Q19" i="11"/>
  <c r="P19" i="11"/>
  <c r="O19" i="11"/>
  <c r="N19" i="11"/>
  <c r="M19" i="11"/>
  <c r="L19" i="11"/>
  <c r="K19" i="11"/>
  <c r="J19" i="11"/>
  <c r="I19" i="11"/>
  <c r="H19" i="11"/>
  <c r="G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V18" i="11"/>
  <c r="U18" i="11"/>
  <c r="T18" i="11"/>
  <c r="S18" i="11"/>
  <c r="R18" i="11"/>
  <c r="Q18" i="11"/>
  <c r="P18" i="11"/>
  <c r="O18" i="11"/>
  <c r="N18" i="11"/>
  <c r="M18" i="11"/>
  <c r="L18" i="11"/>
  <c r="K18" i="11"/>
  <c r="J18" i="11"/>
  <c r="I18" i="11"/>
  <c r="H18" i="11"/>
  <c r="G18" i="11"/>
  <c r="AV10" i="11"/>
  <c r="BM8" i="11"/>
  <c r="BM49" i="11" s="1"/>
  <c r="BK8" i="11"/>
  <c r="BK49" i="11" s="1"/>
  <c r="BI8" i="11"/>
  <c r="BI49" i="11" s="1"/>
  <c r="BG8" i="11"/>
  <c r="BG49" i="11" s="1"/>
  <c r="BE8" i="11"/>
  <c r="BE49" i="11" s="1"/>
  <c r="BC8" i="11"/>
  <c r="BC49" i="11" s="1"/>
  <c r="AQ8" i="11"/>
  <c r="AQ49" i="11" s="1"/>
  <c r="AO8" i="11"/>
  <c r="AM8" i="11"/>
  <c r="AK8" i="11"/>
  <c r="AK49" i="11" s="1"/>
  <c r="AI8" i="11"/>
  <c r="AI49" i="11" s="1"/>
  <c r="AG8" i="11"/>
  <c r="AV4" i="11"/>
  <c r="Z4" i="11"/>
  <c r="D4" i="11"/>
  <c r="D46" i="11" s="1"/>
  <c r="D2" i="11"/>
  <c r="D1" i="11"/>
  <c r="AG165" i="10"/>
  <c r="AF165" i="10"/>
  <c r="AE165" i="10"/>
  <c r="AC165" i="10"/>
  <c r="AB165" i="10"/>
  <c r="AA165" i="10"/>
  <c r="Z165" i="10"/>
  <c r="X165" i="10"/>
  <c r="C165" i="10"/>
  <c r="AG157" i="10"/>
  <c r="AF157" i="10"/>
  <c r="AE157" i="10"/>
  <c r="AC157" i="10"/>
  <c r="AC296" i="8" s="1"/>
  <c r="AB157" i="10"/>
  <c r="AA157" i="10"/>
  <c r="Z157" i="10"/>
  <c r="X157" i="10"/>
  <c r="C157" i="10"/>
  <c r="AG152" i="10"/>
  <c r="AF152" i="10"/>
  <c r="AE152" i="10"/>
  <c r="AC152" i="10"/>
  <c r="AB152" i="10"/>
  <c r="AA152" i="10"/>
  <c r="Z152" i="10"/>
  <c r="AD152" i="10" s="1"/>
  <c r="X152" i="10"/>
  <c r="C152" i="10"/>
  <c r="AG145" i="10"/>
  <c r="AF145" i="10"/>
  <c r="AE145" i="10"/>
  <c r="AC145" i="10"/>
  <c r="AB145" i="10"/>
  <c r="AA145" i="10"/>
  <c r="Z145" i="10"/>
  <c r="X145" i="10"/>
  <c r="C145" i="10"/>
  <c r="AG140" i="10"/>
  <c r="AF140" i="10"/>
  <c r="AE140" i="10"/>
  <c r="AC140" i="10"/>
  <c r="AB140" i="10"/>
  <c r="AA140" i="10"/>
  <c r="Z140" i="10"/>
  <c r="X140" i="10"/>
  <c r="C140" i="10"/>
  <c r="AG135" i="10"/>
  <c r="AF135" i="10"/>
  <c r="AE135" i="10"/>
  <c r="AC135" i="10"/>
  <c r="AB135" i="10"/>
  <c r="AA135" i="10"/>
  <c r="Z135" i="10"/>
  <c r="X135" i="10"/>
  <c r="C135" i="10"/>
  <c r="AG128" i="10"/>
  <c r="AF128" i="10"/>
  <c r="AE128" i="10"/>
  <c r="AC128" i="10"/>
  <c r="AB128" i="10"/>
  <c r="AA128" i="10"/>
  <c r="Z128" i="10"/>
  <c r="X128" i="10"/>
  <c r="J128" i="10"/>
  <c r="F128" i="10"/>
  <c r="C128" i="10"/>
  <c r="AA125" i="10"/>
  <c r="X125" i="10"/>
  <c r="Z123" i="10"/>
  <c r="X123" i="10"/>
  <c r="C123" i="10"/>
  <c r="AG118" i="10"/>
  <c r="AF118" i="10"/>
  <c r="AE118" i="10"/>
  <c r="AC118" i="10"/>
  <c r="AB118" i="10"/>
  <c r="AA118" i="10"/>
  <c r="Z118" i="10"/>
  <c r="X118" i="10"/>
  <c r="C118" i="10"/>
  <c r="AG113" i="10"/>
  <c r="AF113" i="10"/>
  <c r="AE113" i="10"/>
  <c r="AC113" i="10"/>
  <c r="AB113" i="10"/>
  <c r="AA113" i="10"/>
  <c r="Z113" i="10"/>
  <c r="X113" i="10"/>
  <c r="C113" i="10"/>
  <c r="W108" i="10"/>
  <c r="V108" i="10"/>
  <c r="U108" i="10"/>
  <c r="T108" i="10"/>
  <c r="S108" i="10"/>
  <c r="R108" i="10"/>
  <c r="Q108" i="10"/>
  <c r="P108" i="10"/>
  <c r="O108" i="10"/>
  <c r="N108" i="10"/>
  <c r="M108" i="10"/>
  <c r="L108" i="10"/>
  <c r="K108" i="10"/>
  <c r="J108" i="10"/>
  <c r="I108" i="10"/>
  <c r="H108" i="10"/>
  <c r="G108" i="10"/>
  <c r="F108" i="10"/>
  <c r="C108" i="10"/>
  <c r="W106" i="10"/>
  <c r="V106" i="10"/>
  <c r="U106" i="10"/>
  <c r="T106" i="10"/>
  <c r="S106" i="10"/>
  <c r="R106" i="10"/>
  <c r="Q106" i="10"/>
  <c r="P106" i="10"/>
  <c r="O106" i="10"/>
  <c r="N106" i="10"/>
  <c r="M106" i="10"/>
  <c r="L106" i="10"/>
  <c r="K106" i="10"/>
  <c r="J106" i="10"/>
  <c r="I106" i="10"/>
  <c r="H106" i="10"/>
  <c r="G106" i="10"/>
  <c r="F106" i="10"/>
  <c r="C106" i="10"/>
  <c r="AG101" i="10"/>
  <c r="AF101" i="10"/>
  <c r="AE101" i="10"/>
  <c r="AC101" i="10"/>
  <c r="AB101" i="10"/>
  <c r="AA101" i="10"/>
  <c r="Z101" i="10"/>
  <c r="X101" i="10"/>
  <c r="C101" i="10"/>
  <c r="W97" i="10"/>
  <c r="V97" i="10"/>
  <c r="U97" i="10"/>
  <c r="T97" i="10"/>
  <c r="S97" i="10"/>
  <c r="R97" i="10"/>
  <c r="Q97" i="10"/>
  <c r="P97" i="10"/>
  <c r="O97" i="10"/>
  <c r="N97" i="10"/>
  <c r="M97" i="10"/>
  <c r="L97" i="10"/>
  <c r="K97" i="10"/>
  <c r="J97" i="10"/>
  <c r="I97" i="10"/>
  <c r="H97" i="10"/>
  <c r="G97" i="10"/>
  <c r="F97" i="10"/>
  <c r="C97" i="10"/>
  <c r="AG92" i="10"/>
  <c r="AF92" i="10"/>
  <c r="AE92" i="10"/>
  <c r="AC92" i="10"/>
  <c r="AB92" i="10"/>
  <c r="AA92" i="10"/>
  <c r="Z92" i="10"/>
  <c r="X92" i="10"/>
  <c r="C92" i="10"/>
  <c r="AG85" i="10"/>
  <c r="AF85" i="10"/>
  <c r="AE85" i="10"/>
  <c r="AC85" i="10"/>
  <c r="AB85" i="10"/>
  <c r="AA85" i="10"/>
  <c r="Z85" i="10"/>
  <c r="X85" i="10"/>
  <c r="C85" i="10"/>
  <c r="C77" i="10"/>
  <c r="AG72" i="10"/>
  <c r="AF72" i="10"/>
  <c r="AE72" i="10"/>
  <c r="AC72" i="10"/>
  <c r="AB72" i="10"/>
  <c r="AA72" i="10"/>
  <c r="Z72" i="10"/>
  <c r="X72" i="10"/>
  <c r="C72" i="10"/>
  <c r="AG64" i="10"/>
  <c r="AF64" i="10"/>
  <c r="AE64" i="10"/>
  <c r="AC64" i="10"/>
  <c r="AB64" i="10"/>
  <c r="AA64" i="10"/>
  <c r="Z64" i="10"/>
  <c r="X64" i="10"/>
  <c r="C64" i="10"/>
  <c r="W62" i="10"/>
  <c r="V62" i="10"/>
  <c r="U62" i="10"/>
  <c r="S62" i="10"/>
  <c r="R62" i="10"/>
  <c r="Q62" i="10"/>
  <c r="P62" i="10"/>
  <c r="N62" i="10"/>
  <c r="M62" i="10"/>
  <c r="L62" i="10"/>
  <c r="K62" i="10"/>
  <c r="I62" i="10"/>
  <c r="H62" i="10"/>
  <c r="G62" i="10"/>
  <c r="F62" i="10"/>
  <c r="C62" i="10"/>
  <c r="C41" i="14" s="1"/>
  <c r="AG57" i="10"/>
  <c r="AF57" i="10"/>
  <c r="AE57" i="10"/>
  <c r="AC57" i="10"/>
  <c r="AB57" i="10"/>
  <c r="AA57" i="10"/>
  <c r="Z57" i="10"/>
  <c r="X57" i="10"/>
  <c r="C57" i="10"/>
  <c r="AG50" i="10"/>
  <c r="AF50" i="10"/>
  <c r="AE50" i="10"/>
  <c r="AC50" i="10"/>
  <c r="AB50" i="10"/>
  <c r="AA50" i="10"/>
  <c r="Z50" i="10"/>
  <c r="X50" i="10"/>
  <c r="C50" i="10"/>
  <c r="AG45" i="10"/>
  <c r="AF45" i="10"/>
  <c r="AE45" i="10"/>
  <c r="AC45" i="10"/>
  <c r="AB45" i="10"/>
  <c r="AA45" i="10"/>
  <c r="Z45" i="10"/>
  <c r="X45" i="10"/>
  <c r="C45" i="10"/>
  <c r="AG40" i="10"/>
  <c r="AF40" i="10"/>
  <c r="AE40" i="10"/>
  <c r="AC40" i="10"/>
  <c r="AB40" i="10"/>
  <c r="AA40" i="10"/>
  <c r="Z40" i="10"/>
  <c r="X40" i="10"/>
  <c r="C40" i="10"/>
  <c r="AG32" i="10"/>
  <c r="AF32" i="10"/>
  <c r="AE32" i="10"/>
  <c r="AC32" i="10"/>
  <c r="AB32" i="10"/>
  <c r="AA32" i="10"/>
  <c r="Z32" i="10"/>
  <c r="X32" i="10"/>
  <c r="S32" i="10"/>
  <c r="R32" i="10"/>
  <c r="Q32" i="10"/>
  <c r="P32" i="10"/>
  <c r="C32" i="10"/>
  <c r="AG27" i="10"/>
  <c r="AF27" i="10"/>
  <c r="AE27" i="10"/>
  <c r="AC27" i="10"/>
  <c r="AB27" i="10"/>
  <c r="AA27" i="10"/>
  <c r="Z27" i="10"/>
  <c r="X27" i="10"/>
  <c r="V27" i="10"/>
  <c r="U27" i="10"/>
  <c r="K27" i="10"/>
  <c r="C27" i="10"/>
  <c r="AG22" i="10"/>
  <c r="AF22" i="10"/>
  <c r="AE22" i="10"/>
  <c r="AC22" i="10"/>
  <c r="AB22" i="10"/>
  <c r="AA22" i="10"/>
  <c r="Z22" i="10"/>
  <c r="X22" i="10"/>
  <c r="S22" i="10"/>
  <c r="R22" i="10"/>
  <c r="Q22" i="10"/>
  <c r="L22" i="10"/>
  <c r="H22" i="10"/>
  <c r="F22" i="10"/>
  <c r="C19" i="10"/>
  <c r="AG17" i="10"/>
  <c r="AF17" i="10"/>
  <c r="AE17" i="10"/>
  <c r="AC17" i="10"/>
  <c r="AB17" i="10"/>
  <c r="AA17" i="10"/>
  <c r="Z17" i="10"/>
  <c r="X17" i="10"/>
  <c r="Q17" i="10"/>
  <c r="P17" i="10"/>
  <c r="L17" i="10"/>
  <c r="I17" i="10"/>
  <c r="H17" i="10"/>
  <c r="C17" i="10"/>
  <c r="AG12" i="10"/>
  <c r="AF12" i="10"/>
  <c r="AE12" i="10"/>
  <c r="AC12" i="10"/>
  <c r="AB12" i="10"/>
  <c r="AA12" i="10"/>
  <c r="Z12" i="10"/>
  <c r="X12" i="10"/>
  <c r="V12" i="10"/>
  <c r="S12" i="10"/>
  <c r="N12" i="10"/>
  <c r="C12" i="10"/>
  <c r="C10" i="10"/>
  <c r="C9" i="10"/>
  <c r="AG7" i="10"/>
  <c r="AF7" i="10"/>
  <c r="AE7" i="10"/>
  <c r="AC7" i="10"/>
  <c r="AB7" i="10"/>
  <c r="AA7" i="10"/>
  <c r="Z7" i="10"/>
  <c r="X7" i="10"/>
  <c r="C7" i="10"/>
  <c r="C8" i="10" s="1"/>
  <c r="C5" i="10"/>
  <c r="C2" i="10"/>
  <c r="C1" i="10"/>
  <c r="AG204" i="9"/>
  <c r="AF204" i="9"/>
  <c r="AC204" i="9"/>
  <c r="AB204" i="9"/>
  <c r="AA204" i="9"/>
  <c r="Z204" i="9"/>
  <c r="X204" i="9"/>
  <c r="W204" i="9"/>
  <c r="V204" i="9"/>
  <c r="U204" i="9"/>
  <c r="S204" i="9"/>
  <c r="R204" i="9"/>
  <c r="Q204" i="9"/>
  <c r="P204" i="9"/>
  <c r="N204" i="9"/>
  <c r="M204" i="9"/>
  <c r="L204" i="9"/>
  <c r="K204" i="9"/>
  <c r="I204" i="9"/>
  <c r="H204" i="9"/>
  <c r="G204" i="9"/>
  <c r="C204" i="9"/>
  <c r="AG203" i="9"/>
  <c r="AF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C201" i="9"/>
  <c r="AB201" i="9"/>
  <c r="AA201" i="9"/>
  <c r="Z201" i="9"/>
  <c r="X201" i="9"/>
  <c r="W201" i="9"/>
  <c r="V201" i="9"/>
  <c r="U201" i="9"/>
  <c r="S201" i="9"/>
  <c r="R201" i="9"/>
  <c r="Q201" i="9"/>
  <c r="P201" i="9"/>
  <c r="N201" i="9"/>
  <c r="M201" i="9"/>
  <c r="L201" i="9"/>
  <c r="K201" i="9"/>
  <c r="I201" i="9"/>
  <c r="H201" i="9"/>
  <c r="G201" i="9"/>
  <c r="C201" i="9"/>
  <c r="W200" i="9"/>
  <c r="N200" i="9"/>
  <c r="C200" i="9"/>
  <c r="W198" i="9"/>
  <c r="V198" i="9"/>
  <c r="U198" i="9"/>
  <c r="S198" i="9"/>
  <c r="R198" i="9"/>
  <c r="Q198" i="9"/>
  <c r="P198" i="9"/>
  <c r="N198" i="9"/>
  <c r="M198" i="9"/>
  <c r="L198" i="9"/>
  <c r="K198" i="9"/>
  <c r="I198" i="9"/>
  <c r="H198" i="9"/>
  <c r="G198" i="9"/>
  <c r="C198" i="9"/>
  <c r="W197" i="9"/>
  <c r="V197" i="9"/>
  <c r="U197" i="9"/>
  <c r="S197" i="9"/>
  <c r="R197" i="9"/>
  <c r="Q197" i="9"/>
  <c r="P197" i="9"/>
  <c r="N197" i="9"/>
  <c r="M197" i="9"/>
  <c r="L197" i="9"/>
  <c r="K197" i="9"/>
  <c r="I197" i="9"/>
  <c r="H197" i="9"/>
  <c r="G197" i="9"/>
  <c r="C197" i="9"/>
  <c r="W196" i="9"/>
  <c r="V196" i="9"/>
  <c r="U196" i="9"/>
  <c r="S196" i="9"/>
  <c r="R196" i="9"/>
  <c r="Q196" i="9"/>
  <c r="P196" i="9"/>
  <c r="N196" i="9"/>
  <c r="M196" i="9"/>
  <c r="L196" i="9"/>
  <c r="K196" i="9"/>
  <c r="I196" i="9"/>
  <c r="H196" i="9"/>
  <c r="G196" i="9"/>
  <c r="C196" i="9"/>
  <c r="W195" i="9"/>
  <c r="V195" i="9"/>
  <c r="U195" i="9"/>
  <c r="S195" i="9"/>
  <c r="R195" i="9"/>
  <c r="Q195" i="9"/>
  <c r="P195" i="9"/>
  <c r="N195" i="9"/>
  <c r="M195" i="9"/>
  <c r="L195" i="9"/>
  <c r="K195" i="9"/>
  <c r="I195" i="9"/>
  <c r="H195" i="9"/>
  <c r="G195" i="9"/>
  <c r="C195" i="9"/>
  <c r="W194" i="9"/>
  <c r="V194" i="9"/>
  <c r="U194" i="9"/>
  <c r="S194" i="9"/>
  <c r="R194" i="9"/>
  <c r="Q194" i="9"/>
  <c r="P194" i="9"/>
  <c r="N194" i="9"/>
  <c r="M194" i="9"/>
  <c r="L194" i="9"/>
  <c r="K194" i="9"/>
  <c r="I194" i="9"/>
  <c r="H194" i="9"/>
  <c r="G194" i="9"/>
  <c r="C194" i="9"/>
  <c r="W193" i="9"/>
  <c r="V193" i="9"/>
  <c r="U193" i="9"/>
  <c r="S193" i="9"/>
  <c r="R193" i="9"/>
  <c r="Q193" i="9"/>
  <c r="P193" i="9"/>
  <c r="N193" i="9"/>
  <c r="M193" i="9"/>
  <c r="L193" i="9"/>
  <c r="K193" i="9"/>
  <c r="I193" i="9"/>
  <c r="H193" i="9"/>
  <c r="G193" i="9"/>
  <c r="C193" i="9"/>
  <c r="AG184" i="9"/>
  <c r="AF184" i="9"/>
  <c r="AE184" i="9"/>
  <c r="AC184" i="9"/>
  <c r="AB184" i="9"/>
  <c r="AA184" i="9"/>
  <c r="Z184" i="9"/>
  <c r="X184" i="9"/>
  <c r="W184" i="9"/>
  <c r="V184" i="9"/>
  <c r="U184" i="9"/>
  <c r="T184" i="9"/>
  <c r="S184" i="9"/>
  <c r="R184" i="9"/>
  <c r="Q184" i="9"/>
  <c r="P184" i="9"/>
  <c r="N184" i="9"/>
  <c r="M184" i="9"/>
  <c r="L184" i="9"/>
  <c r="K184" i="9"/>
  <c r="C184" i="9"/>
  <c r="AG183" i="9"/>
  <c r="AF183" i="9"/>
  <c r="AE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Y182" i="9"/>
  <c r="X182" i="9"/>
  <c r="W182" i="9"/>
  <c r="V182" i="9"/>
  <c r="U182" i="9"/>
  <c r="S182" i="9"/>
  <c r="R182" i="9"/>
  <c r="Q182" i="9"/>
  <c r="P182" i="9"/>
  <c r="N182" i="9"/>
  <c r="M182" i="9"/>
  <c r="L182" i="9"/>
  <c r="K182" i="9"/>
  <c r="C182" i="9"/>
  <c r="AG181" i="9"/>
  <c r="AF181" i="9"/>
  <c r="AE181" i="9"/>
  <c r="AC181" i="9"/>
  <c r="AB181" i="9"/>
  <c r="AA181" i="9"/>
  <c r="Z181" i="9"/>
  <c r="X181" i="9"/>
  <c r="W181" i="9"/>
  <c r="V181" i="9"/>
  <c r="U181" i="9"/>
  <c r="S181" i="9"/>
  <c r="R181" i="9"/>
  <c r="Q181" i="9"/>
  <c r="P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W178" i="9"/>
  <c r="V178" i="9"/>
  <c r="U178" i="9"/>
  <c r="S178" i="9"/>
  <c r="R178" i="9"/>
  <c r="Q178" i="9"/>
  <c r="P178" i="9"/>
  <c r="N178" i="9"/>
  <c r="M178" i="9"/>
  <c r="L178" i="9"/>
  <c r="K178" i="9"/>
  <c r="C178" i="9"/>
  <c r="W177" i="9"/>
  <c r="V177" i="9"/>
  <c r="U177" i="9"/>
  <c r="S177" i="9"/>
  <c r="R177" i="9"/>
  <c r="Q177" i="9"/>
  <c r="P177" i="9"/>
  <c r="N177" i="9"/>
  <c r="M177" i="9"/>
  <c r="L177" i="9"/>
  <c r="K177" i="9"/>
  <c r="C177" i="9"/>
  <c r="W176" i="9"/>
  <c r="V176" i="9"/>
  <c r="U176" i="9"/>
  <c r="T176" i="9"/>
  <c r="S176" i="9"/>
  <c r="R176" i="9"/>
  <c r="Q176" i="9"/>
  <c r="P176" i="9"/>
  <c r="N176" i="9"/>
  <c r="M176" i="9"/>
  <c r="L176" i="9"/>
  <c r="K176" i="9"/>
  <c r="C176" i="9"/>
  <c r="W175" i="9"/>
  <c r="V175" i="9"/>
  <c r="U175" i="9"/>
  <c r="S175" i="9"/>
  <c r="R175" i="9"/>
  <c r="Q175" i="9"/>
  <c r="P175" i="9"/>
  <c r="N175" i="9"/>
  <c r="M175" i="9"/>
  <c r="L175" i="9"/>
  <c r="K175" i="9"/>
  <c r="C175" i="9"/>
  <c r="W174" i="9"/>
  <c r="V174" i="9"/>
  <c r="U174" i="9"/>
  <c r="S174" i="9"/>
  <c r="R174" i="9"/>
  <c r="Q174" i="9"/>
  <c r="P174" i="9"/>
  <c r="N174" i="9"/>
  <c r="M174" i="9"/>
  <c r="L174" i="9"/>
  <c r="K174" i="9"/>
  <c r="C174" i="9"/>
  <c r="W173" i="9"/>
  <c r="V173" i="9"/>
  <c r="U173" i="9"/>
  <c r="S173" i="9"/>
  <c r="R173" i="9"/>
  <c r="Q173" i="9"/>
  <c r="P173" i="9"/>
  <c r="N173" i="9"/>
  <c r="M173" i="9"/>
  <c r="L173" i="9"/>
  <c r="K173" i="9"/>
  <c r="C173" i="9"/>
  <c r="M172" i="9"/>
  <c r="C168" i="9"/>
  <c r="C167" i="9"/>
  <c r="C166" i="9"/>
  <c r="C165" i="9"/>
  <c r="C164" i="9"/>
  <c r="C163" i="9"/>
  <c r="W160" i="9"/>
  <c r="W32" i="10" s="1"/>
  <c r="V160" i="9"/>
  <c r="V32" i="10" s="1"/>
  <c r="U160" i="9"/>
  <c r="U32" i="10" s="1"/>
  <c r="S160" i="9"/>
  <c r="R160" i="9"/>
  <c r="Q160" i="9"/>
  <c r="P160" i="9"/>
  <c r="N160" i="9"/>
  <c r="N32" i="10" s="1"/>
  <c r="M160" i="9"/>
  <c r="M32" i="10" s="1"/>
  <c r="L160" i="9"/>
  <c r="L32" i="10" s="1"/>
  <c r="K160" i="9"/>
  <c r="K32" i="10" s="1"/>
  <c r="I160" i="9"/>
  <c r="I32" i="10" s="1"/>
  <c r="H160" i="9"/>
  <c r="H32" i="10" s="1"/>
  <c r="G160" i="9"/>
  <c r="G32" i="10" s="1"/>
  <c r="F160" i="9"/>
  <c r="F32" i="10" s="1"/>
  <c r="C160" i="9"/>
  <c r="W159" i="9"/>
  <c r="W27" i="10" s="1"/>
  <c r="V159" i="9"/>
  <c r="U159" i="9"/>
  <c r="S159" i="9"/>
  <c r="S27" i="10" s="1"/>
  <c r="R159" i="9"/>
  <c r="R27" i="10" s="1"/>
  <c r="Q159" i="9"/>
  <c r="Q27" i="10" s="1"/>
  <c r="P159" i="9"/>
  <c r="P27" i="10" s="1"/>
  <c r="N159" i="9"/>
  <c r="N27" i="10" s="1"/>
  <c r="M159" i="9"/>
  <c r="M27" i="10" s="1"/>
  <c r="L159" i="9"/>
  <c r="L27" i="10" s="1"/>
  <c r="K159" i="9"/>
  <c r="I159" i="9"/>
  <c r="I27" i="10" s="1"/>
  <c r="H159" i="9"/>
  <c r="H27" i="10" s="1"/>
  <c r="G159" i="9"/>
  <c r="G27" i="10" s="1"/>
  <c r="F159" i="9"/>
  <c r="F27" i="10" s="1"/>
  <c r="C159" i="9"/>
  <c r="W158" i="9"/>
  <c r="W22" i="10" s="1"/>
  <c r="V158" i="9"/>
  <c r="V22" i="10" s="1"/>
  <c r="U158" i="9"/>
  <c r="U22" i="10" s="1"/>
  <c r="S158" i="9"/>
  <c r="R158" i="9"/>
  <c r="Q158" i="9"/>
  <c r="P158" i="9"/>
  <c r="P22" i="10" s="1"/>
  <c r="N158" i="9"/>
  <c r="N22" i="10" s="1"/>
  <c r="M158" i="9"/>
  <c r="M22" i="10" s="1"/>
  <c r="L158" i="9"/>
  <c r="K158" i="9"/>
  <c r="K22" i="10" s="1"/>
  <c r="I158" i="9"/>
  <c r="I22" i="10" s="1"/>
  <c r="H158" i="9"/>
  <c r="G158" i="9"/>
  <c r="G22" i="10" s="1"/>
  <c r="F158" i="9"/>
  <c r="C158" i="9"/>
  <c r="W157" i="9"/>
  <c r="W17" i="10" s="1"/>
  <c r="V157" i="9"/>
  <c r="V17" i="10" s="1"/>
  <c r="U157" i="9"/>
  <c r="U17" i="10" s="1"/>
  <c r="S157" i="9"/>
  <c r="S17" i="10" s="1"/>
  <c r="R157" i="9"/>
  <c r="R17" i="10" s="1"/>
  <c r="Q157" i="9"/>
  <c r="P157" i="9"/>
  <c r="N157" i="9"/>
  <c r="N17" i="10" s="1"/>
  <c r="M157" i="9"/>
  <c r="M17" i="10" s="1"/>
  <c r="L157" i="9"/>
  <c r="K157" i="9"/>
  <c r="K17" i="10" s="1"/>
  <c r="I157" i="9"/>
  <c r="H157" i="9"/>
  <c r="G157" i="9"/>
  <c r="G17" i="10" s="1"/>
  <c r="F157" i="9"/>
  <c r="F17" i="10" s="1"/>
  <c r="C157" i="9"/>
  <c r="W156" i="9"/>
  <c r="W12" i="10" s="1"/>
  <c r="V156" i="9"/>
  <c r="U156" i="9"/>
  <c r="U12" i="10" s="1"/>
  <c r="S156" i="9"/>
  <c r="R156" i="9"/>
  <c r="R12" i="10" s="1"/>
  <c r="Q156" i="9"/>
  <c r="Q12" i="10" s="1"/>
  <c r="P156" i="9"/>
  <c r="P12" i="10" s="1"/>
  <c r="N156" i="9"/>
  <c r="M156" i="9"/>
  <c r="M12" i="10" s="1"/>
  <c r="L156" i="9"/>
  <c r="L12" i="10" s="1"/>
  <c r="K156" i="9"/>
  <c r="K12" i="10" s="1"/>
  <c r="I156" i="9"/>
  <c r="I12" i="10" s="1"/>
  <c r="H156" i="9"/>
  <c r="H12" i="10" s="1"/>
  <c r="G156" i="9"/>
  <c r="G12" i="10" s="1"/>
  <c r="F156" i="9"/>
  <c r="F12" i="10" s="1"/>
  <c r="C156" i="9"/>
  <c r="W155" i="9"/>
  <c r="V155" i="9"/>
  <c r="U155" i="9"/>
  <c r="S155" i="9"/>
  <c r="R155" i="9"/>
  <c r="Q155" i="9"/>
  <c r="P155" i="9"/>
  <c r="N155" i="9"/>
  <c r="M155" i="9"/>
  <c r="L155" i="9"/>
  <c r="K155" i="9"/>
  <c r="I155" i="9"/>
  <c r="H155" i="9"/>
  <c r="G155" i="9"/>
  <c r="F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C102" i="9"/>
  <c r="AE100" i="9"/>
  <c r="AC100" i="9"/>
  <c r="W100" i="9"/>
  <c r="V100" i="9"/>
  <c r="U100" i="9"/>
  <c r="N100" i="9"/>
  <c r="M100" i="9"/>
  <c r="K100" i="9"/>
  <c r="F100" i="9"/>
  <c r="C100" i="9"/>
  <c r="AE99" i="9"/>
  <c r="W99" i="9"/>
  <c r="V99" i="9"/>
  <c r="Q99" i="9"/>
  <c r="P99" i="9"/>
  <c r="N99" i="9"/>
  <c r="G99" i="9"/>
  <c r="F99" i="9"/>
  <c r="C99" i="9"/>
  <c r="AG98" i="9"/>
  <c r="AC98" i="9"/>
  <c r="R98" i="9"/>
  <c r="K98" i="9"/>
  <c r="I98" i="9"/>
  <c r="H98" i="9"/>
  <c r="C98" i="9"/>
  <c r="AE97" i="9"/>
  <c r="AC97" i="9"/>
  <c r="W97" i="9"/>
  <c r="V97" i="9"/>
  <c r="U97" i="9"/>
  <c r="P97" i="9"/>
  <c r="N97" i="9"/>
  <c r="M97" i="9"/>
  <c r="I97" i="9"/>
  <c r="G97" i="9"/>
  <c r="F97" i="9"/>
  <c r="C97" i="9"/>
  <c r="AC96" i="9"/>
  <c r="AB96" i="9"/>
  <c r="V96" i="9"/>
  <c r="U96" i="9"/>
  <c r="R96" i="9"/>
  <c r="N96" i="9"/>
  <c r="M96" i="9"/>
  <c r="L96" i="9"/>
  <c r="F96" i="9"/>
  <c r="C96" i="9"/>
  <c r="AD93" i="9"/>
  <c r="Y93" i="9"/>
  <c r="T93" i="9"/>
  <c r="O93" i="9"/>
  <c r="O184" i="9" s="1"/>
  <c r="J93" i="9"/>
  <c r="AD92" i="9"/>
  <c r="Y92" i="9"/>
  <c r="T92" i="9"/>
  <c r="O92" i="9"/>
  <c r="J92" i="9"/>
  <c r="AD91" i="9"/>
  <c r="Y91" i="9"/>
  <c r="T91" i="9"/>
  <c r="T182" i="9" s="1"/>
  <c r="O91" i="9"/>
  <c r="J91" i="9"/>
  <c r="AD90" i="9"/>
  <c r="Y90" i="9"/>
  <c r="T90" i="9"/>
  <c r="O90" i="9"/>
  <c r="J90" i="9"/>
  <c r="AD89" i="9"/>
  <c r="Y89" i="9"/>
  <c r="T89" i="9"/>
  <c r="O89" i="9"/>
  <c r="J89" i="9"/>
  <c r="AG88" i="9"/>
  <c r="AG99" i="9" s="1"/>
  <c r="AF88" i="9"/>
  <c r="AE88" i="9"/>
  <c r="AE98" i="9" s="1"/>
  <c r="AC88" i="9"/>
  <c r="AB88" i="9"/>
  <c r="AA88" i="9"/>
  <c r="Z88" i="9"/>
  <c r="Z96" i="9" s="1"/>
  <c r="X88" i="9"/>
  <c r="W88" i="9"/>
  <c r="W96" i="9" s="1"/>
  <c r="V88" i="9"/>
  <c r="V200" i="9" s="1"/>
  <c r="U88" i="9"/>
  <c r="S88" i="9"/>
  <c r="R88" i="9"/>
  <c r="Q88" i="9"/>
  <c r="P88" i="9"/>
  <c r="N88" i="9"/>
  <c r="N98" i="9" s="1"/>
  <c r="M88" i="9"/>
  <c r="M99" i="9" s="1"/>
  <c r="L88" i="9"/>
  <c r="L100" i="9" s="1"/>
  <c r="K88" i="9"/>
  <c r="J88" i="9"/>
  <c r="J100" i="9" s="1"/>
  <c r="I88" i="9"/>
  <c r="H88" i="9"/>
  <c r="G88" i="9"/>
  <c r="G200" i="9" s="1"/>
  <c r="F88" i="9"/>
  <c r="F98" i="9" s="1"/>
  <c r="C83" i="9"/>
  <c r="C82" i="9"/>
  <c r="C81" i="9"/>
  <c r="C80" i="9"/>
  <c r="C79" i="9"/>
  <c r="C78" i="9"/>
  <c r="W75" i="9"/>
  <c r="V75" i="9"/>
  <c r="U75" i="9"/>
  <c r="S75" i="9"/>
  <c r="R75" i="9"/>
  <c r="Q75" i="9"/>
  <c r="P75" i="9"/>
  <c r="N75" i="9"/>
  <c r="M75" i="9"/>
  <c r="L75" i="9"/>
  <c r="K75" i="9"/>
  <c r="I75" i="9"/>
  <c r="H75" i="9"/>
  <c r="G75" i="9"/>
  <c r="F75" i="9"/>
  <c r="C75" i="9"/>
  <c r="W74" i="9"/>
  <c r="V74" i="9"/>
  <c r="U74" i="9"/>
  <c r="S74" i="9"/>
  <c r="R74" i="9"/>
  <c r="Q74" i="9"/>
  <c r="P74" i="9"/>
  <c r="N74" i="9"/>
  <c r="M74" i="9"/>
  <c r="L74" i="9"/>
  <c r="K74" i="9"/>
  <c r="I74" i="9"/>
  <c r="H74" i="9"/>
  <c r="G74" i="9"/>
  <c r="F74" i="9"/>
  <c r="C74" i="9"/>
  <c r="W73" i="9"/>
  <c r="V73" i="9"/>
  <c r="U73" i="9"/>
  <c r="S73" i="9"/>
  <c r="R73" i="9"/>
  <c r="Q73" i="9"/>
  <c r="P73" i="9"/>
  <c r="O73" i="9"/>
  <c r="N73" i="9"/>
  <c r="M73" i="9"/>
  <c r="L73" i="9"/>
  <c r="K73" i="9"/>
  <c r="I73" i="9"/>
  <c r="H73" i="9"/>
  <c r="G73" i="9"/>
  <c r="F73" i="9"/>
  <c r="C73" i="9"/>
  <c r="W72" i="9"/>
  <c r="V72" i="9"/>
  <c r="U72" i="9"/>
  <c r="S72" i="9"/>
  <c r="R72" i="9"/>
  <c r="Q72" i="9"/>
  <c r="P72" i="9"/>
  <c r="N72" i="9"/>
  <c r="M72" i="9"/>
  <c r="L72" i="9"/>
  <c r="K72" i="9"/>
  <c r="I72" i="9"/>
  <c r="H72" i="9"/>
  <c r="G72" i="9"/>
  <c r="F72" i="9"/>
  <c r="C72" i="9"/>
  <c r="W71" i="9"/>
  <c r="V71" i="9"/>
  <c r="U71" i="9"/>
  <c r="S71" i="9"/>
  <c r="R71" i="9"/>
  <c r="Q71" i="9"/>
  <c r="P71" i="9"/>
  <c r="N71" i="9"/>
  <c r="M71" i="9"/>
  <c r="L71" i="9"/>
  <c r="K71" i="9"/>
  <c r="I71" i="9"/>
  <c r="H71" i="9"/>
  <c r="G71" i="9"/>
  <c r="F71" i="9"/>
  <c r="C71" i="9"/>
  <c r="W70" i="9"/>
  <c r="V70" i="9"/>
  <c r="U70" i="9"/>
  <c r="S70" i="9"/>
  <c r="R70" i="9"/>
  <c r="Q70" i="9"/>
  <c r="P70" i="9"/>
  <c r="N70" i="9"/>
  <c r="M70" i="9"/>
  <c r="L70" i="9"/>
  <c r="K70" i="9"/>
  <c r="J70" i="9"/>
  <c r="I70" i="9"/>
  <c r="H70" i="9"/>
  <c r="G70" i="9"/>
  <c r="F70" i="9"/>
  <c r="C70" i="9"/>
  <c r="W69" i="9"/>
  <c r="AG67" i="9"/>
  <c r="AF67" i="9"/>
  <c r="AE67" i="9"/>
  <c r="AC67" i="9"/>
  <c r="AB67" i="9"/>
  <c r="AA67" i="9"/>
  <c r="Z67" i="9"/>
  <c r="X67" i="9"/>
  <c r="U67" i="9"/>
  <c r="U83" i="10" s="1"/>
  <c r="S67" i="9"/>
  <c r="S83" i="10" s="1"/>
  <c r="P67" i="9"/>
  <c r="P83" i="10" s="1"/>
  <c r="K67" i="9"/>
  <c r="K83" i="10" s="1"/>
  <c r="G67" i="9"/>
  <c r="G83" i="10" s="1"/>
  <c r="F67" i="9"/>
  <c r="F83" i="10" s="1"/>
  <c r="C67" i="9"/>
  <c r="C83" i="10" s="1"/>
  <c r="AG66" i="9"/>
  <c r="AF66" i="9"/>
  <c r="AE66" i="9"/>
  <c r="AC66" i="9"/>
  <c r="AB66" i="9"/>
  <c r="AA66" i="9"/>
  <c r="Z66" i="9"/>
  <c r="X66" i="9"/>
  <c r="S66" i="9"/>
  <c r="S82" i="10" s="1"/>
  <c r="R66" i="9"/>
  <c r="R82" i="10" s="1"/>
  <c r="P66" i="9"/>
  <c r="P82" i="10" s="1"/>
  <c r="M66" i="9"/>
  <c r="M82" i="10" s="1"/>
  <c r="I66" i="9"/>
  <c r="I82" i="10" s="1"/>
  <c r="C66" i="9"/>
  <c r="C82" i="10" s="1"/>
  <c r="AG65" i="9"/>
  <c r="AF65" i="9"/>
  <c r="AE65" i="9"/>
  <c r="AC65" i="9"/>
  <c r="AB65" i="9"/>
  <c r="AA65" i="9"/>
  <c r="Z65" i="9"/>
  <c r="X65" i="9"/>
  <c r="R65" i="9"/>
  <c r="R81" i="10" s="1"/>
  <c r="P65" i="9"/>
  <c r="P81" i="10" s="1"/>
  <c r="H65" i="9"/>
  <c r="H81" i="10" s="1"/>
  <c r="C65" i="9"/>
  <c r="C81" i="10" s="1"/>
  <c r="AG64" i="9"/>
  <c r="AF64" i="9"/>
  <c r="AE64" i="9"/>
  <c r="AC64" i="9"/>
  <c r="AB64" i="9"/>
  <c r="AA64" i="9"/>
  <c r="Z64" i="9"/>
  <c r="X64" i="9"/>
  <c r="S64" i="9"/>
  <c r="S80" i="10" s="1"/>
  <c r="R64" i="9"/>
  <c r="R80" i="10" s="1"/>
  <c r="F64" i="9"/>
  <c r="F80" i="10" s="1"/>
  <c r="C64" i="9"/>
  <c r="C80" i="10" s="1"/>
  <c r="AG63" i="9"/>
  <c r="AF63" i="9"/>
  <c r="AE63" i="9"/>
  <c r="AC63" i="9"/>
  <c r="AB63" i="9"/>
  <c r="AA63" i="9"/>
  <c r="Z63" i="9"/>
  <c r="X63" i="9"/>
  <c r="R63" i="9"/>
  <c r="R79" i="10" s="1"/>
  <c r="P63" i="9"/>
  <c r="P79" i="10" s="1"/>
  <c r="L63" i="9"/>
  <c r="L79" i="10" s="1"/>
  <c r="K63" i="9"/>
  <c r="K79" i="10" s="1"/>
  <c r="H63" i="9"/>
  <c r="H79" i="10" s="1"/>
  <c r="C63" i="9"/>
  <c r="C79" i="10" s="1"/>
  <c r="AG62" i="9"/>
  <c r="AF62" i="9"/>
  <c r="AE62" i="9"/>
  <c r="AC62" i="9"/>
  <c r="AB62" i="9"/>
  <c r="AA62" i="9"/>
  <c r="Z62" i="9"/>
  <c r="X62" i="9"/>
  <c r="P62" i="9"/>
  <c r="P78" i="10" s="1"/>
  <c r="H62" i="9"/>
  <c r="H78" i="10" s="1"/>
  <c r="C62" i="9"/>
  <c r="C78" i="10" s="1"/>
  <c r="T57" i="9"/>
  <c r="O57" i="9"/>
  <c r="J57" i="9"/>
  <c r="C57" i="9"/>
  <c r="T56" i="9"/>
  <c r="O56" i="9"/>
  <c r="J56" i="9"/>
  <c r="C56" i="9"/>
  <c r="T55" i="9"/>
  <c r="O55" i="9"/>
  <c r="J55" i="9"/>
  <c r="C55" i="9"/>
  <c r="T54" i="9"/>
  <c r="T72" i="9" s="1"/>
  <c r="O54" i="9"/>
  <c r="O72" i="9" s="1"/>
  <c r="J54" i="9"/>
  <c r="C54" i="9"/>
  <c r="T53" i="9"/>
  <c r="O53" i="9"/>
  <c r="J53" i="9"/>
  <c r="C53" i="9"/>
  <c r="T52" i="9"/>
  <c r="O52" i="9"/>
  <c r="O70" i="9" s="1"/>
  <c r="J52" i="9"/>
  <c r="C52" i="9"/>
  <c r="W51" i="9"/>
  <c r="V51" i="9"/>
  <c r="U51" i="9"/>
  <c r="S51" i="9"/>
  <c r="S63" i="9" s="1"/>
  <c r="S79" i="10" s="1"/>
  <c r="R51" i="9"/>
  <c r="Q51" i="9"/>
  <c r="P51" i="9"/>
  <c r="N51" i="9"/>
  <c r="M51" i="9"/>
  <c r="L51" i="9"/>
  <c r="L65" i="9" s="1"/>
  <c r="L81" i="10" s="1"/>
  <c r="K51" i="9"/>
  <c r="K64" i="9" s="1"/>
  <c r="K80" i="10" s="1"/>
  <c r="I51" i="9"/>
  <c r="H51" i="9"/>
  <c r="G51" i="9"/>
  <c r="F51" i="9"/>
  <c r="F62" i="9" s="1"/>
  <c r="F78" i="10" s="1"/>
  <c r="U49" i="9"/>
  <c r="S49" i="9"/>
  <c r="R49" i="9"/>
  <c r="M49" i="9"/>
  <c r="L49" i="9"/>
  <c r="C49" i="9"/>
  <c r="W48" i="9"/>
  <c r="V48" i="9"/>
  <c r="U48" i="9"/>
  <c r="R48" i="9"/>
  <c r="N48" i="9"/>
  <c r="M48" i="9"/>
  <c r="F48" i="9"/>
  <c r="C48" i="9"/>
  <c r="W47" i="9"/>
  <c r="V47" i="9"/>
  <c r="U47" i="9"/>
  <c r="N47" i="9"/>
  <c r="M47" i="9"/>
  <c r="L47" i="9"/>
  <c r="K47" i="9"/>
  <c r="F47" i="9"/>
  <c r="C47" i="9"/>
  <c r="L46" i="9"/>
  <c r="H46" i="9"/>
  <c r="C46" i="9"/>
  <c r="W45" i="9"/>
  <c r="V45" i="9"/>
  <c r="U45" i="9"/>
  <c r="N45" i="9"/>
  <c r="M45" i="9"/>
  <c r="L45" i="9"/>
  <c r="F45" i="9"/>
  <c r="C45" i="9"/>
  <c r="V44" i="9"/>
  <c r="U44" i="9"/>
  <c r="N44" i="9"/>
  <c r="M44" i="9"/>
  <c r="L44" i="9"/>
  <c r="K44" i="9"/>
  <c r="F44" i="9"/>
  <c r="C44" i="9"/>
  <c r="W41" i="9"/>
  <c r="R41" i="9"/>
  <c r="P41" i="9"/>
  <c r="T39" i="9"/>
  <c r="T160" i="9" s="1"/>
  <c r="T32" i="10" s="1"/>
  <c r="O39" i="9"/>
  <c r="J39" i="9"/>
  <c r="C39" i="9"/>
  <c r="T38" i="9"/>
  <c r="O38" i="9"/>
  <c r="J38" i="9"/>
  <c r="C38" i="9"/>
  <c r="T37" i="9"/>
  <c r="O37" i="9"/>
  <c r="O158" i="9" s="1"/>
  <c r="O22" i="10" s="1"/>
  <c r="J37" i="9"/>
  <c r="C37" i="9"/>
  <c r="T36" i="9"/>
  <c r="T157" i="9" s="1"/>
  <c r="T17" i="10" s="1"/>
  <c r="O36" i="9"/>
  <c r="J36" i="9"/>
  <c r="C36" i="9"/>
  <c r="T35" i="9"/>
  <c r="O35" i="9"/>
  <c r="J35" i="9"/>
  <c r="C35" i="9"/>
  <c r="T34" i="9"/>
  <c r="O34" i="9"/>
  <c r="J34" i="9"/>
  <c r="C34" i="9"/>
  <c r="W33" i="9"/>
  <c r="V33" i="9"/>
  <c r="V46" i="9" s="1"/>
  <c r="U33" i="9"/>
  <c r="U41" i="9" s="1"/>
  <c r="S33" i="9"/>
  <c r="S69" i="9" s="1"/>
  <c r="R33" i="9"/>
  <c r="Q33" i="9"/>
  <c r="P33" i="9"/>
  <c r="O33" i="9"/>
  <c r="N33" i="9"/>
  <c r="N46" i="9" s="1"/>
  <c r="M33" i="9"/>
  <c r="M41" i="9" s="1"/>
  <c r="L33" i="9"/>
  <c r="L48" i="9" s="1"/>
  <c r="K33" i="9"/>
  <c r="K41" i="9" s="1"/>
  <c r="I33" i="9"/>
  <c r="H33" i="9"/>
  <c r="H69" i="9" s="1"/>
  <c r="G33" i="9"/>
  <c r="F33" i="9"/>
  <c r="F46" i="9" s="1"/>
  <c r="AE31" i="9"/>
  <c r="W31" i="9"/>
  <c r="V31" i="9"/>
  <c r="N31" i="9"/>
  <c r="M31" i="9"/>
  <c r="L31" i="9"/>
  <c r="K31" i="9"/>
  <c r="G31" i="9"/>
  <c r="F31" i="9"/>
  <c r="AF30" i="9"/>
  <c r="AE30" i="9"/>
  <c r="AA30" i="9"/>
  <c r="Z30" i="9"/>
  <c r="X30" i="9"/>
  <c r="W30" i="9"/>
  <c r="V30" i="9"/>
  <c r="R30" i="9"/>
  <c r="Q30" i="9"/>
  <c r="P30" i="9"/>
  <c r="N30" i="9"/>
  <c r="I30" i="9"/>
  <c r="H30" i="9"/>
  <c r="G30" i="9"/>
  <c r="F30" i="9"/>
  <c r="AE29" i="9"/>
  <c r="W29" i="9"/>
  <c r="V29" i="9"/>
  <c r="U29" i="9"/>
  <c r="N29" i="9"/>
  <c r="G29" i="9"/>
  <c r="F29" i="9"/>
  <c r="AD26" i="9"/>
  <c r="Y26" i="9"/>
  <c r="T26" i="9"/>
  <c r="O26" i="9"/>
  <c r="J26" i="9"/>
  <c r="C26" i="9"/>
  <c r="AD25" i="9"/>
  <c r="Y25" i="9"/>
  <c r="T25" i="9"/>
  <c r="O25" i="9"/>
  <c r="J25" i="9"/>
  <c r="J30" i="9" s="1"/>
  <c r="C25" i="9"/>
  <c r="AD24" i="9"/>
  <c r="Y24" i="9"/>
  <c r="T24" i="9"/>
  <c r="O24" i="9"/>
  <c r="J24" i="9"/>
  <c r="C24" i="9"/>
  <c r="AG23" i="9"/>
  <c r="AF23" i="9"/>
  <c r="AF31" i="9" s="1"/>
  <c r="AE23" i="9"/>
  <c r="AC23" i="9"/>
  <c r="AB23" i="9"/>
  <c r="AA23" i="9"/>
  <c r="Z23" i="9"/>
  <c r="X23" i="9"/>
  <c r="X31" i="9" s="1"/>
  <c r="W23" i="9"/>
  <c r="V23" i="9"/>
  <c r="U23" i="9"/>
  <c r="S23" i="9"/>
  <c r="R23" i="9"/>
  <c r="Q23" i="9"/>
  <c r="P23" i="9"/>
  <c r="P31" i="9" s="1"/>
  <c r="N23" i="9"/>
  <c r="M23" i="9"/>
  <c r="L23" i="9"/>
  <c r="L30" i="9" s="1"/>
  <c r="K23" i="9"/>
  <c r="J23" i="9"/>
  <c r="J31" i="9" s="1"/>
  <c r="I23" i="9"/>
  <c r="H23" i="9"/>
  <c r="H31" i="9" s="1"/>
  <c r="G23" i="9"/>
  <c r="F23" i="9"/>
  <c r="W21" i="9"/>
  <c r="V21" i="9"/>
  <c r="U21" i="9"/>
  <c r="Q21" i="9"/>
  <c r="P21" i="9"/>
  <c r="N21" i="9"/>
  <c r="M21" i="9"/>
  <c r="H21" i="9"/>
  <c r="G21" i="9"/>
  <c r="F21" i="9"/>
  <c r="U20" i="9"/>
  <c r="S20" i="9"/>
  <c r="M20" i="9"/>
  <c r="K20" i="9"/>
  <c r="I20" i="9"/>
  <c r="W19" i="9"/>
  <c r="V19" i="9"/>
  <c r="P19" i="9"/>
  <c r="N19" i="9"/>
  <c r="M19" i="9"/>
  <c r="I19" i="9"/>
  <c r="H19" i="9"/>
  <c r="G19" i="9"/>
  <c r="F19" i="9"/>
  <c r="M18" i="9"/>
  <c r="L18" i="9"/>
  <c r="K18" i="9"/>
  <c r="W17" i="9"/>
  <c r="V17" i="9"/>
  <c r="P17" i="9"/>
  <c r="N17" i="9"/>
  <c r="M17" i="9"/>
  <c r="H17" i="9"/>
  <c r="G17" i="9"/>
  <c r="F17" i="9"/>
  <c r="S16" i="9"/>
  <c r="R16" i="9"/>
  <c r="Q16" i="9"/>
  <c r="M16" i="9"/>
  <c r="T13" i="9"/>
  <c r="O13" i="9"/>
  <c r="J13" i="9"/>
  <c r="C13" i="9"/>
  <c r="T12" i="9"/>
  <c r="O12" i="9"/>
  <c r="J12" i="9"/>
  <c r="C12" i="9"/>
  <c r="T11" i="9"/>
  <c r="O11" i="9"/>
  <c r="J11" i="9"/>
  <c r="C11" i="9"/>
  <c r="T10" i="9"/>
  <c r="T175" i="9" s="1"/>
  <c r="O10" i="9"/>
  <c r="O175" i="9" s="1"/>
  <c r="J10" i="9"/>
  <c r="C10" i="9"/>
  <c r="T9" i="9"/>
  <c r="O9" i="9"/>
  <c r="J9" i="9"/>
  <c r="C9" i="9"/>
  <c r="T8" i="9"/>
  <c r="O8" i="9"/>
  <c r="J8" i="9"/>
  <c r="C8" i="9"/>
  <c r="W7" i="9"/>
  <c r="V7" i="9"/>
  <c r="U7" i="9"/>
  <c r="U17" i="9" s="1"/>
  <c r="S7" i="9"/>
  <c r="R7" i="9"/>
  <c r="Q7" i="9"/>
  <c r="P7" i="9"/>
  <c r="N7" i="9"/>
  <c r="M7" i="9"/>
  <c r="L7" i="9"/>
  <c r="L20" i="9" s="1"/>
  <c r="K7" i="9"/>
  <c r="I7" i="9"/>
  <c r="H7" i="9"/>
  <c r="H192" i="9" s="1"/>
  <c r="G7" i="9"/>
  <c r="G192" i="9" s="1"/>
  <c r="F7" i="9"/>
  <c r="F20" i="9" s="1"/>
  <c r="C2" i="9"/>
  <c r="C1" i="9"/>
  <c r="AA326" i="8"/>
  <c r="AB326" i="8" s="1"/>
  <c r="AC326" i="8" s="1"/>
  <c r="AE326" i="8" s="1"/>
  <c r="AF326" i="8" s="1"/>
  <c r="AG326" i="8" s="1"/>
  <c r="Z326" i="8"/>
  <c r="X326" i="8"/>
  <c r="X319" i="8"/>
  <c r="AG314" i="8"/>
  <c r="AF314" i="8"/>
  <c r="AE314" i="8"/>
  <c r="AC314" i="8"/>
  <c r="AB314" i="8"/>
  <c r="AA314" i="8"/>
  <c r="Z314" i="8"/>
  <c r="X314" i="8"/>
  <c r="U310" i="8"/>
  <c r="S310" i="8"/>
  <c r="R310" i="8"/>
  <c r="S307" i="8" s="1"/>
  <c r="S309" i="8" s="1"/>
  <c r="S157" i="10" s="1"/>
  <c r="Q310" i="8"/>
  <c r="P310" i="8"/>
  <c r="L310" i="8"/>
  <c r="AG309" i="8"/>
  <c r="AC309" i="8"/>
  <c r="AB309" i="8"/>
  <c r="X309" i="8"/>
  <c r="AG308" i="8"/>
  <c r="AG90" i="8" s="1"/>
  <c r="AF308" i="8"/>
  <c r="AE308" i="8"/>
  <c r="X308" i="8"/>
  <c r="Q308" i="8"/>
  <c r="Q152" i="10" s="1"/>
  <c r="I308" i="8"/>
  <c r="I152" i="10" s="1"/>
  <c r="R307" i="8"/>
  <c r="Q307" i="8"/>
  <c r="Q309" i="8" s="1"/>
  <c r="Q157" i="10" s="1"/>
  <c r="J307" i="8"/>
  <c r="F307" i="8"/>
  <c r="W304" i="8"/>
  <c r="V304" i="8"/>
  <c r="V303" i="8" s="1"/>
  <c r="U304" i="8"/>
  <c r="S304" i="8"/>
  <c r="R304" i="8"/>
  <c r="Q304" i="8"/>
  <c r="P304" i="8"/>
  <c r="N304" i="8"/>
  <c r="M304" i="8"/>
  <c r="L304" i="8"/>
  <c r="L303" i="8" s="1"/>
  <c r="K304" i="8"/>
  <c r="L302" i="8" s="1"/>
  <c r="I304" i="8"/>
  <c r="H304" i="8"/>
  <c r="G304" i="8"/>
  <c r="F304" i="8"/>
  <c r="G302" i="8" s="1"/>
  <c r="G303" i="8" s="1"/>
  <c r="U303" i="8"/>
  <c r="H303" i="8"/>
  <c r="F303" i="8"/>
  <c r="X302" i="8"/>
  <c r="W302" i="8"/>
  <c r="W303" i="8" s="1"/>
  <c r="V302" i="8"/>
  <c r="R302" i="8"/>
  <c r="Q302" i="8"/>
  <c r="M302" i="8"/>
  <c r="J302" i="8"/>
  <c r="J303" i="8" s="1"/>
  <c r="I302" i="8"/>
  <c r="H302" i="8"/>
  <c r="F302" i="8"/>
  <c r="AG296" i="8"/>
  <c r="AF296" i="8"/>
  <c r="AF309" i="8" s="1"/>
  <c r="AE296" i="8"/>
  <c r="AE309" i="8" s="1"/>
  <c r="AE91" i="8" s="1"/>
  <c r="AB296" i="8"/>
  <c r="AA296" i="8"/>
  <c r="AA309" i="8" s="1"/>
  <c r="Z296" i="8"/>
  <c r="Z309" i="8" s="1"/>
  <c r="X296" i="8"/>
  <c r="AG295" i="8"/>
  <c r="AF295" i="8"/>
  <c r="AE295" i="8"/>
  <c r="AC295" i="8"/>
  <c r="AC308" i="8" s="1"/>
  <c r="AB295" i="8"/>
  <c r="AB308" i="8" s="1"/>
  <c r="AA295" i="8"/>
  <c r="AA308" i="8" s="1"/>
  <c r="Z295" i="8"/>
  <c r="Z308" i="8" s="1"/>
  <c r="X295" i="8"/>
  <c r="X292" i="8"/>
  <c r="X291" i="8"/>
  <c r="X290" i="8"/>
  <c r="AG289" i="8"/>
  <c r="T284" i="8"/>
  <c r="O284" i="8"/>
  <c r="O283" i="8" s="1"/>
  <c r="J284" i="8"/>
  <c r="J283" i="8" s="1"/>
  <c r="X283" i="8"/>
  <c r="Z283" i="8" s="1"/>
  <c r="AA283" i="8" s="1"/>
  <c r="AB283" i="8" s="1"/>
  <c r="AC283" i="8" s="1"/>
  <c r="AE283" i="8" s="1"/>
  <c r="AF283" i="8" s="1"/>
  <c r="AG283" i="8" s="1"/>
  <c r="W283" i="8"/>
  <c r="V283" i="8"/>
  <c r="U283" i="8"/>
  <c r="S283" i="8"/>
  <c r="R283" i="8"/>
  <c r="Q283" i="8"/>
  <c r="P283" i="8"/>
  <c r="N283" i="8"/>
  <c r="M283" i="8"/>
  <c r="L283" i="8"/>
  <c r="K283" i="8"/>
  <c r="I283" i="8"/>
  <c r="H283" i="8"/>
  <c r="G283" i="8"/>
  <c r="F283" i="8"/>
  <c r="T282" i="8"/>
  <c r="T283" i="8" s="1"/>
  <c r="O282" i="8"/>
  <c r="O266" i="8" s="1"/>
  <c r="J282" i="8"/>
  <c r="J266" i="8" s="1"/>
  <c r="T280" i="8"/>
  <c r="N280" i="8"/>
  <c r="I280" i="8"/>
  <c r="AG278" i="8"/>
  <c r="AF278" i="8"/>
  <c r="AE278" i="8"/>
  <c r="AC278" i="8"/>
  <c r="AB278" i="8"/>
  <c r="AA278" i="8"/>
  <c r="Z278" i="8"/>
  <c r="AD278" i="8" s="1"/>
  <c r="Y278" i="8"/>
  <c r="X278" i="8"/>
  <c r="X277" i="8"/>
  <c r="AG273" i="8"/>
  <c r="AF273" i="8"/>
  <c r="AE273" i="8"/>
  <c r="AC273" i="8"/>
  <c r="AB273" i="8"/>
  <c r="AA273" i="8"/>
  <c r="Z273" i="8"/>
  <c r="X273" i="8"/>
  <c r="X267" i="8" s="1"/>
  <c r="AG272" i="8"/>
  <c r="AG241" i="8" s="1"/>
  <c r="AF272" i="8"/>
  <c r="AF241" i="8" s="1"/>
  <c r="AE272" i="8"/>
  <c r="AE241" i="8" s="1"/>
  <c r="AD272" i="8"/>
  <c r="AC272" i="8"/>
  <c r="AB272" i="8"/>
  <c r="AA272" i="8"/>
  <c r="Z272" i="8"/>
  <c r="Z241" i="8" s="1"/>
  <c r="X272" i="8"/>
  <c r="X241" i="8" s="1"/>
  <c r="W272" i="8"/>
  <c r="W165" i="10" s="1"/>
  <c r="V272" i="8"/>
  <c r="U272" i="8"/>
  <c r="U165" i="10" s="1"/>
  <c r="R272" i="8"/>
  <c r="R165" i="10" s="1"/>
  <c r="Q272" i="8"/>
  <c r="Q165" i="10" s="1"/>
  <c r="P272" i="8"/>
  <c r="P165" i="10" s="1"/>
  <c r="N272" i="8"/>
  <c r="N165" i="10" s="1"/>
  <c r="M272" i="8"/>
  <c r="M165" i="10" s="1"/>
  <c r="L272" i="8"/>
  <c r="L165" i="10" s="1"/>
  <c r="K272" i="8"/>
  <c r="K165" i="10" s="1"/>
  <c r="I272" i="8"/>
  <c r="I165" i="10" s="1"/>
  <c r="G272" i="8"/>
  <c r="G165" i="10" s="1"/>
  <c r="F272" i="8"/>
  <c r="F165" i="10" s="1"/>
  <c r="AD271" i="8"/>
  <c r="Y271" i="8"/>
  <c r="T271" i="8"/>
  <c r="O271" i="8"/>
  <c r="J271" i="8"/>
  <c r="Z267" i="8"/>
  <c r="Z290" i="8" s="1"/>
  <c r="U267" i="8"/>
  <c r="S267" i="8"/>
  <c r="R267" i="8"/>
  <c r="Q267" i="8"/>
  <c r="P267" i="8"/>
  <c r="N267" i="8"/>
  <c r="M267" i="8"/>
  <c r="L267" i="8"/>
  <c r="K267" i="8"/>
  <c r="I267" i="8"/>
  <c r="I264" i="8" s="1"/>
  <c r="I265" i="8" s="1"/>
  <c r="H267" i="8"/>
  <c r="G267" i="8"/>
  <c r="G264" i="8" s="1"/>
  <c r="F267" i="8"/>
  <c r="W266" i="8"/>
  <c r="V266" i="8"/>
  <c r="U266" i="8"/>
  <c r="U264" i="8" s="1"/>
  <c r="U265" i="8" s="1"/>
  <c r="T266" i="8"/>
  <c r="S266" i="8"/>
  <c r="R266" i="8"/>
  <c r="Q266" i="8"/>
  <c r="P266" i="8"/>
  <c r="N266" i="8"/>
  <c r="M266" i="8"/>
  <c r="L266" i="8"/>
  <c r="L264" i="8" s="1"/>
  <c r="L265" i="8" s="1"/>
  <c r="K266" i="8"/>
  <c r="I266" i="8"/>
  <c r="H266" i="8"/>
  <c r="G266" i="8"/>
  <c r="F266" i="8"/>
  <c r="G265" i="8"/>
  <c r="S264" i="8"/>
  <c r="S265" i="8" s="1"/>
  <c r="M264" i="8"/>
  <c r="M265" i="8" s="1"/>
  <c r="K264" i="8"/>
  <c r="K265" i="8" s="1"/>
  <c r="W261" i="8"/>
  <c r="U261" i="8"/>
  <c r="S261" i="8"/>
  <c r="R261" i="8"/>
  <c r="Q261" i="8"/>
  <c r="P261" i="8"/>
  <c r="N261" i="8"/>
  <c r="M261" i="8"/>
  <c r="L261" i="8"/>
  <c r="M259" i="8" s="1"/>
  <c r="K261" i="8"/>
  <c r="L259" i="8" s="1"/>
  <c r="L260" i="8" s="1"/>
  <c r="I261" i="8"/>
  <c r="H261" i="8"/>
  <c r="G261" i="8"/>
  <c r="G260" i="8" s="1"/>
  <c r="F261" i="8"/>
  <c r="AG260" i="8"/>
  <c r="AF260" i="8"/>
  <c r="AE260" i="8"/>
  <c r="AD260" i="8"/>
  <c r="AC260" i="8"/>
  <c r="AB260" i="8"/>
  <c r="AA260" i="8"/>
  <c r="Z260" i="8"/>
  <c r="X260" i="8"/>
  <c r="N260" i="8"/>
  <c r="M260" i="8"/>
  <c r="X259" i="8"/>
  <c r="X261" i="8" s="1"/>
  <c r="X150" i="8" s="1"/>
  <c r="Y150" i="8" s="1"/>
  <c r="W259" i="8"/>
  <c r="V259" i="8"/>
  <c r="Q259" i="8"/>
  <c r="N259" i="8"/>
  <c r="I259" i="8"/>
  <c r="G259" i="8"/>
  <c r="F259" i="8"/>
  <c r="U256" i="8"/>
  <c r="T256" i="8"/>
  <c r="S256" i="8"/>
  <c r="R256" i="8"/>
  <c r="S252" i="8" s="1"/>
  <c r="Q256" i="8"/>
  <c r="P256" i="8"/>
  <c r="N256" i="8"/>
  <c r="M256" i="8"/>
  <c r="L256" i="8"/>
  <c r="K256" i="8"/>
  <c r="J256" i="8"/>
  <c r="K252" i="8" s="1"/>
  <c r="O252" i="8" s="1"/>
  <c r="I256" i="8"/>
  <c r="H256" i="8"/>
  <c r="G256" i="8"/>
  <c r="F256" i="8"/>
  <c r="AD255" i="8"/>
  <c r="V254" i="8"/>
  <c r="T254" i="8"/>
  <c r="O254" i="8"/>
  <c r="J254" i="8"/>
  <c r="V252" i="8"/>
  <c r="R252" i="8"/>
  <c r="Q252" i="8"/>
  <c r="M252" i="8"/>
  <c r="I252" i="8"/>
  <c r="H252" i="8"/>
  <c r="F252" i="8"/>
  <c r="J252" i="8" s="1"/>
  <c r="W247" i="8"/>
  <c r="X244" i="8" s="1"/>
  <c r="V247" i="8"/>
  <c r="U247" i="8"/>
  <c r="S247" i="8"/>
  <c r="R247" i="8"/>
  <c r="Q247" i="8"/>
  <c r="P247" i="8"/>
  <c r="N247" i="8"/>
  <c r="M247" i="8"/>
  <c r="L247" i="8"/>
  <c r="K247" i="8"/>
  <c r="I247" i="8"/>
  <c r="H247" i="8"/>
  <c r="G247" i="8"/>
  <c r="F247" i="8"/>
  <c r="V246" i="8"/>
  <c r="K39" i="14" s="1"/>
  <c r="S246" i="8"/>
  <c r="L246" i="8"/>
  <c r="N246" i="8" s="1"/>
  <c r="G246" i="8"/>
  <c r="X245" i="8"/>
  <c r="Y245" i="8" s="1"/>
  <c r="T245" i="8"/>
  <c r="O245" i="8"/>
  <c r="J245" i="8"/>
  <c r="AC241" i="8"/>
  <c r="AB241" i="8"/>
  <c r="AA241" i="8"/>
  <c r="W241" i="8"/>
  <c r="V241" i="8"/>
  <c r="S241" i="8"/>
  <c r="O241" i="8"/>
  <c r="O272" i="8" s="1"/>
  <c r="O165" i="10" s="1"/>
  <c r="F241" i="8"/>
  <c r="U240" i="8"/>
  <c r="R240" i="8"/>
  <c r="Q240" i="8"/>
  <c r="P240" i="8"/>
  <c r="N240" i="8"/>
  <c r="O239" i="8" s="1"/>
  <c r="M240" i="8"/>
  <c r="L240" i="8"/>
  <c r="K240" i="8"/>
  <c r="I240" i="8"/>
  <c r="G240" i="8"/>
  <c r="F240" i="8"/>
  <c r="AA239" i="8"/>
  <c r="Z239" i="8"/>
  <c r="X239" i="8"/>
  <c r="AG232" i="8"/>
  <c r="AF232" i="8"/>
  <c r="AE232" i="8"/>
  <c r="AC232" i="8"/>
  <c r="AB232" i="8"/>
  <c r="AA232" i="8"/>
  <c r="Z232" i="8"/>
  <c r="X232" i="8"/>
  <c r="U232" i="8"/>
  <c r="U128" i="10" s="1"/>
  <c r="G232" i="8"/>
  <c r="G128" i="10" s="1"/>
  <c r="V225" i="8"/>
  <c r="K225" i="8"/>
  <c r="Y224" i="8"/>
  <c r="Z224" i="8" s="1"/>
  <c r="AA224" i="8" s="1"/>
  <c r="AB224" i="8" s="1"/>
  <c r="AC224" i="8" s="1"/>
  <c r="X224" i="8"/>
  <c r="W224" i="8"/>
  <c r="V224" i="8"/>
  <c r="S224" i="8"/>
  <c r="R224" i="8"/>
  <c r="Q224" i="8"/>
  <c r="P224" i="8"/>
  <c r="N224" i="8"/>
  <c r="M224" i="8"/>
  <c r="L224" i="8"/>
  <c r="K224" i="8"/>
  <c r="I224" i="8"/>
  <c r="H224" i="8"/>
  <c r="G224" i="8"/>
  <c r="F224" i="8"/>
  <c r="W223" i="8"/>
  <c r="X223" i="8" s="1"/>
  <c r="V223" i="8"/>
  <c r="U223" i="8"/>
  <c r="U225" i="8" s="1"/>
  <c r="T223" i="8"/>
  <c r="S223" i="8"/>
  <c r="S225" i="8" s="1"/>
  <c r="S226" i="8" s="1"/>
  <c r="R223" i="8"/>
  <c r="R225" i="8" s="1"/>
  <c r="Q223" i="8"/>
  <c r="P223" i="8"/>
  <c r="N223" i="8"/>
  <c r="N225" i="8" s="1"/>
  <c r="N226" i="8" s="1"/>
  <c r="M223" i="8"/>
  <c r="M225" i="8" s="1"/>
  <c r="L223" i="8"/>
  <c r="L225" i="8" s="1"/>
  <c r="K223" i="8"/>
  <c r="J223" i="8"/>
  <c r="J225" i="8" s="1"/>
  <c r="I223" i="8"/>
  <c r="I225" i="8" s="1"/>
  <c r="H223" i="8"/>
  <c r="G223" i="8"/>
  <c r="F223" i="8"/>
  <c r="F225" i="8" s="1"/>
  <c r="S220" i="8"/>
  <c r="Q220" i="8"/>
  <c r="H220" i="8"/>
  <c r="U219" i="8"/>
  <c r="T219" i="8"/>
  <c r="S219" i="8"/>
  <c r="S232" i="8" s="1"/>
  <c r="S128" i="10" s="1"/>
  <c r="R219" i="8"/>
  <c r="R232" i="8" s="1"/>
  <c r="R128" i="10" s="1"/>
  <c r="Q219" i="8"/>
  <c r="P219" i="8"/>
  <c r="P220" i="8" s="1"/>
  <c r="N219" i="8"/>
  <c r="Z218" i="8"/>
  <c r="Y218" i="8"/>
  <c r="X218" i="8"/>
  <c r="W218" i="8"/>
  <c r="V218" i="8"/>
  <c r="U218" i="8"/>
  <c r="U220" i="8" s="1"/>
  <c r="U221" i="8" s="1"/>
  <c r="S218" i="8"/>
  <c r="R218" i="8"/>
  <c r="R220" i="8" s="1"/>
  <c r="R221" i="8" s="1"/>
  <c r="Q218" i="8"/>
  <c r="P218" i="8"/>
  <c r="N218" i="8"/>
  <c r="M218" i="8"/>
  <c r="L218" i="8"/>
  <c r="K218" i="8"/>
  <c r="I218" i="8"/>
  <c r="H218" i="8"/>
  <c r="G218" i="8"/>
  <c r="F218" i="8"/>
  <c r="AG214" i="8"/>
  <c r="AF214" i="8"/>
  <c r="AE214" i="8"/>
  <c r="AC214" i="8"/>
  <c r="AB214" i="8"/>
  <c r="AA214" i="8"/>
  <c r="Z214" i="8"/>
  <c r="X214" i="8"/>
  <c r="X208" i="8" s="1"/>
  <c r="X76" i="8" s="1"/>
  <c r="S214" i="8"/>
  <c r="S85" i="10" s="1"/>
  <c r="R214" i="8"/>
  <c r="R85" i="10" s="1"/>
  <c r="Q214" i="8"/>
  <c r="Q85" i="10" s="1"/>
  <c r="L214" i="8"/>
  <c r="L85" i="10" s="1"/>
  <c r="W210" i="8"/>
  <c r="X206" i="8" s="1"/>
  <c r="V210" i="8"/>
  <c r="U210" i="8"/>
  <c r="V206" i="8" s="1"/>
  <c r="S210" i="8"/>
  <c r="R210" i="8"/>
  <c r="Q210" i="8"/>
  <c r="P210" i="8"/>
  <c r="N210" i="8"/>
  <c r="M210" i="8"/>
  <c r="N206" i="8" s="1"/>
  <c r="L210" i="8"/>
  <c r="K210" i="8"/>
  <c r="L206" i="8" s="1"/>
  <c r="I210" i="8"/>
  <c r="H210" i="8"/>
  <c r="G210" i="8"/>
  <c r="H206" i="8" s="1"/>
  <c r="F210" i="8"/>
  <c r="X209" i="8"/>
  <c r="Y209" i="8" s="1"/>
  <c r="Z209" i="8" s="1"/>
  <c r="T209" i="8"/>
  <c r="O209" i="8"/>
  <c r="J209" i="8"/>
  <c r="W208" i="8"/>
  <c r="U208" i="8"/>
  <c r="S208" i="8"/>
  <c r="R208" i="8"/>
  <c r="Q208" i="8"/>
  <c r="P208" i="8"/>
  <c r="N208" i="8"/>
  <c r="M208" i="8"/>
  <c r="L208" i="8"/>
  <c r="K208" i="8"/>
  <c r="H208" i="8"/>
  <c r="H214" i="8" s="1"/>
  <c r="H85" i="10" s="1"/>
  <c r="G208" i="8"/>
  <c r="F208" i="8"/>
  <c r="X207" i="8"/>
  <c r="Y207" i="8" s="1"/>
  <c r="Z207" i="8" s="1"/>
  <c r="T207" i="8"/>
  <c r="O207" i="8"/>
  <c r="J207" i="8"/>
  <c r="W206" i="8"/>
  <c r="S206" i="8"/>
  <c r="R206" i="8"/>
  <c r="Q206" i="8"/>
  <c r="M206" i="8"/>
  <c r="I206" i="8"/>
  <c r="G206" i="8"/>
  <c r="F206" i="8"/>
  <c r="J206" i="8" s="1"/>
  <c r="I202" i="8"/>
  <c r="AG201" i="8"/>
  <c r="AF201" i="8"/>
  <c r="AE201" i="8"/>
  <c r="AC201" i="8"/>
  <c r="AB201" i="8"/>
  <c r="AA201" i="8"/>
  <c r="Z201" i="8"/>
  <c r="X201" i="8"/>
  <c r="R201" i="8"/>
  <c r="R72" i="10" s="1"/>
  <c r="M201" i="8"/>
  <c r="M72" i="10" s="1"/>
  <c r="L201" i="8"/>
  <c r="L72" i="10" s="1"/>
  <c r="AG200" i="8"/>
  <c r="AF200" i="8"/>
  <c r="AE200" i="8"/>
  <c r="AC200" i="8"/>
  <c r="AB200" i="8"/>
  <c r="AA200" i="8"/>
  <c r="Z200" i="8"/>
  <c r="X200" i="8"/>
  <c r="W196" i="8"/>
  <c r="V196" i="8"/>
  <c r="U196" i="8"/>
  <c r="S196" i="8"/>
  <c r="R196" i="8"/>
  <c r="S201" i="8" s="1"/>
  <c r="S72" i="10" s="1"/>
  <c r="Q196" i="8"/>
  <c r="Q201" i="8" s="1"/>
  <c r="Q72" i="10" s="1"/>
  <c r="P196" i="8"/>
  <c r="N196" i="8"/>
  <c r="M196" i="8"/>
  <c r="N201" i="8" s="1"/>
  <c r="N72" i="10" s="1"/>
  <c r="L196" i="8"/>
  <c r="K196" i="8"/>
  <c r="J196" i="8"/>
  <c r="K201" i="8" s="1"/>
  <c r="K72" i="10" s="1"/>
  <c r="I196" i="8"/>
  <c r="H196" i="8"/>
  <c r="I201" i="8" s="1"/>
  <c r="I72" i="10" s="1"/>
  <c r="G196" i="8"/>
  <c r="F196" i="8"/>
  <c r="G201" i="8" s="1"/>
  <c r="G72" i="10" s="1"/>
  <c r="AG195" i="8"/>
  <c r="AF195" i="8"/>
  <c r="AE195" i="8"/>
  <c r="AD195" i="8"/>
  <c r="AC195" i="8"/>
  <c r="AB195" i="8"/>
  <c r="AA195" i="8"/>
  <c r="Z195" i="8"/>
  <c r="X195" i="8"/>
  <c r="V195" i="8"/>
  <c r="T195" i="8"/>
  <c r="O195" i="8"/>
  <c r="J195" i="8"/>
  <c r="W194" i="8"/>
  <c r="W201" i="8" s="1"/>
  <c r="W72" i="10" s="1"/>
  <c r="V194" i="8"/>
  <c r="T194" i="8"/>
  <c r="O194" i="8"/>
  <c r="J194" i="8"/>
  <c r="V193" i="8"/>
  <c r="K40" i="14" s="1"/>
  <c r="T193" i="8"/>
  <c r="O193" i="8"/>
  <c r="J193" i="8"/>
  <c r="Y192" i="8"/>
  <c r="X192" i="8"/>
  <c r="X194" i="8" s="1"/>
  <c r="AG188" i="8"/>
  <c r="AF188" i="8"/>
  <c r="AE188" i="8"/>
  <c r="AC188" i="8"/>
  <c r="AB188" i="8"/>
  <c r="AA188" i="8"/>
  <c r="Z188" i="8"/>
  <c r="X188" i="8"/>
  <c r="P188" i="8"/>
  <c r="P145" i="10" s="1"/>
  <c r="F188" i="8"/>
  <c r="F145" i="10" s="1"/>
  <c r="AG187" i="8"/>
  <c r="AF187" i="8"/>
  <c r="AE187" i="8"/>
  <c r="AC187" i="8"/>
  <c r="AB187" i="8"/>
  <c r="AA187" i="8"/>
  <c r="Z187" i="8"/>
  <c r="X187" i="8"/>
  <c r="R187" i="8"/>
  <c r="R140" i="10" s="1"/>
  <c r="M187" i="8"/>
  <c r="M140" i="10" s="1"/>
  <c r="K187" i="8"/>
  <c r="K140" i="10" s="1"/>
  <c r="Z186" i="8"/>
  <c r="X186" i="8"/>
  <c r="Q186" i="8"/>
  <c r="Q123" i="10" s="1"/>
  <c r="F186" i="8"/>
  <c r="F123" i="10" s="1"/>
  <c r="AC185" i="8"/>
  <c r="AB185" i="8"/>
  <c r="X185" i="8"/>
  <c r="AG184" i="8"/>
  <c r="AG185" i="8" s="1"/>
  <c r="AF184" i="8"/>
  <c r="AF185" i="8" s="1"/>
  <c r="AE184" i="8"/>
  <c r="AC184" i="8"/>
  <c r="AB184" i="8"/>
  <c r="AA184" i="8"/>
  <c r="Z184" i="8"/>
  <c r="X184" i="8"/>
  <c r="U184" i="8"/>
  <c r="S184" i="8"/>
  <c r="H184" i="8"/>
  <c r="G184" i="8"/>
  <c r="G135" i="10" s="1"/>
  <c r="AG183" i="8"/>
  <c r="AF183" i="8"/>
  <c r="AE183" i="8"/>
  <c r="AC183" i="8"/>
  <c r="AB183" i="8"/>
  <c r="AA183" i="8"/>
  <c r="Z183" i="8"/>
  <c r="X183" i="8"/>
  <c r="U183" i="8"/>
  <c r="U118" i="10" s="1"/>
  <c r="S183" i="8"/>
  <c r="S118" i="10" s="1"/>
  <c r="L183" i="8"/>
  <c r="L118" i="10" s="1"/>
  <c r="AG182" i="8"/>
  <c r="AF182" i="8"/>
  <c r="AE182" i="8"/>
  <c r="AC182" i="8"/>
  <c r="AB182" i="8"/>
  <c r="AA182" i="8"/>
  <c r="Z182" i="8"/>
  <c r="X182" i="8"/>
  <c r="S182" i="8"/>
  <c r="S113" i="10" s="1"/>
  <c r="R176" i="8"/>
  <c r="P176" i="8"/>
  <c r="J176" i="8"/>
  <c r="S170" i="8"/>
  <c r="H170" i="8"/>
  <c r="G170" i="8"/>
  <c r="G172" i="8" s="1"/>
  <c r="S169" i="8"/>
  <c r="S188" i="8" s="1"/>
  <c r="S145" i="10" s="1"/>
  <c r="R169" i="8"/>
  <c r="Q169" i="8"/>
  <c r="Q188" i="8" s="1"/>
  <c r="Q145" i="10" s="1"/>
  <c r="P169" i="8"/>
  <c r="P170" i="8" s="1"/>
  <c r="H169" i="8"/>
  <c r="H188" i="8" s="1"/>
  <c r="H145" i="10" s="1"/>
  <c r="G169" i="8"/>
  <c r="G188" i="8" s="1"/>
  <c r="G145" i="10" s="1"/>
  <c r="F169" i="8"/>
  <c r="C169" i="8"/>
  <c r="W168" i="8"/>
  <c r="V168" i="8"/>
  <c r="U168" i="8"/>
  <c r="U187" i="8" s="1"/>
  <c r="U140" i="10" s="1"/>
  <c r="S168" i="8"/>
  <c r="S187" i="8" s="1"/>
  <c r="S140" i="10" s="1"/>
  <c r="R168" i="8"/>
  <c r="Q168" i="8"/>
  <c r="Q187" i="8" s="1"/>
  <c r="Q140" i="10" s="1"/>
  <c r="P168" i="8"/>
  <c r="P187" i="8" s="1"/>
  <c r="P140" i="10" s="1"/>
  <c r="O168" i="8"/>
  <c r="N168" i="8"/>
  <c r="N187" i="8" s="1"/>
  <c r="N140" i="10" s="1"/>
  <c r="M168" i="8"/>
  <c r="L168" i="8"/>
  <c r="L187" i="8" s="1"/>
  <c r="L140" i="10" s="1"/>
  <c r="K168" i="8"/>
  <c r="I168" i="8"/>
  <c r="H168" i="8"/>
  <c r="H187" i="8" s="1"/>
  <c r="H140" i="10" s="1"/>
  <c r="G168" i="8"/>
  <c r="G187" i="8" s="1"/>
  <c r="G140" i="10" s="1"/>
  <c r="F168" i="8"/>
  <c r="C168" i="8"/>
  <c r="W167" i="8"/>
  <c r="V167" i="8"/>
  <c r="U167" i="8"/>
  <c r="S167" i="8"/>
  <c r="R167" i="8"/>
  <c r="Q167" i="8"/>
  <c r="P167" i="8"/>
  <c r="N167" i="8"/>
  <c r="M167" i="8"/>
  <c r="L167" i="8"/>
  <c r="M184" i="8" s="1"/>
  <c r="K167" i="8"/>
  <c r="I167" i="8"/>
  <c r="H167" i="8"/>
  <c r="G167" i="8"/>
  <c r="F167" i="8"/>
  <c r="C167" i="8"/>
  <c r="U165" i="8"/>
  <c r="R165" i="8"/>
  <c r="Q165" i="8"/>
  <c r="P165" i="8"/>
  <c r="P172" i="8" s="1"/>
  <c r="G165" i="8"/>
  <c r="W164" i="8"/>
  <c r="V164" i="8"/>
  <c r="U164" i="8"/>
  <c r="T164" i="8"/>
  <c r="S164" i="8"/>
  <c r="S186" i="8" s="1"/>
  <c r="S123" i="10" s="1"/>
  <c r="R164" i="8"/>
  <c r="Q164" i="8"/>
  <c r="P164" i="8"/>
  <c r="N164" i="8"/>
  <c r="M164" i="8"/>
  <c r="L164" i="8"/>
  <c r="K164" i="8"/>
  <c r="K186" i="8" s="1"/>
  <c r="K123" i="10" s="1"/>
  <c r="J164" i="8"/>
  <c r="I164" i="8"/>
  <c r="H164" i="8"/>
  <c r="G164" i="8"/>
  <c r="F164" i="8"/>
  <c r="C164" i="8"/>
  <c r="W163" i="8"/>
  <c r="V163" i="8"/>
  <c r="W183" i="8" s="1"/>
  <c r="W118" i="10" s="1"/>
  <c r="U163" i="8"/>
  <c r="S163" i="8"/>
  <c r="R163" i="8"/>
  <c r="Q163" i="8"/>
  <c r="R183" i="8" s="1"/>
  <c r="R118" i="10" s="1"/>
  <c r="P163" i="8"/>
  <c r="N163" i="8"/>
  <c r="M163" i="8"/>
  <c r="L163" i="8"/>
  <c r="M183" i="8" s="1"/>
  <c r="M118" i="10" s="1"/>
  <c r="K163" i="8"/>
  <c r="I163" i="8"/>
  <c r="K183" i="8" s="1"/>
  <c r="K118" i="10" s="1"/>
  <c r="H163" i="8"/>
  <c r="G163" i="8"/>
  <c r="F163" i="8"/>
  <c r="C163" i="8"/>
  <c r="W162" i="8"/>
  <c r="V162" i="8"/>
  <c r="U162" i="8"/>
  <c r="U176" i="8" s="1"/>
  <c r="T162" i="8"/>
  <c r="S162" i="8"/>
  <c r="S176" i="8" s="1"/>
  <c r="R162" i="8"/>
  <c r="Q162" i="8"/>
  <c r="P162" i="8"/>
  <c r="N162" i="8"/>
  <c r="M162" i="8"/>
  <c r="L162" i="8"/>
  <c r="K162" i="8"/>
  <c r="K165" i="8" s="1"/>
  <c r="I162" i="8"/>
  <c r="H162" i="8"/>
  <c r="G162" i="8"/>
  <c r="F162" i="8"/>
  <c r="C162" i="8"/>
  <c r="F158" i="8"/>
  <c r="F156" i="8"/>
  <c r="P154" i="8"/>
  <c r="O154" i="8"/>
  <c r="N154" i="8"/>
  <c r="M154" i="8"/>
  <c r="L154" i="8"/>
  <c r="G154" i="8"/>
  <c r="F154" i="8"/>
  <c r="Y153" i="8"/>
  <c r="Z153" i="8" s="1"/>
  <c r="AA153" i="8" s="1"/>
  <c r="AB153" i="8" s="1"/>
  <c r="AC153" i="8" s="1"/>
  <c r="AD153" i="8" s="1"/>
  <c r="AE153" i="8" s="1"/>
  <c r="AF153" i="8" s="1"/>
  <c r="AG153" i="8" s="1"/>
  <c r="X153" i="8"/>
  <c r="T153" i="8"/>
  <c r="O153" i="8"/>
  <c r="J153" i="8"/>
  <c r="U151" i="8"/>
  <c r="U154" i="8" s="1"/>
  <c r="S151" i="8"/>
  <c r="R151" i="8"/>
  <c r="R154" i="8" s="1"/>
  <c r="Q151" i="8"/>
  <c r="Q154" i="8" s="1"/>
  <c r="P151" i="8"/>
  <c r="N151" i="8"/>
  <c r="O151" i="8" s="1"/>
  <c r="M151" i="8"/>
  <c r="L151" i="8"/>
  <c r="K151" i="8"/>
  <c r="K154" i="8" s="1"/>
  <c r="J151" i="8"/>
  <c r="I151" i="8"/>
  <c r="I154" i="8" s="1"/>
  <c r="J154" i="8" s="1"/>
  <c r="H151" i="8"/>
  <c r="H154" i="8" s="1"/>
  <c r="G151" i="8"/>
  <c r="F151" i="8"/>
  <c r="V150" i="8"/>
  <c r="V261" i="8" s="1"/>
  <c r="T150" i="8"/>
  <c r="O150" i="8"/>
  <c r="J150" i="8"/>
  <c r="T149" i="8"/>
  <c r="O149" i="8"/>
  <c r="J149" i="8"/>
  <c r="W148" i="8"/>
  <c r="V148" i="8"/>
  <c r="V256" i="8" s="1"/>
  <c r="T148" i="8"/>
  <c r="O148" i="8"/>
  <c r="O256" i="8" s="1"/>
  <c r="P252" i="8" s="1"/>
  <c r="T252" i="8" s="1"/>
  <c r="J148" i="8"/>
  <c r="T147" i="8"/>
  <c r="T247" i="8" s="1"/>
  <c r="O147" i="8"/>
  <c r="O247" i="8" s="1"/>
  <c r="J147" i="8"/>
  <c r="J247" i="8" s="1"/>
  <c r="V143" i="8"/>
  <c r="T143" i="8"/>
  <c r="S143" i="8"/>
  <c r="R143" i="8"/>
  <c r="Q143" i="8"/>
  <c r="P143" i="8"/>
  <c r="N143" i="8"/>
  <c r="O143" i="8" s="1"/>
  <c r="M143" i="8"/>
  <c r="F143" i="8"/>
  <c r="F145" i="8" s="1"/>
  <c r="AB142" i="8"/>
  <c r="AA142" i="8"/>
  <c r="Z142" i="8"/>
  <c r="X142" i="8"/>
  <c r="Y142" i="8" s="1"/>
  <c r="W142" i="8"/>
  <c r="V142" i="8"/>
  <c r="U142" i="8"/>
  <c r="U224" i="8" s="1"/>
  <c r="T142" i="8"/>
  <c r="T224" i="8" s="1"/>
  <c r="O142" i="8"/>
  <c r="O224" i="8" s="1"/>
  <c r="J142" i="8"/>
  <c r="J224" i="8" s="1"/>
  <c r="T141" i="8"/>
  <c r="O141" i="8"/>
  <c r="O223" i="8" s="1"/>
  <c r="J141" i="8"/>
  <c r="W140" i="8"/>
  <c r="W310" i="8" s="1"/>
  <c r="V140" i="8"/>
  <c r="U140" i="8"/>
  <c r="U143" i="8" s="1"/>
  <c r="T140" i="8"/>
  <c r="T310" i="8" s="1"/>
  <c r="O140" i="8"/>
  <c r="O310" i="8" s="1"/>
  <c r="P307" i="8" s="1"/>
  <c r="N140" i="8"/>
  <c r="N310" i="8" s="1"/>
  <c r="M140" i="8"/>
  <c r="M310" i="8" s="1"/>
  <c r="L140" i="8"/>
  <c r="L143" i="8" s="1"/>
  <c r="L145" i="8" s="1"/>
  <c r="L156" i="8" s="1"/>
  <c r="K140" i="8"/>
  <c r="J140" i="8"/>
  <c r="J310" i="8" s="1"/>
  <c r="K307" i="8" s="1"/>
  <c r="I140" i="8"/>
  <c r="I310" i="8" s="1"/>
  <c r="H140" i="8"/>
  <c r="H310" i="8" s="1"/>
  <c r="I307" i="8" s="1"/>
  <c r="I309" i="8" s="1"/>
  <c r="I157" i="10" s="1"/>
  <c r="G140" i="8"/>
  <c r="G310" i="8" s="1"/>
  <c r="F140" i="8"/>
  <c r="F310" i="8" s="1"/>
  <c r="F309" i="8" s="1"/>
  <c r="F157" i="10" s="1"/>
  <c r="T139" i="8"/>
  <c r="T304" i="8" s="1"/>
  <c r="U302" i="8" s="1"/>
  <c r="O139" i="8"/>
  <c r="O304" i="8" s="1"/>
  <c r="P302" i="8" s="1"/>
  <c r="J139" i="8"/>
  <c r="J304" i="8" s="1"/>
  <c r="K302" i="8" s="1"/>
  <c r="O302" i="8" s="1"/>
  <c r="O303" i="8" s="1"/>
  <c r="T137" i="8"/>
  <c r="T145" i="8" s="1"/>
  <c r="S137" i="8"/>
  <c r="S145" i="8" s="1"/>
  <c r="R137" i="8"/>
  <c r="R145" i="8" s="1"/>
  <c r="R156" i="8" s="1"/>
  <c r="Q137" i="8"/>
  <c r="P137" i="8"/>
  <c r="P145" i="8" s="1"/>
  <c r="P156" i="8" s="1"/>
  <c r="L137" i="8"/>
  <c r="I137" i="8"/>
  <c r="W136" i="8"/>
  <c r="V136" i="8"/>
  <c r="U136" i="8"/>
  <c r="T136" i="8"/>
  <c r="T169" i="8" s="1"/>
  <c r="T188" i="8" s="1"/>
  <c r="T145" i="10" s="1"/>
  <c r="O136" i="8"/>
  <c r="O169" i="8" s="1"/>
  <c r="N136" i="8"/>
  <c r="N169" i="8" s="1"/>
  <c r="N188" i="8" s="1"/>
  <c r="N145" i="10" s="1"/>
  <c r="M136" i="8"/>
  <c r="M169" i="8" s="1"/>
  <c r="M188" i="8" s="1"/>
  <c r="M145" i="10" s="1"/>
  <c r="L136" i="8"/>
  <c r="L169" i="8" s="1"/>
  <c r="L188" i="8" s="1"/>
  <c r="L145" i="10" s="1"/>
  <c r="K136" i="8"/>
  <c r="I136" i="8"/>
  <c r="H136" i="8"/>
  <c r="H137" i="8" s="1"/>
  <c r="G136" i="8"/>
  <c r="G137" i="8" s="1"/>
  <c r="F136" i="8"/>
  <c r="F137" i="8" s="1"/>
  <c r="T135" i="8"/>
  <c r="T168" i="8" s="1"/>
  <c r="O135" i="8"/>
  <c r="J135" i="8"/>
  <c r="J168" i="8" s="1"/>
  <c r="T134" i="8"/>
  <c r="T167" i="8" s="1"/>
  <c r="O134" i="8"/>
  <c r="O167" i="8" s="1"/>
  <c r="J134" i="8"/>
  <c r="J167" i="8" s="1"/>
  <c r="Q132" i="8"/>
  <c r="P132" i="8"/>
  <c r="P158" i="8" s="1"/>
  <c r="V130" i="8"/>
  <c r="V132" i="8" s="1"/>
  <c r="U130" i="8"/>
  <c r="T130" i="8"/>
  <c r="S130" i="8"/>
  <c r="R130" i="8"/>
  <c r="R132" i="8" s="1"/>
  <c r="Q130" i="8"/>
  <c r="P130" i="8"/>
  <c r="N130" i="8"/>
  <c r="O130" i="8" s="1"/>
  <c r="M130" i="8"/>
  <c r="G130" i="8"/>
  <c r="F130" i="8"/>
  <c r="W129" i="8"/>
  <c r="W130" i="8" s="1"/>
  <c r="V129" i="8"/>
  <c r="V219" i="8" s="1"/>
  <c r="V232" i="8" s="1"/>
  <c r="V128" i="10" s="1"/>
  <c r="T129" i="8"/>
  <c r="N129" i="8"/>
  <c r="O129" i="8" s="1"/>
  <c r="O219" i="8" s="1"/>
  <c r="M129" i="8"/>
  <c r="M219" i="8" s="1"/>
  <c r="L129" i="8"/>
  <c r="K129" i="8"/>
  <c r="J129" i="8"/>
  <c r="J219" i="8" s="1"/>
  <c r="I129" i="8"/>
  <c r="H129" i="8"/>
  <c r="H219" i="8" s="1"/>
  <c r="H232" i="8" s="1"/>
  <c r="H128" i="10" s="1"/>
  <c r="G129" i="8"/>
  <c r="G219" i="8" s="1"/>
  <c r="F129" i="8"/>
  <c r="F219" i="8" s="1"/>
  <c r="Y128" i="8"/>
  <c r="X128" i="8"/>
  <c r="T128" i="8"/>
  <c r="T218" i="8" s="1"/>
  <c r="T220" i="8" s="1"/>
  <c r="O128" i="8"/>
  <c r="O218" i="8" s="1"/>
  <c r="J128" i="8"/>
  <c r="J218" i="8" s="1"/>
  <c r="T127" i="8"/>
  <c r="T210" i="8" s="1"/>
  <c r="U206" i="8" s="1"/>
  <c r="Y206" i="8" s="1"/>
  <c r="O127" i="8"/>
  <c r="O210" i="8" s="1"/>
  <c r="P206" i="8" s="1"/>
  <c r="T206" i="8" s="1"/>
  <c r="J127" i="8"/>
  <c r="J210" i="8" s="1"/>
  <c r="T126" i="8"/>
  <c r="T196" i="8" s="1"/>
  <c r="U201" i="8" s="1"/>
  <c r="U72" i="10" s="1"/>
  <c r="O126" i="8"/>
  <c r="O196" i="8" s="1"/>
  <c r="J126" i="8"/>
  <c r="V124" i="8"/>
  <c r="U124" i="8"/>
  <c r="T124" i="8"/>
  <c r="S124" i="8"/>
  <c r="R124" i="8"/>
  <c r="Q124" i="8"/>
  <c r="P124" i="8"/>
  <c r="L124" i="8"/>
  <c r="I124" i="8"/>
  <c r="J124" i="8" s="1"/>
  <c r="H124" i="8"/>
  <c r="F124" i="8"/>
  <c r="F132" i="8" s="1"/>
  <c r="T123" i="8"/>
  <c r="O123" i="8"/>
  <c r="O164" i="8" s="1"/>
  <c r="J123" i="8"/>
  <c r="T122" i="8"/>
  <c r="T163" i="8" s="1"/>
  <c r="O122" i="8"/>
  <c r="O163" i="8" s="1"/>
  <c r="J122" i="8"/>
  <c r="J163" i="8" s="1"/>
  <c r="T121" i="8"/>
  <c r="O121" i="8"/>
  <c r="O162" i="8" s="1"/>
  <c r="J121" i="8"/>
  <c r="J162" i="8" s="1"/>
  <c r="W120" i="8"/>
  <c r="W124" i="8" s="1"/>
  <c r="W132" i="8" s="1"/>
  <c r="V120" i="8"/>
  <c r="U120" i="8"/>
  <c r="T120" i="8"/>
  <c r="N120" i="8"/>
  <c r="N124" i="8" s="1"/>
  <c r="N132" i="8" s="1"/>
  <c r="M120" i="8"/>
  <c r="M124" i="8" s="1"/>
  <c r="M132" i="8" s="1"/>
  <c r="L120" i="8"/>
  <c r="K120" i="8"/>
  <c r="K124" i="8" s="1"/>
  <c r="J120" i="8"/>
  <c r="I120" i="8"/>
  <c r="H120" i="8"/>
  <c r="G120" i="8"/>
  <c r="G124" i="8" s="1"/>
  <c r="G132" i="8" s="1"/>
  <c r="F120" i="8"/>
  <c r="V111" i="8"/>
  <c r="U111" i="8"/>
  <c r="T111" i="8"/>
  <c r="S111" i="8"/>
  <c r="R111" i="8"/>
  <c r="Q111" i="8"/>
  <c r="P111" i="8"/>
  <c r="N111" i="8"/>
  <c r="M111" i="8"/>
  <c r="L111" i="8"/>
  <c r="K111" i="8"/>
  <c r="I111" i="8"/>
  <c r="H111" i="8"/>
  <c r="G111" i="8"/>
  <c r="F111" i="8"/>
  <c r="F110" i="8"/>
  <c r="X109" i="8"/>
  <c r="W109" i="8"/>
  <c r="U109" i="8"/>
  <c r="S109" i="8"/>
  <c r="R109" i="8"/>
  <c r="Q109" i="8"/>
  <c r="P109" i="8"/>
  <c r="M109" i="8"/>
  <c r="L109" i="8"/>
  <c r="K109" i="8"/>
  <c r="H109" i="8"/>
  <c r="G109" i="8"/>
  <c r="Y102" i="8"/>
  <c r="X102" i="8"/>
  <c r="AD100" i="8"/>
  <c r="Y100" i="8"/>
  <c r="AD99" i="8"/>
  <c r="Y99" i="8"/>
  <c r="AG98" i="8"/>
  <c r="AF98" i="8"/>
  <c r="AE98" i="8"/>
  <c r="AC98" i="8"/>
  <c r="AB98" i="8"/>
  <c r="AA98" i="8"/>
  <c r="Z98" i="8"/>
  <c r="Y98" i="8"/>
  <c r="Y108" i="10" s="1"/>
  <c r="X98" i="8"/>
  <c r="AG95" i="8"/>
  <c r="AF95" i="8"/>
  <c r="AE95" i="8"/>
  <c r="AC95" i="8"/>
  <c r="AB95" i="8"/>
  <c r="AA95" i="8"/>
  <c r="Z95" i="8"/>
  <c r="X95" i="8"/>
  <c r="Y95" i="8" s="1"/>
  <c r="Y106" i="10" s="1"/>
  <c r="Z94" i="8"/>
  <c r="X94" i="8"/>
  <c r="Y94" i="8" s="1"/>
  <c r="AG93" i="8"/>
  <c r="AE93" i="8"/>
  <c r="AB93" i="8"/>
  <c r="Z93" i="8"/>
  <c r="Y92" i="8"/>
  <c r="X92" i="8"/>
  <c r="AG91" i="8"/>
  <c r="AF91" i="8"/>
  <c r="AC91" i="8"/>
  <c r="AB91" i="8"/>
  <c r="AA91" i="8"/>
  <c r="Z91" i="8"/>
  <c r="AD91" i="8" s="1"/>
  <c r="Y91" i="8"/>
  <c r="X91" i="8"/>
  <c r="AF90" i="8"/>
  <c r="AE90" i="8"/>
  <c r="AC90" i="8"/>
  <c r="AB90" i="8"/>
  <c r="AA90" i="8"/>
  <c r="Z90" i="8"/>
  <c r="X90" i="8"/>
  <c r="Y90" i="8" s="1"/>
  <c r="AG84" i="8"/>
  <c r="AF84" i="8"/>
  <c r="AE84" i="8"/>
  <c r="AD84" i="8"/>
  <c r="AD97" i="10" s="1"/>
  <c r="AC84" i="8"/>
  <c r="AB84" i="8"/>
  <c r="AA84" i="8"/>
  <c r="Z84" i="8"/>
  <c r="X84" i="8"/>
  <c r="Y84" i="8" s="1"/>
  <c r="Y97" i="10" s="1"/>
  <c r="Y83" i="8"/>
  <c r="X83" i="8"/>
  <c r="AG71" i="8"/>
  <c r="AF71" i="8"/>
  <c r="AE71" i="8"/>
  <c r="AC71" i="8"/>
  <c r="AB71" i="8"/>
  <c r="AA71" i="8"/>
  <c r="Z71" i="8"/>
  <c r="X71" i="8"/>
  <c r="AG70" i="8"/>
  <c r="AF70" i="8"/>
  <c r="AE70" i="8"/>
  <c r="AC70" i="8"/>
  <c r="AB70" i="8"/>
  <c r="AA70" i="8"/>
  <c r="Z70" i="8"/>
  <c r="X70" i="8"/>
  <c r="R70" i="8"/>
  <c r="R57" i="10" s="1"/>
  <c r="Q70" i="8"/>
  <c r="Q57" i="10" s="1"/>
  <c r="I70" i="8"/>
  <c r="I57" i="10" s="1"/>
  <c r="H70" i="8"/>
  <c r="H57" i="10" s="1"/>
  <c r="F70" i="8"/>
  <c r="F57" i="10" s="1"/>
  <c r="AG69" i="8"/>
  <c r="AF69" i="8"/>
  <c r="AE69" i="8"/>
  <c r="AC69" i="8"/>
  <c r="AB69" i="8"/>
  <c r="AA69" i="8"/>
  <c r="Z69" i="8"/>
  <c r="X69" i="8"/>
  <c r="U69" i="8"/>
  <c r="U50" i="10" s="1"/>
  <c r="S69" i="8"/>
  <c r="S50" i="10" s="1"/>
  <c r="R69" i="8"/>
  <c r="R50" i="10" s="1"/>
  <c r="Q69" i="8"/>
  <c r="Q50" i="10" s="1"/>
  <c r="K69" i="8"/>
  <c r="K50" i="10" s="1"/>
  <c r="I69" i="8"/>
  <c r="I50" i="10" s="1"/>
  <c r="H69" i="8"/>
  <c r="H50" i="10" s="1"/>
  <c r="AG68" i="8"/>
  <c r="AF68" i="8"/>
  <c r="AE68" i="8"/>
  <c r="AC68" i="8"/>
  <c r="AB68" i="8"/>
  <c r="AA68" i="8"/>
  <c r="Z68" i="8"/>
  <c r="X68" i="8"/>
  <c r="U68" i="8"/>
  <c r="U45" i="10" s="1"/>
  <c r="R68" i="8"/>
  <c r="R45" i="10" s="1"/>
  <c r="M68" i="8"/>
  <c r="M45" i="10" s="1"/>
  <c r="I68" i="8"/>
  <c r="I45" i="10" s="1"/>
  <c r="AG67" i="8"/>
  <c r="AF67" i="8"/>
  <c r="AE67" i="8"/>
  <c r="AC67" i="8"/>
  <c r="AB67" i="8"/>
  <c r="AA67" i="8"/>
  <c r="Z67" i="8"/>
  <c r="X67" i="8"/>
  <c r="P67" i="8"/>
  <c r="P40" i="10" s="1"/>
  <c r="M67" i="8"/>
  <c r="M40" i="10" s="1"/>
  <c r="K67" i="8"/>
  <c r="K40" i="10" s="1"/>
  <c r="AG66" i="8"/>
  <c r="AF66" i="8"/>
  <c r="AE66" i="8"/>
  <c r="AC66" i="8"/>
  <c r="AB66" i="8"/>
  <c r="AA66" i="8"/>
  <c r="Z66" i="8"/>
  <c r="X66" i="8"/>
  <c r="Q66" i="8"/>
  <c r="Q7" i="10" s="1"/>
  <c r="W60" i="8"/>
  <c r="V60" i="8"/>
  <c r="V59" i="9" s="1"/>
  <c r="U60" i="8"/>
  <c r="U59" i="9" s="1"/>
  <c r="S60" i="8"/>
  <c r="R60" i="8"/>
  <c r="Q60" i="8"/>
  <c r="Q59" i="9" s="1"/>
  <c r="P60" i="8"/>
  <c r="T60" i="8" s="1"/>
  <c r="N60" i="8"/>
  <c r="M60" i="8"/>
  <c r="M59" i="9" s="1"/>
  <c r="L60" i="8"/>
  <c r="L59" i="9" s="1"/>
  <c r="K60" i="8"/>
  <c r="J60" i="8"/>
  <c r="I60" i="8"/>
  <c r="H60" i="8"/>
  <c r="G60" i="8"/>
  <c r="F60" i="8"/>
  <c r="AD50" i="8"/>
  <c r="Y50" i="8"/>
  <c r="T50" i="8"/>
  <c r="O50" i="8"/>
  <c r="J50" i="8"/>
  <c r="AD49" i="8"/>
  <c r="Y49" i="8"/>
  <c r="T49" i="8"/>
  <c r="O49" i="8"/>
  <c r="J49" i="8"/>
  <c r="AD48" i="8"/>
  <c r="Y48" i="8"/>
  <c r="T48" i="8"/>
  <c r="O48" i="8"/>
  <c r="H48" i="8"/>
  <c r="J48" i="8" s="1"/>
  <c r="AD47" i="8"/>
  <c r="Y47" i="8"/>
  <c r="T47" i="8"/>
  <c r="O47" i="8"/>
  <c r="J47" i="8"/>
  <c r="V44" i="8"/>
  <c r="T44" i="8"/>
  <c r="I34" i="14" s="1"/>
  <c r="O44" i="8"/>
  <c r="I44" i="8"/>
  <c r="S41" i="8"/>
  <c r="O41" i="8"/>
  <c r="J41" i="8"/>
  <c r="AG40" i="8"/>
  <c r="R41" i="14" s="1"/>
  <c r="AF40" i="8"/>
  <c r="Q41" i="14" s="1"/>
  <c r="AE40" i="8"/>
  <c r="P41" i="14" s="1"/>
  <c r="AC40" i="8"/>
  <c r="AB40" i="8"/>
  <c r="AD40" i="8" s="1"/>
  <c r="AA40" i="8"/>
  <c r="Z40" i="8"/>
  <c r="X40" i="8"/>
  <c r="T40" i="8"/>
  <c r="T62" i="10" s="1"/>
  <c r="O40" i="8"/>
  <c r="O62" i="10" s="1"/>
  <c r="J40" i="8"/>
  <c r="J62" i="10" s="1"/>
  <c r="V39" i="8"/>
  <c r="Q39" i="8"/>
  <c r="T39" i="8" s="1"/>
  <c r="O39" i="8"/>
  <c r="J39" i="8"/>
  <c r="I39" i="8"/>
  <c r="T38" i="8"/>
  <c r="O38" i="8"/>
  <c r="J38" i="8"/>
  <c r="Q36" i="8"/>
  <c r="T35" i="8"/>
  <c r="O35" i="8"/>
  <c r="J35" i="8"/>
  <c r="T34" i="8"/>
  <c r="O34" i="8"/>
  <c r="I34" i="8"/>
  <c r="I208" i="8" s="1"/>
  <c r="T33" i="8"/>
  <c r="O33" i="8"/>
  <c r="J33" i="8"/>
  <c r="V32" i="8"/>
  <c r="T32" i="8"/>
  <c r="O32" i="8"/>
  <c r="I32" i="8"/>
  <c r="I67" i="8" s="1"/>
  <c r="I40" i="10" s="1"/>
  <c r="S30" i="8"/>
  <c r="R30" i="8"/>
  <c r="Q30" i="8"/>
  <c r="K30" i="8"/>
  <c r="I30" i="8"/>
  <c r="I66" i="8" s="1"/>
  <c r="I7" i="10" s="1"/>
  <c r="V29" i="8"/>
  <c r="T29" i="8"/>
  <c r="O29" i="8"/>
  <c r="I29" i="8"/>
  <c r="W28" i="8"/>
  <c r="V28" i="8"/>
  <c r="U28" i="8"/>
  <c r="T28" i="8"/>
  <c r="I31" i="14" s="1"/>
  <c r="S28" i="8"/>
  <c r="R28" i="8"/>
  <c r="R186" i="8" s="1"/>
  <c r="R123" i="10" s="1"/>
  <c r="Q28" i="8"/>
  <c r="Q182" i="8" s="1"/>
  <c r="Q113" i="10" s="1"/>
  <c r="P28" i="8"/>
  <c r="N28" i="8"/>
  <c r="M28" i="8"/>
  <c r="L28" i="8"/>
  <c r="K28" i="8"/>
  <c r="I28" i="8"/>
  <c r="H28" i="8"/>
  <c r="H186" i="8" s="1"/>
  <c r="H123" i="10" s="1"/>
  <c r="G28" i="8"/>
  <c r="G200" i="8" s="1"/>
  <c r="G92" i="10" s="1"/>
  <c r="F28" i="8"/>
  <c r="F200" i="8" s="1"/>
  <c r="F92" i="10" s="1"/>
  <c r="AD26" i="8"/>
  <c r="Y26" i="8"/>
  <c r="T26" i="8"/>
  <c r="O26" i="8"/>
  <c r="J26" i="8"/>
  <c r="T24" i="8"/>
  <c r="S24" i="8"/>
  <c r="C20" i="8"/>
  <c r="C19" i="8"/>
  <c r="C18" i="8"/>
  <c r="C17" i="8"/>
  <c r="C16" i="8"/>
  <c r="C15" i="8"/>
  <c r="C14" i="8"/>
  <c r="C13" i="8"/>
  <c r="C12" i="8"/>
  <c r="C11" i="8"/>
  <c r="C2" i="8"/>
  <c r="C1" i="8"/>
  <c r="AG232" i="7"/>
  <c r="AF232" i="7"/>
  <c r="AE232" i="7"/>
  <c r="AC232" i="7"/>
  <c r="AB232" i="7"/>
  <c r="AA232" i="7"/>
  <c r="Z232" i="7"/>
  <c r="X232" i="7"/>
  <c r="S232" i="7"/>
  <c r="AG228" i="7"/>
  <c r="AF228" i="7"/>
  <c r="AE228" i="7"/>
  <c r="AC228" i="7"/>
  <c r="AB228" i="7"/>
  <c r="AA228" i="7"/>
  <c r="Z228" i="7"/>
  <c r="X228" i="7"/>
  <c r="Q227" i="7"/>
  <c r="I227" i="7"/>
  <c r="W225" i="7"/>
  <c r="W227" i="7" s="1"/>
  <c r="V225" i="7"/>
  <c r="V227" i="7" s="1"/>
  <c r="V232" i="7" s="1"/>
  <c r="T225" i="7"/>
  <c r="C225" i="7"/>
  <c r="AG220" i="7"/>
  <c r="AF220" i="7"/>
  <c r="AE220" i="7"/>
  <c r="AC220" i="7"/>
  <c r="AB220" i="7"/>
  <c r="AA220" i="7"/>
  <c r="Z220" i="7"/>
  <c r="AD220" i="7" s="1"/>
  <c r="X220" i="7"/>
  <c r="AG216" i="7"/>
  <c r="AF216" i="7"/>
  <c r="AE216" i="7"/>
  <c r="AC216" i="7"/>
  <c r="AB216" i="7"/>
  <c r="AA216" i="7"/>
  <c r="Z216" i="7"/>
  <c r="X216" i="7"/>
  <c r="W215" i="7"/>
  <c r="W213" i="7"/>
  <c r="O213" i="7"/>
  <c r="N213" i="7"/>
  <c r="N215" i="7" s="1"/>
  <c r="M213" i="7"/>
  <c r="M215" i="7" s="1"/>
  <c r="G213" i="7"/>
  <c r="G215" i="7" s="1"/>
  <c r="AG208" i="7"/>
  <c r="AF208" i="7"/>
  <c r="AE208" i="7"/>
  <c r="AC208" i="7"/>
  <c r="AB208" i="7"/>
  <c r="AD208" i="7" s="1"/>
  <c r="AA208" i="7"/>
  <c r="Z208" i="7"/>
  <c r="X208" i="7"/>
  <c r="S208" i="7"/>
  <c r="R208" i="7"/>
  <c r="K208" i="7"/>
  <c r="AG204" i="7"/>
  <c r="AF204" i="7"/>
  <c r="AE204" i="7"/>
  <c r="AC204" i="7"/>
  <c r="AB204" i="7"/>
  <c r="AA204" i="7"/>
  <c r="Z204" i="7"/>
  <c r="X204" i="7"/>
  <c r="W203" i="7"/>
  <c r="W208" i="7" s="1"/>
  <c r="S203" i="7"/>
  <c r="S204" i="7" s="1"/>
  <c r="R203" i="7"/>
  <c r="Q203" i="7"/>
  <c r="N203" i="7"/>
  <c r="N208" i="7" s="1"/>
  <c r="K203" i="7"/>
  <c r="K204" i="7" s="1"/>
  <c r="I203" i="7"/>
  <c r="G203" i="7"/>
  <c r="G208" i="7" s="1"/>
  <c r="F203" i="7"/>
  <c r="W201" i="7"/>
  <c r="V201" i="7"/>
  <c r="V203" i="7" s="1"/>
  <c r="U201" i="7"/>
  <c r="T201" i="7"/>
  <c r="S201" i="7"/>
  <c r="R201" i="7"/>
  <c r="Q201" i="7"/>
  <c r="P201" i="7"/>
  <c r="P203" i="7" s="1"/>
  <c r="O201" i="7"/>
  <c r="N201" i="7"/>
  <c r="M201" i="7"/>
  <c r="M203" i="7" s="1"/>
  <c r="M208" i="7" s="1"/>
  <c r="L201" i="7"/>
  <c r="L203" i="7" s="1"/>
  <c r="K201" i="7"/>
  <c r="J201" i="7"/>
  <c r="I201" i="7"/>
  <c r="H201" i="7"/>
  <c r="H203" i="7" s="1"/>
  <c r="G201" i="7"/>
  <c r="F201" i="7"/>
  <c r="AG196" i="7"/>
  <c r="AF196" i="7"/>
  <c r="AE196" i="7"/>
  <c r="AC196" i="7"/>
  <c r="AB196" i="7"/>
  <c r="AA196" i="7"/>
  <c r="Z196" i="7"/>
  <c r="X196" i="7"/>
  <c r="R196" i="7"/>
  <c r="K196" i="7"/>
  <c r="I196" i="7"/>
  <c r="AG192" i="7"/>
  <c r="AF192" i="7"/>
  <c r="AE192" i="7"/>
  <c r="AC192" i="7"/>
  <c r="AB192" i="7"/>
  <c r="AA192" i="7"/>
  <c r="Z192" i="7"/>
  <c r="X192" i="7"/>
  <c r="K192" i="7"/>
  <c r="W191" i="7"/>
  <c r="W196" i="7" s="1"/>
  <c r="R191" i="7"/>
  <c r="Q191" i="7"/>
  <c r="P191" i="7"/>
  <c r="N191" i="7"/>
  <c r="N196" i="7" s="1"/>
  <c r="M191" i="7"/>
  <c r="I191" i="7"/>
  <c r="H191" i="7"/>
  <c r="F191" i="7"/>
  <c r="W189" i="7"/>
  <c r="V189" i="7"/>
  <c r="V191" i="7" s="1"/>
  <c r="V196" i="7" s="1"/>
  <c r="U189" i="7"/>
  <c r="T189" i="7"/>
  <c r="S189" i="7"/>
  <c r="S191" i="7" s="1"/>
  <c r="S192" i="7" s="1"/>
  <c r="R189" i="7"/>
  <c r="Q189" i="7"/>
  <c r="P189" i="7"/>
  <c r="O189" i="7"/>
  <c r="N189" i="7"/>
  <c r="M189" i="7"/>
  <c r="L189" i="7"/>
  <c r="L191" i="7" s="1"/>
  <c r="L196" i="7" s="1"/>
  <c r="K189" i="7"/>
  <c r="K191" i="7" s="1"/>
  <c r="J189" i="7"/>
  <c r="I189" i="7"/>
  <c r="H189" i="7"/>
  <c r="G189" i="7"/>
  <c r="G191" i="7" s="1"/>
  <c r="F189" i="7"/>
  <c r="AG184" i="7"/>
  <c r="AF184" i="7"/>
  <c r="AE184" i="7"/>
  <c r="AC184" i="7"/>
  <c r="AB184" i="7"/>
  <c r="AA184" i="7"/>
  <c r="Z184" i="7"/>
  <c r="X184" i="7"/>
  <c r="AG180" i="7"/>
  <c r="AF180" i="7"/>
  <c r="AE180" i="7"/>
  <c r="AC180" i="7"/>
  <c r="AB180" i="7"/>
  <c r="AA180" i="7"/>
  <c r="Z180" i="7"/>
  <c r="X180" i="7"/>
  <c r="L178" i="7"/>
  <c r="K178" i="7"/>
  <c r="I178" i="7"/>
  <c r="H178" i="7"/>
  <c r="G178" i="7"/>
  <c r="F178" i="7"/>
  <c r="T177" i="7"/>
  <c r="L177" i="7"/>
  <c r="L179" i="7" s="1"/>
  <c r="AG172" i="7"/>
  <c r="AF172" i="7"/>
  <c r="AE172" i="7"/>
  <c r="AC172" i="7"/>
  <c r="AB172" i="7"/>
  <c r="AA172" i="7"/>
  <c r="Z172" i="7"/>
  <c r="X172" i="7"/>
  <c r="AG168" i="7"/>
  <c r="AF168" i="7"/>
  <c r="AE168" i="7"/>
  <c r="AC168" i="7"/>
  <c r="AB168" i="7"/>
  <c r="AA168" i="7"/>
  <c r="Z168" i="7"/>
  <c r="X168" i="7"/>
  <c r="W167" i="7"/>
  <c r="L166" i="7"/>
  <c r="K166" i="7"/>
  <c r="J166" i="7"/>
  <c r="I166" i="7"/>
  <c r="H166" i="7"/>
  <c r="G166" i="7"/>
  <c r="F166" i="7"/>
  <c r="W165" i="7"/>
  <c r="L165" i="7"/>
  <c r="L167" i="7" s="1"/>
  <c r="K165" i="7"/>
  <c r="AG158" i="7"/>
  <c r="AF158" i="7"/>
  <c r="AE158" i="7"/>
  <c r="AE157" i="7" s="1"/>
  <c r="AF157" i="7" s="1"/>
  <c r="AG157" i="7" s="1"/>
  <c r="AC158" i="7"/>
  <c r="AB158" i="7"/>
  <c r="AA158" i="7"/>
  <c r="Z158" i="7"/>
  <c r="X158" i="7"/>
  <c r="W158" i="7"/>
  <c r="V158" i="7"/>
  <c r="U158" i="7"/>
  <c r="T158" i="7"/>
  <c r="S158" i="7"/>
  <c r="R158" i="7"/>
  <c r="Q158" i="7"/>
  <c r="P158" i="7"/>
  <c r="O158" i="7"/>
  <c r="N158" i="7"/>
  <c r="M158" i="7"/>
  <c r="L158" i="7"/>
  <c r="K158" i="7"/>
  <c r="I158" i="7"/>
  <c r="H158" i="7"/>
  <c r="G158" i="7"/>
  <c r="X157" i="7"/>
  <c r="Z157" i="7" s="1"/>
  <c r="AG153" i="7"/>
  <c r="AF153" i="7"/>
  <c r="AE153" i="7"/>
  <c r="AC153" i="7"/>
  <c r="AB153" i="7"/>
  <c r="AA153" i="7"/>
  <c r="Z153" i="7"/>
  <c r="X153" i="7"/>
  <c r="W153" i="7"/>
  <c r="V153" i="7"/>
  <c r="U153" i="7"/>
  <c r="T153" i="7"/>
  <c r="S153" i="7"/>
  <c r="R153" i="7"/>
  <c r="Q153" i="7"/>
  <c r="P153" i="7"/>
  <c r="O153" i="7"/>
  <c r="N153" i="7"/>
  <c r="M153" i="7"/>
  <c r="L153" i="7"/>
  <c r="K153" i="7"/>
  <c r="I153" i="7"/>
  <c r="H153" i="7"/>
  <c r="G153" i="7"/>
  <c r="X152" i="7"/>
  <c r="R151" i="7"/>
  <c r="Q151" i="7"/>
  <c r="J151" i="7"/>
  <c r="I151" i="7"/>
  <c r="F151" i="7"/>
  <c r="AG146" i="7"/>
  <c r="AF146" i="7"/>
  <c r="AE146" i="7"/>
  <c r="AC146" i="7"/>
  <c r="AB146" i="7"/>
  <c r="AA146" i="7"/>
  <c r="Z146" i="7"/>
  <c r="X146" i="7"/>
  <c r="W145" i="7"/>
  <c r="AG141" i="7"/>
  <c r="AF141" i="7"/>
  <c r="AE141" i="7"/>
  <c r="AC141" i="7"/>
  <c r="AB141" i="7"/>
  <c r="AA141" i="7"/>
  <c r="Z141" i="7"/>
  <c r="X141" i="7"/>
  <c r="X140" i="7" s="1"/>
  <c r="W141" i="7"/>
  <c r="V141" i="7"/>
  <c r="U141" i="7"/>
  <c r="S141" i="7"/>
  <c r="R141" i="7"/>
  <c r="Q141" i="7"/>
  <c r="P141" i="7"/>
  <c r="O141" i="7"/>
  <c r="N141" i="7"/>
  <c r="M141" i="7"/>
  <c r="L141" i="7"/>
  <c r="K141" i="7"/>
  <c r="I141" i="7"/>
  <c r="H141" i="7"/>
  <c r="G141" i="7"/>
  <c r="Z140" i="7"/>
  <c r="Y140" i="7"/>
  <c r="T140" i="7"/>
  <c r="T141" i="7" s="1"/>
  <c r="O140" i="7"/>
  <c r="J140" i="7"/>
  <c r="W139" i="7"/>
  <c r="O139" i="7"/>
  <c r="O145" i="7" s="1"/>
  <c r="G139" i="7"/>
  <c r="G145" i="7" s="1"/>
  <c r="C139" i="7"/>
  <c r="AG134" i="7"/>
  <c r="AF134" i="7"/>
  <c r="AE134" i="7"/>
  <c r="AC134" i="7"/>
  <c r="AB134" i="7"/>
  <c r="AA134" i="7"/>
  <c r="Z134" i="7"/>
  <c r="X134" i="7"/>
  <c r="M133" i="7"/>
  <c r="AG129" i="7"/>
  <c r="AF129" i="7"/>
  <c r="AE129" i="7"/>
  <c r="AC129" i="7"/>
  <c r="AB129" i="7"/>
  <c r="AA129" i="7"/>
  <c r="Z129" i="7"/>
  <c r="X129" i="7"/>
  <c r="W129" i="7"/>
  <c r="V129" i="7"/>
  <c r="U129" i="7"/>
  <c r="T129" i="7"/>
  <c r="S129" i="7"/>
  <c r="R129" i="7"/>
  <c r="Q129" i="7"/>
  <c r="P129" i="7"/>
  <c r="N129" i="7"/>
  <c r="M129" i="7"/>
  <c r="L129" i="7"/>
  <c r="K129" i="7"/>
  <c r="I129" i="7"/>
  <c r="H129" i="7"/>
  <c r="G129" i="7"/>
  <c r="X128" i="7"/>
  <c r="T128" i="7"/>
  <c r="O128" i="7"/>
  <c r="O129" i="7" s="1"/>
  <c r="J128" i="7"/>
  <c r="R127" i="7"/>
  <c r="R133" i="7" s="1"/>
  <c r="M127" i="7"/>
  <c r="L127" i="7"/>
  <c r="L133" i="7" s="1"/>
  <c r="C127" i="7"/>
  <c r="AG122" i="7"/>
  <c r="AF122" i="7"/>
  <c r="AE122" i="7"/>
  <c r="AC122" i="7"/>
  <c r="AB122" i="7"/>
  <c r="AA122" i="7"/>
  <c r="Z122" i="7"/>
  <c r="X122" i="7"/>
  <c r="X121" i="7" s="1"/>
  <c r="H122" i="7"/>
  <c r="W121" i="7"/>
  <c r="H121" i="7"/>
  <c r="G121" i="7"/>
  <c r="AG117" i="7"/>
  <c r="AF117" i="7"/>
  <c r="AE117" i="7"/>
  <c r="AC117" i="7"/>
  <c r="AB117" i="7"/>
  <c r="AA117" i="7"/>
  <c r="Z117" i="7"/>
  <c r="X117" i="7"/>
  <c r="W117" i="7"/>
  <c r="V117" i="7"/>
  <c r="U117" i="7"/>
  <c r="S117" i="7"/>
  <c r="R117" i="7"/>
  <c r="Q117" i="7"/>
  <c r="P117" i="7"/>
  <c r="N117" i="7"/>
  <c r="M117" i="7"/>
  <c r="L117" i="7"/>
  <c r="K117" i="7"/>
  <c r="I117" i="7"/>
  <c r="H117" i="7"/>
  <c r="G117" i="7"/>
  <c r="X116" i="7"/>
  <c r="T116" i="7"/>
  <c r="O116" i="7"/>
  <c r="J116" i="7"/>
  <c r="AG110" i="7"/>
  <c r="AF110" i="7"/>
  <c r="AE110" i="7"/>
  <c r="AC110" i="7"/>
  <c r="AB110" i="7"/>
  <c r="AA110" i="7"/>
  <c r="Z110" i="7"/>
  <c r="X110" i="7"/>
  <c r="AG105" i="7"/>
  <c r="AF105" i="7"/>
  <c r="AE105" i="7"/>
  <c r="AC105" i="7"/>
  <c r="AB105" i="7"/>
  <c r="AA105" i="7"/>
  <c r="Z105" i="7"/>
  <c r="X105" i="7"/>
  <c r="X104" i="7" s="1"/>
  <c r="Z104" i="7" s="1"/>
  <c r="W105" i="7"/>
  <c r="V105" i="7"/>
  <c r="U105" i="7"/>
  <c r="S105" i="7"/>
  <c r="R105" i="7"/>
  <c r="Q105" i="7"/>
  <c r="P105" i="7"/>
  <c r="N105" i="7"/>
  <c r="M105" i="7"/>
  <c r="L105" i="7"/>
  <c r="K105" i="7"/>
  <c r="I105" i="7"/>
  <c r="H105" i="7"/>
  <c r="G105" i="7"/>
  <c r="T104" i="7"/>
  <c r="O104" i="7"/>
  <c r="T105" i="7" s="1"/>
  <c r="J104" i="7"/>
  <c r="O105" i="7" s="1"/>
  <c r="R103" i="7"/>
  <c r="R109" i="7" s="1"/>
  <c r="N103" i="7"/>
  <c r="N109" i="7" s="1"/>
  <c r="J103" i="7"/>
  <c r="J109" i="7" s="1"/>
  <c r="G103" i="7"/>
  <c r="G109" i="7" s="1"/>
  <c r="G110" i="7" s="1"/>
  <c r="AG98" i="7"/>
  <c r="AF98" i="7"/>
  <c r="AE98" i="7"/>
  <c r="AC98" i="7"/>
  <c r="AB98" i="7"/>
  <c r="AA98" i="7"/>
  <c r="Z98" i="7"/>
  <c r="X98" i="7"/>
  <c r="F97" i="7"/>
  <c r="AG93" i="7"/>
  <c r="AF93" i="7"/>
  <c r="AE93" i="7"/>
  <c r="AC93" i="7"/>
  <c r="AB93" i="7"/>
  <c r="AA93" i="7"/>
  <c r="Z93" i="7"/>
  <c r="X93" i="7"/>
  <c r="X92" i="7" s="1"/>
  <c r="W93" i="7"/>
  <c r="V93" i="7"/>
  <c r="U93" i="7"/>
  <c r="S93" i="7"/>
  <c r="R93" i="7"/>
  <c r="Q93" i="7"/>
  <c r="P93" i="7"/>
  <c r="O93" i="7"/>
  <c r="N93" i="7"/>
  <c r="M93" i="7"/>
  <c r="L93" i="7"/>
  <c r="K93" i="7"/>
  <c r="I93" i="7"/>
  <c r="H93" i="7"/>
  <c r="G93" i="7"/>
  <c r="T92" i="7"/>
  <c r="T93" i="7" s="1"/>
  <c r="O92" i="7"/>
  <c r="J92" i="7"/>
  <c r="T91" i="7"/>
  <c r="T97" i="7" s="1"/>
  <c r="F91" i="7"/>
  <c r="C91" i="7"/>
  <c r="AB87" i="7"/>
  <c r="AC87" i="7" s="1"/>
  <c r="AE87" i="7" s="1"/>
  <c r="AF87" i="7" s="1"/>
  <c r="AG87" i="7" s="1"/>
  <c r="X87" i="7"/>
  <c r="Z87" i="7" s="1"/>
  <c r="AA87" i="7" s="1"/>
  <c r="X86" i="7"/>
  <c r="Z86" i="7" s="1"/>
  <c r="X85" i="7"/>
  <c r="Z85" i="7" s="1"/>
  <c r="AA85" i="7" s="1"/>
  <c r="AB85" i="7" s="1"/>
  <c r="AC85" i="7" s="1"/>
  <c r="AE85" i="7" s="1"/>
  <c r="AF85" i="7" s="1"/>
  <c r="AG85" i="7" s="1"/>
  <c r="X84" i="7"/>
  <c r="V84" i="7"/>
  <c r="U84" i="7"/>
  <c r="S84" i="7"/>
  <c r="N84" i="7"/>
  <c r="M84" i="7"/>
  <c r="J84" i="7"/>
  <c r="G84" i="7"/>
  <c r="C84" i="7"/>
  <c r="R83" i="7"/>
  <c r="Q83" i="7"/>
  <c r="J83" i="7"/>
  <c r="I83" i="7"/>
  <c r="G83" i="7"/>
  <c r="AG78" i="7"/>
  <c r="AF78" i="7"/>
  <c r="AE78" i="7"/>
  <c r="AC78" i="7"/>
  <c r="AB78" i="7"/>
  <c r="AA78" i="7"/>
  <c r="Z78" i="7"/>
  <c r="X78" i="7"/>
  <c r="S78" i="7"/>
  <c r="R78" i="7"/>
  <c r="K78" i="7"/>
  <c r="J78" i="7"/>
  <c r="C78" i="7"/>
  <c r="W77" i="7"/>
  <c r="X77" i="7" s="1"/>
  <c r="Z77" i="7" s="1"/>
  <c r="R77" i="7"/>
  <c r="Q77" i="7"/>
  <c r="O77" i="7"/>
  <c r="G77" i="7"/>
  <c r="AG72" i="7"/>
  <c r="AF72" i="7"/>
  <c r="AE72" i="7"/>
  <c r="AC72" i="7"/>
  <c r="AB72" i="7"/>
  <c r="AA72" i="7"/>
  <c r="Z72" i="7"/>
  <c r="X72" i="7"/>
  <c r="U72" i="7"/>
  <c r="T72" i="7"/>
  <c r="S72" i="7"/>
  <c r="L72" i="7"/>
  <c r="K72" i="7"/>
  <c r="J72" i="7"/>
  <c r="C72" i="7"/>
  <c r="N71" i="7"/>
  <c r="M71" i="7"/>
  <c r="I71" i="7"/>
  <c r="C71" i="7"/>
  <c r="AG66" i="7"/>
  <c r="AF66" i="7"/>
  <c r="AE66" i="7"/>
  <c r="AC66" i="7"/>
  <c r="AB66" i="7"/>
  <c r="AA66" i="7"/>
  <c r="Z66" i="7"/>
  <c r="X66" i="7"/>
  <c r="S66" i="7"/>
  <c r="K66" i="7"/>
  <c r="J66" i="7"/>
  <c r="I66" i="7"/>
  <c r="H66" i="7"/>
  <c r="C66" i="7"/>
  <c r="W65" i="7"/>
  <c r="X65" i="7" s="1"/>
  <c r="U65" i="7"/>
  <c r="O65" i="7"/>
  <c r="M65" i="7"/>
  <c r="G65" i="7"/>
  <c r="AG60" i="7"/>
  <c r="AF60" i="7"/>
  <c r="AE60" i="7"/>
  <c r="AC60" i="7"/>
  <c r="AB60" i="7"/>
  <c r="AA60" i="7"/>
  <c r="Z60" i="7"/>
  <c r="X60" i="7"/>
  <c r="S60" i="7"/>
  <c r="R60" i="7"/>
  <c r="Q60" i="7"/>
  <c r="P60" i="7"/>
  <c r="J60" i="7"/>
  <c r="H60" i="7"/>
  <c r="G60" i="7"/>
  <c r="C60" i="7"/>
  <c r="W59" i="7"/>
  <c r="X59" i="7" s="1"/>
  <c r="Z59" i="7" s="1"/>
  <c r="AA59" i="7" s="1"/>
  <c r="V59" i="7"/>
  <c r="T59" i="7"/>
  <c r="L59" i="7"/>
  <c r="K59" i="7"/>
  <c r="G59" i="7"/>
  <c r="F59" i="7"/>
  <c r="AG54" i="7"/>
  <c r="AF54" i="7"/>
  <c r="AE54" i="7"/>
  <c r="AC54" i="7"/>
  <c r="AB54" i="7"/>
  <c r="AA54" i="7"/>
  <c r="Z54" i="7"/>
  <c r="X54" i="7"/>
  <c r="Q54" i="7"/>
  <c r="P54" i="7"/>
  <c r="O54" i="7"/>
  <c r="J54" i="7"/>
  <c r="G54" i="7"/>
  <c r="C54" i="7"/>
  <c r="T53" i="7"/>
  <c r="S53" i="7"/>
  <c r="R53" i="7"/>
  <c r="K53" i="7"/>
  <c r="J53" i="7"/>
  <c r="W49" i="7"/>
  <c r="V49" i="7"/>
  <c r="U49" i="7"/>
  <c r="Q49" i="7"/>
  <c r="P49" i="7"/>
  <c r="N49" i="7"/>
  <c r="M49" i="7"/>
  <c r="H49" i="7"/>
  <c r="G49" i="7"/>
  <c r="F49" i="7"/>
  <c r="W48" i="7"/>
  <c r="W84" i="7" s="1"/>
  <c r="V48" i="7"/>
  <c r="U48" i="7"/>
  <c r="T48" i="7"/>
  <c r="T84" i="7" s="1"/>
  <c r="S48" i="7"/>
  <c r="R48" i="7"/>
  <c r="R84" i="7" s="1"/>
  <c r="Q48" i="7"/>
  <c r="Q84" i="7" s="1"/>
  <c r="P48" i="7"/>
  <c r="P84" i="7" s="1"/>
  <c r="O48" i="7"/>
  <c r="O84" i="7" s="1"/>
  <c r="N48" i="7"/>
  <c r="M48" i="7"/>
  <c r="L48" i="7"/>
  <c r="L84" i="7" s="1"/>
  <c r="K48" i="7"/>
  <c r="K84" i="7" s="1"/>
  <c r="I48" i="7"/>
  <c r="I84" i="7" s="1"/>
  <c r="H48" i="7"/>
  <c r="H84" i="7" s="1"/>
  <c r="G48" i="7"/>
  <c r="W47" i="7"/>
  <c r="W151" i="7" s="1"/>
  <c r="V47" i="7"/>
  <c r="U47" i="7"/>
  <c r="T47" i="7"/>
  <c r="S47" i="7"/>
  <c r="S225" i="7" s="1"/>
  <c r="S227" i="7" s="1"/>
  <c r="R47" i="7"/>
  <c r="R225" i="7" s="1"/>
  <c r="R227" i="7" s="1"/>
  <c r="Q47" i="7"/>
  <c r="Q225" i="7" s="1"/>
  <c r="P47" i="7"/>
  <c r="O47" i="7"/>
  <c r="N47" i="7"/>
  <c r="M47" i="7"/>
  <c r="L47" i="7"/>
  <c r="K47" i="7"/>
  <c r="J47" i="7"/>
  <c r="J225" i="7" s="1"/>
  <c r="I47" i="7"/>
  <c r="I225" i="7" s="1"/>
  <c r="H47" i="7"/>
  <c r="G47" i="7"/>
  <c r="G225" i="7" s="1"/>
  <c r="G227" i="7" s="1"/>
  <c r="F47" i="7"/>
  <c r="F83" i="7" s="1"/>
  <c r="C47" i="7"/>
  <c r="U46" i="7"/>
  <c r="S46" i="7"/>
  <c r="M46" i="7"/>
  <c r="L46" i="7"/>
  <c r="K46" i="7"/>
  <c r="I46" i="7"/>
  <c r="F46" i="7"/>
  <c r="W45" i="7"/>
  <c r="W78" i="7" s="1"/>
  <c r="V45" i="7"/>
  <c r="V78" i="7" s="1"/>
  <c r="U45" i="7"/>
  <c r="U78" i="7" s="1"/>
  <c r="T45" i="7"/>
  <c r="T78" i="7" s="1"/>
  <c r="S45" i="7"/>
  <c r="R45" i="7"/>
  <c r="Q45" i="7"/>
  <c r="Q78" i="7" s="1"/>
  <c r="P45" i="7"/>
  <c r="P78" i="7" s="1"/>
  <c r="O45" i="7"/>
  <c r="O78" i="7" s="1"/>
  <c r="N45" i="7"/>
  <c r="N78" i="7" s="1"/>
  <c r="M45" i="7"/>
  <c r="M78" i="7" s="1"/>
  <c r="L45" i="7"/>
  <c r="L78" i="7" s="1"/>
  <c r="K45" i="7"/>
  <c r="I45" i="7"/>
  <c r="I78" i="7" s="1"/>
  <c r="H45" i="7"/>
  <c r="H78" i="7" s="1"/>
  <c r="G45" i="7"/>
  <c r="G78" i="7" s="1"/>
  <c r="AI44" i="7"/>
  <c r="W44" i="7"/>
  <c r="V44" i="7"/>
  <c r="V77" i="7" s="1"/>
  <c r="U44" i="7"/>
  <c r="U77" i="7" s="1"/>
  <c r="Y77" i="7" s="1"/>
  <c r="T44" i="7"/>
  <c r="S44" i="7"/>
  <c r="R44" i="7"/>
  <c r="Q44" i="7"/>
  <c r="P44" i="7"/>
  <c r="P213" i="7" s="1"/>
  <c r="O44" i="7"/>
  <c r="N44" i="7"/>
  <c r="N139" i="7" s="1"/>
  <c r="N145" i="7" s="1"/>
  <c r="M44" i="7"/>
  <c r="L44" i="7"/>
  <c r="K44" i="7"/>
  <c r="J44" i="7"/>
  <c r="I44" i="7"/>
  <c r="H44" i="7"/>
  <c r="H77" i="7" s="1"/>
  <c r="G44" i="7"/>
  <c r="F44" i="7"/>
  <c r="C44" i="7"/>
  <c r="W43" i="7"/>
  <c r="V43" i="7"/>
  <c r="P43" i="7"/>
  <c r="N43" i="7"/>
  <c r="M43" i="7"/>
  <c r="I43" i="7"/>
  <c r="H43" i="7"/>
  <c r="G43" i="7"/>
  <c r="F43" i="7"/>
  <c r="W42" i="7"/>
  <c r="W72" i="7" s="1"/>
  <c r="V42" i="7"/>
  <c r="V72" i="7" s="1"/>
  <c r="U42" i="7"/>
  <c r="T42" i="7"/>
  <c r="S42" i="7"/>
  <c r="R42" i="7"/>
  <c r="R72" i="7" s="1"/>
  <c r="Q42" i="7"/>
  <c r="Q72" i="7" s="1"/>
  <c r="P42" i="7"/>
  <c r="P72" i="7" s="1"/>
  <c r="O42" i="7"/>
  <c r="O72" i="7" s="1"/>
  <c r="N42" i="7"/>
  <c r="N72" i="7" s="1"/>
  <c r="M42" i="7"/>
  <c r="M72" i="7" s="1"/>
  <c r="L42" i="7"/>
  <c r="K42" i="7"/>
  <c r="I42" i="7"/>
  <c r="I72" i="7" s="1"/>
  <c r="H42" i="7"/>
  <c r="H72" i="7" s="1"/>
  <c r="G42" i="7"/>
  <c r="G72" i="7" s="1"/>
  <c r="AI41" i="7"/>
  <c r="W41" i="7"/>
  <c r="W127" i="7" s="1"/>
  <c r="W133" i="7" s="1"/>
  <c r="X133" i="7" s="1"/>
  <c r="Z133" i="7" s="1"/>
  <c r="AA133" i="7" s="1"/>
  <c r="AB133" i="7" s="1"/>
  <c r="AC133" i="7" s="1"/>
  <c r="V41" i="7"/>
  <c r="U41" i="7"/>
  <c r="T41" i="7"/>
  <c r="S41" i="7"/>
  <c r="S71" i="7" s="1"/>
  <c r="R41" i="7"/>
  <c r="R71" i="7" s="1"/>
  <c r="Q41" i="7"/>
  <c r="P41" i="7"/>
  <c r="P127" i="7" s="1"/>
  <c r="P133" i="7" s="1"/>
  <c r="P134" i="7" s="1"/>
  <c r="O41" i="7"/>
  <c r="O127" i="7" s="1"/>
  <c r="O133" i="7" s="1"/>
  <c r="N41" i="7"/>
  <c r="N127" i="7" s="1"/>
  <c r="N133" i="7" s="1"/>
  <c r="M41" i="7"/>
  <c r="L41" i="7"/>
  <c r="L71" i="7" s="1"/>
  <c r="K41" i="7"/>
  <c r="J41" i="7"/>
  <c r="J71" i="7" s="1"/>
  <c r="I41" i="7"/>
  <c r="I127" i="7" s="1"/>
  <c r="I133" i="7" s="1"/>
  <c r="H41" i="7"/>
  <c r="G41" i="7"/>
  <c r="F41" i="7"/>
  <c r="C41" i="7"/>
  <c r="M40" i="7"/>
  <c r="L40" i="7"/>
  <c r="K40" i="7"/>
  <c r="W39" i="7"/>
  <c r="W66" i="7" s="1"/>
  <c r="V39" i="7"/>
  <c r="V66" i="7" s="1"/>
  <c r="U39" i="7"/>
  <c r="U66" i="7" s="1"/>
  <c r="T39" i="7"/>
  <c r="T66" i="7" s="1"/>
  <c r="S39" i="7"/>
  <c r="R39" i="7"/>
  <c r="R66" i="7" s="1"/>
  <c r="Q39" i="7"/>
  <c r="Q66" i="7" s="1"/>
  <c r="P39" i="7"/>
  <c r="P66" i="7" s="1"/>
  <c r="O39" i="7"/>
  <c r="O66" i="7" s="1"/>
  <c r="N39" i="7"/>
  <c r="N66" i="7" s="1"/>
  <c r="M39" i="7"/>
  <c r="M66" i="7" s="1"/>
  <c r="L39" i="7"/>
  <c r="L66" i="7" s="1"/>
  <c r="K39" i="7"/>
  <c r="I39" i="7"/>
  <c r="H39" i="7"/>
  <c r="G39" i="7"/>
  <c r="G66" i="7" s="1"/>
  <c r="AI38" i="7"/>
  <c r="W38" i="7"/>
  <c r="W115" i="7" s="1"/>
  <c r="V38" i="7"/>
  <c r="V115" i="7" s="1"/>
  <c r="V121" i="7" s="1"/>
  <c r="U38" i="7"/>
  <c r="U115" i="7" s="1"/>
  <c r="T38" i="7"/>
  <c r="T65" i="7" s="1"/>
  <c r="S38" i="7"/>
  <c r="R38" i="7"/>
  <c r="Q38" i="7"/>
  <c r="P38" i="7"/>
  <c r="P65" i="7" s="1"/>
  <c r="O38" i="7"/>
  <c r="O115" i="7" s="1"/>
  <c r="N38" i="7"/>
  <c r="N115" i="7" s="1"/>
  <c r="N121" i="7" s="1"/>
  <c r="N122" i="7" s="1"/>
  <c r="M38" i="7"/>
  <c r="M115" i="7" s="1"/>
  <c r="M121" i="7" s="1"/>
  <c r="L38" i="7"/>
  <c r="L65" i="7" s="1"/>
  <c r="K38" i="7"/>
  <c r="J38" i="7"/>
  <c r="J65" i="7" s="1"/>
  <c r="I38" i="7"/>
  <c r="I65" i="7" s="1"/>
  <c r="H38" i="7"/>
  <c r="H115" i="7" s="1"/>
  <c r="G38" i="7"/>
  <c r="G115" i="7" s="1"/>
  <c r="F38" i="7"/>
  <c r="C38" i="7"/>
  <c r="W37" i="7"/>
  <c r="V37" i="7"/>
  <c r="U37" i="7"/>
  <c r="P37" i="7"/>
  <c r="N37" i="7"/>
  <c r="M37" i="7"/>
  <c r="H37" i="7"/>
  <c r="G37" i="7"/>
  <c r="F37" i="7"/>
  <c r="W36" i="7"/>
  <c r="W60" i="7" s="1"/>
  <c r="V36" i="7"/>
  <c r="V60" i="7" s="1"/>
  <c r="U36" i="7"/>
  <c r="U60" i="7" s="1"/>
  <c r="S36" i="7"/>
  <c r="R36" i="7"/>
  <c r="Q36" i="7"/>
  <c r="P36" i="7"/>
  <c r="N36" i="7"/>
  <c r="N60" i="7" s="1"/>
  <c r="M36" i="7"/>
  <c r="M60" i="7" s="1"/>
  <c r="L36" i="7"/>
  <c r="L60" i="7" s="1"/>
  <c r="K36" i="7"/>
  <c r="K60" i="7" s="1"/>
  <c r="I36" i="7"/>
  <c r="I60" i="7" s="1"/>
  <c r="H36" i="7"/>
  <c r="G36" i="7"/>
  <c r="AI35" i="7"/>
  <c r="X35" i="7"/>
  <c r="W35" i="7"/>
  <c r="W103" i="7" s="1"/>
  <c r="W109" i="7" s="1"/>
  <c r="V35" i="7"/>
  <c r="V177" i="7" s="1"/>
  <c r="V179" i="7" s="1"/>
  <c r="U35" i="7"/>
  <c r="U103" i="7" s="1"/>
  <c r="T35" i="7"/>
  <c r="T103" i="7" s="1"/>
  <c r="T109" i="7" s="1"/>
  <c r="S35" i="7"/>
  <c r="S59" i="7" s="1"/>
  <c r="R35" i="7"/>
  <c r="Q35" i="7"/>
  <c r="P35" i="7"/>
  <c r="O35" i="7"/>
  <c r="N35" i="7"/>
  <c r="M35" i="7"/>
  <c r="L35" i="7"/>
  <c r="L103" i="7" s="1"/>
  <c r="L109" i="7" s="1"/>
  <c r="K35" i="7"/>
  <c r="J35" i="7"/>
  <c r="I35" i="7"/>
  <c r="H35" i="7"/>
  <c r="G35" i="7"/>
  <c r="G177" i="7" s="1"/>
  <c r="G179" i="7" s="1"/>
  <c r="F35" i="7"/>
  <c r="F103" i="7" s="1"/>
  <c r="F109" i="7" s="1"/>
  <c r="C35" i="7"/>
  <c r="S34" i="7"/>
  <c r="R34" i="7"/>
  <c r="Q34" i="7"/>
  <c r="M34" i="7"/>
  <c r="W33" i="7"/>
  <c r="W54" i="7" s="1"/>
  <c r="V33" i="7"/>
  <c r="V54" i="7" s="1"/>
  <c r="U33" i="7"/>
  <c r="U54" i="7" s="1"/>
  <c r="T33" i="7"/>
  <c r="T54" i="7" s="1"/>
  <c r="S33" i="7"/>
  <c r="S54" i="7" s="1"/>
  <c r="R33" i="7"/>
  <c r="R54" i="7" s="1"/>
  <c r="Q33" i="7"/>
  <c r="P33" i="7"/>
  <c r="O33" i="7"/>
  <c r="N33" i="7"/>
  <c r="N54" i="7" s="1"/>
  <c r="M33" i="7"/>
  <c r="M54" i="7" s="1"/>
  <c r="L33" i="7"/>
  <c r="L54" i="7" s="1"/>
  <c r="K33" i="7"/>
  <c r="K54" i="7" s="1"/>
  <c r="I33" i="7"/>
  <c r="I54" i="7" s="1"/>
  <c r="H33" i="7"/>
  <c r="H54" i="7" s="1"/>
  <c r="G33" i="7"/>
  <c r="C33" i="7"/>
  <c r="X32" i="7"/>
  <c r="W32" i="7"/>
  <c r="W53" i="7" s="1"/>
  <c r="X53" i="7" s="1"/>
  <c r="V32" i="7"/>
  <c r="V53" i="7" s="1"/>
  <c r="U32" i="7"/>
  <c r="T32" i="7"/>
  <c r="AI32" i="7" s="1"/>
  <c r="S32" i="7"/>
  <c r="S91" i="7" s="1"/>
  <c r="S97" i="7" s="1"/>
  <c r="R32" i="7"/>
  <c r="Q32" i="7"/>
  <c r="P32" i="7"/>
  <c r="O32" i="7"/>
  <c r="N32" i="7"/>
  <c r="M32" i="7"/>
  <c r="L32" i="7"/>
  <c r="L53" i="7" s="1"/>
  <c r="K32" i="7"/>
  <c r="K91" i="7" s="1"/>
  <c r="K97" i="7" s="1"/>
  <c r="J32" i="7"/>
  <c r="I32" i="7"/>
  <c r="H32" i="7"/>
  <c r="G32" i="7"/>
  <c r="F32" i="7"/>
  <c r="F165" i="7" s="1"/>
  <c r="F167" i="7" s="1"/>
  <c r="C32" i="7"/>
  <c r="T31" i="7"/>
  <c r="O31" i="7"/>
  <c r="H31" i="7"/>
  <c r="G31" i="7"/>
  <c r="C31" i="7"/>
  <c r="W30" i="7"/>
  <c r="V30" i="7"/>
  <c r="U30" i="7"/>
  <c r="S30" i="7"/>
  <c r="R30" i="7"/>
  <c r="Q30" i="7"/>
  <c r="P30" i="7"/>
  <c r="N30" i="7"/>
  <c r="M30" i="7"/>
  <c r="L30" i="7"/>
  <c r="K30" i="7"/>
  <c r="I30" i="7"/>
  <c r="H30" i="7"/>
  <c r="G30" i="7"/>
  <c r="F30" i="7"/>
  <c r="C19" i="7"/>
  <c r="C18" i="7"/>
  <c r="C17" i="7"/>
  <c r="C15" i="7"/>
  <c r="C13" i="7"/>
  <c r="C12" i="7"/>
  <c r="C11" i="7"/>
  <c r="C9" i="7"/>
  <c r="C8" i="7"/>
  <c r="C6" i="7"/>
  <c r="C2" i="7"/>
  <c r="C1" i="7"/>
  <c r="D21" i="6"/>
  <c r="D20" i="6"/>
  <c r="D19" i="6"/>
  <c r="D18" i="6"/>
  <c r="D17" i="6"/>
  <c r="D9" i="6"/>
  <c r="D8" i="6"/>
  <c r="C1" i="6"/>
  <c r="V18" i="5"/>
  <c r="T18" i="5"/>
  <c r="U18" i="5" s="1"/>
  <c r="V16" i="5"/>
  <c r="U16" i="5"/>
  <c r="T16" i="5"/>
  <c r="O16" i="5"/>
  <c r="V15" i="5"/>
  <c r="U15" i="5" s="1"/>
  <c r="T15" i="5"/>
  <c r="O15" i="5"/>
  <c r="V14" i="5"/>
  <c r="U14" i="5"/>
  <c r="T14" i="5"/>
  <c r="O14" i="5"/>
  <c r="V13" i="5"/>
  <c r="U13" i="5" s="1"/>
  <c r="T13" i="5"/>
  <c r="O13" i="5"/>
  <c r="V11" i="5"/>
  <c r="U11" i="5"/>
  <c r="T11" i="5"/>
  <c r="O11" i="5"/>
  <c r="V10" i="5"/>
  <c r="U10" i="5" s="1"/>
  <c r="T10" i="5"/>
  <c r="O10" i="5"/>
  <c r="V9" i="5"/>
  <c r="U9" i="5"/>
  <c r="T9" i="5"/>
  <c r="O9" i="5"/>
  <c r="V8" i="5"/>
  <c r="U8" i="5" s="1"/>
  <c r="T8" i="5"/>
  <c r="O8" i="5"/>
  <c r="V6" i="5"/>
  <c r="U6" i="5"/>
  <c r="T6" i="5"/>
  <c r="O6" i="5"/>
  <c r="V5" i="5"/>
  <c r="T5" i="5"/>
  <c r="U26" i="5" s="1"/>
  <c r="O5" i="5"/>
  <c r="C2" i="5"/>
  <c r="C1" i="5"/>
  <c r="B71" i="4"/>
  <c r="K70" i="4"/>
  <c r="B70" i="4"/>
  <c r="J69" i="4"/>
  <c r="I69" i="4"/>
  <c r="J68" i="4"/>
  <c r="I68" i="4"/>
  <c r="B68" i="4"/>
  <c r="B67" i="4"/>
  <c r="B66" i="4"/>
  <c r="F61" i="4"/>
  <c r="D60" i="4"/>
  <c r="M60" i="4" s="1"/>
  <c r="B59" i="4"/>
  <c r="B56" i="4"/>
  <c r="B55" i="4"/>
  <c r="B54" i="4"/>
  <c r="B52" i="4"/>
  <c r="B51" i="4"/>
  <c r="B50" i="4"/>
  <c r="B49" i="4"/>
  <c r="B47" i="4"/>
  <c r="B46" i="4"/>
  <c r="B45" i="4"/>
  <c r="B44" i="4"/>
  <c r="B37" i="4"/>
  <c r="B36" i="4"/>
  <c r="B34" i="4"/>
  <c r="B33" i="4"/>
  <c r="B32" i="4"/>
  <c r="B30" i="4"/>
  <c r="B29" i="4"/>
  <c r="B28" i="4"/>
  <c r="S27" i="4"/>
  <c r="B26" i="4"/>
  <c r="B25" i="4"/>
  <c r="T24" i="4"/>
  <c r="U24" i="4" s="1"/>
  <c r="S24" i="4"/>
  <c r="B24" i="4"/>
  <c r="B22" i="4"/>
  <c r="F21" i="4"/>
  <c r="I16" i="4"/>
  <c r="I15" i="4"/>
  <c r="I14" i="4"/>
  <c r="I13" i="4"/>
  <c r="I12" i="4"/>
  <c r="I10" i="4"/>
  <c r="I9" i="4"/>
  <c r="I8" i="4"/>
  <c r="I7" i="4"/>
  <c r="B4" i="4"/>
  <c r="O3" i="4"/>
  <c r="O2" i="4"/>
  <c r="B2" i="4"/>
  <c r="S30" i="4" s="1"/>
  <c r="S1" i="4"/>
  <c r="N1" i="4"/>
  <c r="B1" i="4"/>
  <c r="H106" i="3"/>
  <c r="Z101" i="3"/>
  <c r="J71" i="4" s="1"/>
  <c r="Q101" i="3"/>
  <c r="AA100" i="3"/>
  <c r="Z100" i="3"/>
  <c r="J70" i="4" s="1"/>
  <c r="Y100" i="3"/>
  <c r="I70" i="4" s="1"/>
  <c r="R100" i="3"/>
  <c r="Q100" i="3"/>
  <c r="P100" i="3"/>
  <c r="O100" i="3"/>
  <c r="N100" i="3"/>
  <c r="K100" i="3"/>
  <c r="J100" i="3"/>
  <c r="C100" i="3"/>
  <c r="AA99" i="3"/>
  <c r="K69" i="4" s="1"/>
  <c r="Z99" i="3"/>
  <c r="Y99" i="3"/>
  <c r="R99" i="3"/>
  <c r="Q99" i="3"/>
  <c r="P99" i="3"/>
  <c r="O99" i="3"/>
  <c r="N99" i="3"/>
  <c r="N101" i="3" s="1"/>
  <c r="M99" i="3"/>
  <c r="K99" i="3"/>
  <c r="J99" i="3"/>
  <c r="I99" i="3"/>
  <c r="C99" i="3"/>
  <c r="B69" i="4" s="1"/>
  <c r="AA98" i="3"/>
  <c r="Z98" i="3"/>
  <c r="Y98" i="3"/>
  <c r="R98" i="3"/>
  <c r="Q98" i="3"/>
  <c r="P98" i="3"/>
  <c r="P101" i="3" s="1"/>
  <c r="O98" i="3"/>
  <c r="O101" i="3" s="1"/>
  <c r="N98" i="3"/>
  <c r="J98" i="3"/>
  <c r="H98" i="3"/>
  <c r="C98" i="3"/>
  <c r="V86" i="3"/>
  <c r="U86" i="3"/>
  <c r="E61" i="4" s="1"/>
  <c r="T86" i="3"/>
  <c r="D61" i="4" s="1"/>
  <c r="L86" i="3"/>
  <c r="K86" i="3"/>
  <c r="J86" i="3"/>
  <c r="I86" i="3"/>
  <c r="H86" i="3"/>
  <c r="G86" i="3"/>
  <c r="V85" i="3"/>
  <c r="F60" i="4" s="1"/>
  <c r="U85" i="3"/>
  <c r="E60" i="4" s="1"/>
  <c r="T85" i="3"/>
  <c r="M85" i="3"/>
  <c r="L85" i="3"/>
  <c r="K85" i="3"/>
  <c r="J85" i="3"/>
  <c r="I85" i="3"/>
  <c r="H85" i="3"/>
  <c r="H87" i="3" s="1"/>
  <c r="G85" i="3"/>
  <c r="S82" i="3"/>
  <c r="G72" i="3"/>
  <c r="C70" i="3"/>
  <c r="C68" i="3"/>
  <c r="AA67" i="3"/>
  <c r="Z67" i="3"/>
  <c r="Y67" i="3"/>
  <c r="X67" i="3"/>
  <c r="W67" i="3"/>
  <c r="V67" i="3"/>
  <c r="U67" i="3"/>
  <c r="T67" i="3"/>
  <c r="R67" i="3"/>
  <c r="Q67" i="3"/>
  <c r="P67" i="3"/>
  <c r="O67" i="3"/>
  <c r="N67" i="3"/>
  <c r="M67" i="3"/>
  <c r="L67" i="3"/>
  <c r="K67" i="3"/>
  <c r="J67" i="3"/>
  <c r="I67" i="3"/>
  <c r="H67" i="3"/>
  <c r="G67" i="3"/>
  <c r="C67" i="3"/>
  <c r="J65" i="3"/>
  <c r="J68" i="3" s="1"/>
  <c r="C65" i="3"/>
  <c r="W64" i="3"/>
  <c r="V64" i="3"/>
  <c r="U64" i="3"/>
  <c r="T64" i="3"/>
  <c r="T65" i="3" s="1"/>
  <c r="T68" i="3" s="1"/>
  <c r="N64" i="3"/>
  <c r="M64" i="3"/>
  <c r="L64" i="3"/>
  <c r="K64" i="3"/>
  <c r="K65" i="3" s="1"/>
  <c r="K68" i="3" s="1"/>
  <c r="J64" i="3"/>
  <c r="I64" i="3"/>
  <c r="H64" i="3"/>
  <c r="G64" i="3"/>
  <c r="C64" i="3"/>
  <c r="V63" i="3"/>
  <c r="U63" i="3"/>
  <c r="T63" i="3"/>
  <c r="M63" i="3"/>
  <c r="L63" i="3"/>
  <c r="K63" i="3"/>
  <c r="J63" i="3"/>
  <c r="I63" i="3"/>
  <c r="H63" i="3"/>
  <c r="G63" i="3"/>
  <c r="C63" i="3"/>
  <c r="V62" i="3"/>
  <c r="V65" i="3" s="1"/>
  <c r="V68" i="3" s="1"/>
  <c r="U62" i="3"/>
  <c r="T62" i="3"/>
  <c r="M62" i="3"/>
  <c r="M65" i="3" s="1"/>
  <c r="M68" i="3" s="1"/>
  <c r="L62" i="3"/>
  <c r="L65" i="3" s="1"/>
  <c r="L68" i="3" s="1"/>
  <c r="L93" i="3" s="1"/>
  <c r="K62" i="3"/>
  <c r="J62" i="3"/>
  <c r="I62" i="3"/>
  <c r="H62" i="3"/>
  <c r="G62" i="3"/>
  <c r="C62" i="3"/>
  <c r="V61" i="3"/>
  <c r="U61" i="3"/>
  <c r="T61" i="3"/>
  <c r="M61" i="3"/>
  <c r="L61" i="3"/>
  <c r="K61" i="3"/>
  <c r="J61" i="3"/>
  <c r="I61" i="3"/>
  <c r="H61" i="3"/>
  <c r="G61" i="3"/>
  <c r="C61" i="3"/>
  <c r="C59" i="3"/>
  <c r="C57" i="3"/>
  <c r="W56" i="3"/>
  <c r="V56" i="3"/>
  <c r="U56" i="3"/>
  <c r="T56" i="3"/>
  <c r="Q56" i="3"/>
  <c r="P56" i="3"/>
  <c r="O56" i="3"/>
  <c r="N56" i="3"/>
  <c r="M56" i="3"/>
  <c r="L56" i="3"/>
  <c r="K56" i="3"/>
  <c r="J56" i="3"/>
  <c r="I56" i="3"/>
  <c r="H56" i="3"/>
  <c r="G56" i="3"/>
  <c r="C56" i="3"/>
  <c r="V55" i="3"/>
  <c r="U55" i="3"/>
  <c r="T55" i="3"/>
  <c r="M55" i="3"/>
  <c r="L55" i="3"/>
  <c r="K55" i="3"/>
  <c r="J55" i="3"/>
  <c r="I55" i="3"/>
  <c r="H55" i="3"/>
  <c r="G55" i="3"/>
  <c r="C55" i="3"/>
  <c r="V54" i="3"/>
  <c r="U54" i="3"/>
  <c r="T54" i="3"/>
  <c r="M54" i="3"/>
  <c r="L54" i="3"/>
  <c r="K54" i="3"/>
  <c r="J54" i="3"/>
  <c r="I54" i="3"/>
  <c r="H54" i="3"/>
  <c r="G54" i="3"/>
  <c r="C54" i="3"/>
  <c r="V53" i="3"/>
  <c r="U53" i="3"/>
  <c r="T53" i="3"/>
  <c r="M53" i="3"/>
  <c r="L53" i="3"/>
  <c r="K53" i="3"/>
  <c r="J53" i="3"/>
  <c r="I53" i="3"/>
  <c r="H53" i="3"/>
  <c r="G53" i="3"/>
  <c r="C53" i="3"/>
  <c r="M51" i="3"/>
  <c r="M106" i="3" s="1"/>
  <c r="J51" i="3"/>
  <c r="C51" i="3"/>
  <c r="V50" i="3"/>
  <c r="U50" i="3"/>
  <c r="M50" i="3"/>
  <c r="L50" i="3"/>
  <c r="K50" i="3"/>
  <c r="K51" i="3" s="1"/>
  <c r="J50" i="3"/>
  <c r="I50" i="3"/>
  <c r="H50" i="3"/>
  <c r="G50" i="3"/>
  <c r="C50" i="3"/>
  <c r="V49" i="3"/>
  <c r="U49" i="3"/>
  <c r="T49" i="3"/>
  <c r="M49" i="3"/>
  <c r="L49" i="3"/>
  <c r="K49" i="3"/>
  <c r="J49" i="3"/>
  <c r="I49" i="3"/>
  <c r="H49" i="3"/>
  <c r="G49" i="3"/>
  <c r="C49" i="3"/>
  <c r="V48" i="3"/>
  <c r="V51" i="3" s="1"/>
  <c r="U48" i="3"/>
  <c r="U51" i="3" s="1"/>
  <c r="T48" i="3"/>
  <c r="M48" i="3"/>
  <c r="L48" i="3"/>
  <c r="K48" i="3"/>
  <c r="J48" i="3"/>
  <c r="I48" i="3"/>
  <c r="I51" i="3" s="1"/>
  <c r="H48" i="3"/>
  <c r="H51" i="3" s="1"/>
  <c r="G48" i="3"/>
  <c r="C48" i="3"/>
  <c r="C46" i="3"/>
  <c r="C44" i="3"/>
  <c r="V43" i="3"/>
  <c r="U43" i="3"/>
  <c r="U44" i="3" s="1"/>
  <c r="T43" i="3"/>
  <c r="T44" i="3" s="1"/>
  <c r="M43" i="3"/>
  <c r="L43" i="3"/>
  <c r="L44" i="3" s="1"/>
  <c r="K43" i="3"/>
  <c r="J43" i="3"/>
  <c r="I43" i="3"/>
  <c r="H43" i="3"/>
  <c r="G43" i="3"/>
  <c r="C43" i="3"/>
  <c r="W42" i="3"/>
  <c r="V42" i="3"/>
  <c r="U42" i="3"/>
  <c r="T42" i="3"/>
  <c r="N42" i="3"/>
  <c r="M42" i="3"/>
  <c r="L42" i="3"/>
  <c r="K42" i="3"/>
  <c r="J42" i="3"/>
  <c r="I42" i="3"/>
  <c r="H42" i="3"/>
  <c r="G42" i="3"/>
  <c r="C42" i="3"/>
  <c r="V41" i="3"/>
  <c r="V44" i="3" s="1"/>
  <c r="U41" i="3"/>
  <c r="T41" i="3"/>
  <c r="M41" i="3"/>
  <c r="L41" i="3"/>
  <c r="K41" i="3"/>
  <c r="J41" i="3"/>
  <c r="I41" i="3"/>
  <c r="H41" i="3"/>
  <c r="G41" i="3"/>
  <c r="C41" i="3"/>
  <c r="V40" i="3"/>
  <c r="U40" i="3"/>
  <c r="T40" i="3"/>
  <c r="M40" i="3"/>
  <c r="L40" i="3"/>
  <c r="K40" i="3"/>
  <c r="K44" i="3" s="1"/>
  <c r="J40" i="3"/>
  <c r="I40" i="3"/>
  <c r="H40" i="3"/>
  <c r="G40" i="3"/>
  <c r="G44" i="3" s="1"/>
  <c r="C40" i="3"/>
  <c r="H38" i="3"/>
  <c r="H104" i="3" s="1"/>
  <c r="G38" i="3"/>
  <c r="C38" i="3"/>
  <c r="V37" i="3"/>
  <c r="V38" i="3" s="1"/>
  <c r="U37" i="3"/>
  <c r="T37" i="3"/>
  <c r="M37" i="3"/>
  <c r="M38" i="3" s="1"/>
  <c r="L37" i="3"/>
  <c r="L38" i="3" s="1"/>
  <c r="K37" i="3"/>
  <c r="J37" i="3"/>
  <c r="I37" i="3"/>
  <c r="H37" i="3"/>
  <c r="G37" i="3"/>
  <c r="C37" i="3"/>
  <c r="V36" i="3"/>
  <c r="U36" i="3"/>
  <c r="T36" i="3"/>
  <c r="M36" i="3"/>
  <c r="L36" i="3"/>
  <c r="K36" i="3"/>
  <c r="J36" i="3"/>
  <c r="I36" i="3"/>
  <c r="H36" i="3"/>
  <c r="G36" i="3"/>
  <c r="C36" i="3"/>
  <c r="V35" i="3"/>
  <c r="U35" i="3"/>
  <c r="T35" i="3"/>
  <c r="M35" i="3"/>
  <c r="L35" i="3"/>
  <c r="K35" i="3"/>
  <c r="J35" i="3"/>
  <c r="I35" i="3"/>
  <c r="H35" i="3"/>
  <c r="G35" i="3"/>
  <c r="C35" i="3"/>
  <c r="V34" i="3"/>
  <c r="T34" i="3"/>
  <c r="M34" i="3"/>
  <c r="L34" i="3"/>
  <c r="K34" i="3"/>
  <c r="J34" i="3"/>
  <c r="J38" i="3" s="1"/>
  <c r="J104" i="3" s="1"/>
  <c r="I34" i="3"/>
  <c r="I38" i="3" s="1"/>
  <c r="I104" i="3" s="1"/>
  <c r="H34" i="3"/>
  <c r="H105" i="3" s="1"/>
  <c r="G34" i="3"/>
  <c r="C34" i="3"/>
  <c r="C32" i="3"/>
  <c r="T31" i="3"/>
  <c r="T72" i="3" s="1"/>
  <c r="G31" i="3"/>
  <c r="C27" i="3"/>
  <c r="C23" i="3"/>
  <c r="C19" i="3"/>
  <c r="H16" i="3"/>
  <c r="H78" i="3" s="1"/>
  <c r="H15" i="3"/>
  <c r="C15" i="3"/>
  <c r="J12" i="3"/>
  <c r="J76" i="3" s="1"/>
  <c r="J11" i="3"/>
  <c r="I11" i="3"/>
  <c r="I12" i="3" s="1"/>
  <c r="I76" i="3" s="1"/>
  <c r="H11" i="3"/>
  <c r="H12" i="3" s="1"/>
  <c r="H76" i="3" s="1"/>
  <c r="C11" i="3"/>
  <c r="M9" i="3"/>
  <c r="L9" i="3"/>
  <c r="V8" i="3"/>
  <c r="M8" i="3"/>
  <c r="L8" i="3"/>
  <c r="K8" i="3"/>
  <c r="J8" i="3"/>
  <c r="I8" i="3"/>
  <c r="H8" i="3"/>
  <c r="G8" i="3"/>
  <c r="C8" i="3"/>
  <c r="B21" i="4" s="1"/>
  <c r="C6" i="3"/>
  <c r="V4" i="3"/>
  <c r="C2" i="3"/>
  <c r="C1" i="3"/>
  <c r="F35" i="2"/>
  <c r="F25" i="2"/>
  <c r="C1" i="2"/>
  <c r="AV14" i="11" l="1"/>
  <c r="AV31" i="11"/>
  <c r="D33" i="11"/>
  <c r="AV30" i="11"/>
  <c r="AV32" i="11"/>
  <c r="AV33" i="11"/>
  <c r="Z34" i="11"/>
  <c r="P93" i="17"/>
  <c r="O93" i="17" s="1"/>
  <c r="D15" i="11"/>
  <c r="C36" i="13" s="1"/>
  <c r="J72" i="11"/>
  <c r="J78" i="11" s="1"/>
  <c r="AV15" i="11"/>
  <c r="AD60" i="11"/>
  <c r="AL62" i="11"/>
  <c r="AV13" i="11"/>
  <c r="AM62" i="11"/>
  <c r="T61" i="11"/>
  <c r="BB72" i="11"/>
  <c r="BB81" i="11" s="1"/>
  <c r="N79" i="11"/>
  <c r="AG79" i="11"/>
  <c r="AE60" i="11"/>
  <c r="BG79" i="11"/>
  <c r="P77" i="17"/>
  <c r="O77" i="17" s="1"/>
  <c r="L59" i="11"/>
  <c r="AM60" i="11"/>
  <c r="BN61" i="11"/>
  <c r="N80" i="11"/>
  <c r="E29" i="17"/>
  <c r="E30" i="17" s="1"/>
  <c r="D12" i="11"/>
  <c r="C33" i="13" s="1"/>
  <c r="D31" i="11"/>
  <c r="AG80" i="11"/>
  <c r="P13" i="17"/>
  <c r="D13" i="11"/>
  <c r="C34" i="13" s="1"/>
  <c r="AY81" i="11"/>
  <c r="BF59" i="11"/>
  <c r="L61" i="11"/>
  <c r="AG78" i="11"/>
  <c r="BG81" i="11"/>
  <c r="AV12" i="11"/>
  <c r="AE59" i="11"/>
  <c r="S60" i="11"/>
  <c r="BM60" i="11"/>
  <c r="BE61" i="11"/>
  <c r="AD62" i="11"/>
  <c r="P45" i="17"/>
  <c r="D34" i="11"/>
  <c r="AM59" i="11"/>
  <c r="BN60" i="11"/>
  <c r="BF61" i="11"/>
  <c r="AE62" i="11"/>
  <c r="AO78" i="11"/>
  <c r="BG80" i="11"/>
  <c r="P46" i="17"/>
  <c r="O46" i="17" s="1"/>
  <c r="I80" i="11"/>
  <c r="BJ80" i="11"/>
  <c r="BE59" i="11"/>
  <c r="BM61" i="11"/>
  <c r="AJ81" i="11"/>
  <c r="P29" i="17"/>
  <c r="K59" i="11"/>
  <c r="AL60" i="11"/>
  <c r="Q80" i="11"/>
  <c r="BM59" i="11"/>
  <c r="BE62" i="11"/>
  <c r="AJ79" i="11"/>
  <c r="P30" i="17"/>
  <c r="O30" i="17" s="1"/>
  <c r="T59" i="11"/>
  <c r="BN59" i="11"/>
  <c r="L62" i="11"/>
  <c r="AF72" i="11"/>
  <c r="AF81" i="11" s="1"/>
  <c r="AO79" i="11"/>
  <c r="AO80" i="11"/>
  <c r="E45" i="17"/>
  <c r="E51" i="17" s="1"/>
  <c r="Q51" i="17" s="1"/>
  <c r="D16" i="11"/>
  <c r="C37" i="13" s="1"/>
  <c r="Z33" i="11"/>
  <c r="AY79" i="11"/>
  <c r="AY80" i="11"/>
  <c r="L46" i="3"/>
  <c r="V106" i="3"/>
  <c r="F52" i="4" s="1"/>
  <c r="V104" i="3"/>
  <c r="F50" i="4" s="1"/>
  <c r="V105" i="3"/>
  <c r="F51" i="4" s="1"/>
  <c r="H44" i="3"/>
  <c r="T93" i="3"/>
  <c r="D46" i="4" s="1"/>
  <c r="W232" i="7"/>
  <c r="W228" i="7"/>
  <c r="X227" i="7"/>
  <c r="K9" i="3"/>
  <c r="M93" i="3"/>
  <c r="M61" i="4"/>
  <c r="H177" i="7"/>
  <c r="H59" i="7"/>
  <c r="H103" i="7"/>
  <c r="H109" i="7" s="1"/>
  <c r="H110" i="7" s="1"/>
  <c r="P177" i="7"/>
  <c r="P59" i="7"/>
  <c r="P103" i="7"/>
  <c r="P109" i="7" s="1"/>
  <c r="P110" i="7" s="1"/>
  <c r="X9" i="9"/>
  <c r="X36" i="7"/>
  <c r="Z65" i="7"/>
  <c r="X38" i="7"/>
  <c r="W172" i="7"/>
  <c r="X167" i="7"/>
  <c r="O183" i="8"/>
  <c r="O184" i="8"/>
  <c r="H53" i="7"/>
  <c r="H165" i="7"/>
  <c r="H91" i="7"/>
  <c r="H97" i="7" s="1"/>
  <c r="P53" i="7"/>
  <c r="P165" i="7"/>
  <c r="P91" i="7"/>
  <c r="P97" i="7" s="1"/>
  <c r="X8" i="9"/>
  <c r="X33" i="7"/>
  <c r="Q65" i="7"/>
  <c r="Q115" i="7"/>
  <c r="Q121" i="7" s="1"/>
  <c r="G232" i="7"/>
  <c r="Y92" i="7"/>
  <c r="Z92" i="7"/>
  <c r="I115" i="7"/>
  <c r="I121" i="7" s="1"/>
  <c r="I122" i="7" s="1"/>
  <c r="Z121" i="7"/>
  <c r="AA121" i="7" s="1"/>
  <c r="AB121" i="7" s="1"/>
  <c r="AC121" i="7" s="1"/>
  <c r="X115" i="7"/>
  <c r="G167" i="7"/>
  <c r="P208" i="7"/>
  <c r="T203" i="7"/>
  <c r="P204" i="7"/>
  <c r="M220" i="7"/>
  <c r="O215" i="7"/>
  <c r="Z44" i="7"/>
  <c r="X44" i="7"/>
  <c r="Z152" i="7"/>
  <c r="Y152" i="7"/>
  <c r="X151" i="7"/>
  <c r="L184" i="7"/>
  <c r="J44" i="8"/>
  <c r="AA140" i="7"/>
  <c r="M196" i="7"/>
  <c r="M192" i="7"/>
  <c r="K38" i="3"/>
  <c r="K106" i="3"/>
  <c r="K105" i="3"/>
  <c r="G65" i="3"/>
  <c r="G68" i="3" s="1"/>
  <c r="G93" i="3" s="1"/>
  <c r="H5" i="19"/>
  <c r="H5" i="18"/>
  <c r="N50" i="14"/>
  <c r="V8" i="11"/>
  <c r="V49" i="11" s="1"/>
  <c r="J8" i="11"/>
  <c r="R8" i="11"/>
  <c r="R49" i="11" s="1"/>
  <c r="P8" i="11"/>
  <c r="P49" i="11" s="1"/>
  <c r="AF8" i="11"/>
  <c r="AF49" i="11" s="1"/>
  <c r="T8" i="11"/>
  <c r="T49" i="11" s="1"/>
  <c r="N8" i="11"/>
  <c r="N49" i="11" s="1"/>
  <c r="BB8" i="11"/>
  <c r="BB49" i="11" s="1"/>
  <c r="L8" i="11"/>
  <c r="L49" i="11" s="1"/>
  <c r="I44" i="3"/>
  <c r="L51" i="3"/>
  <c r="H65" i="3"/>
  <c r="H68" i="3" s="1"/>
  <c r="H93" i="3" s="1"/>
  <c r="R101" i="3"/>
  <c r="N213" i="14"/>
  <c r="R213" i="14" s="1"/>
  <c r="R135" i="14"/>
  <c r="M7" i="13"/>
  <c r="N135" i="14"/>
  <c r="C7" i="14"/>
  <c r="E7" i="14" s="1"/>
  <c r="R282" i="14"/>
  <c r="K74" i="14"/>
  <c r="R74" i="14" s="1"/>
  <c r="AB74" i="14"/>
  <c r="J44" i="3"/>
  <c r="J93" i="3"/>
  <c r="V93" i="3"/>
  <c r="F46" i="4" s="1"/>
  <c r="I65" i="3"/>
  <c r="I68" i="3" s="1"/>
  <c r="I93" i="3" s="1"/>
  <c r="U65" i="3"/>
  <c r="U68" i="3" s="1"/>
  <c r="Y101" i="3"/>
  <c r="I71" i="4" s="1"/>
  <c r="I105" i="3"/>
  <c r="I106" i="3"/>
  <c r="M103" i="7"/>
  <c r="M109" i="7" s="1"/>
  <c r="M110" i="7" s="1"/>
  <c r="M59" i="7"/>
  <c r="M177" i="7"/>
  <c r="M179" i="7" s="1"/>
  <c r="S228" i="7"/>
  <c r="N110" i="7"/>
  <c r="H46" i="3"/>
  <c r="H97" i="3" s="1"/>
  <c r="V46" i="3"/>
  <c r="V94" i="3" s="1"/>
  <c r="F47" i="4" s="1"/>
  <c r="I46" i="3"/>
  <c r="I94" i="3" s="1"/>
  <c r="K93" i="3"/>
  <c r="L105" i="3"/>
  <c r="T19" i="5"/>
  <c r="T20" i="5" s="1"/>
  <c r="AB35" i="7"/>
  <c r="AA35" i="7"/>
  <c r="Z35" i="7"/>
  <c r="C28" i="16"/>
  <c r="C31" i="16" s="1"/>
  <c r="C165" i="7"/>
  <c r="C53" i="7"/>
  <c r="M53" i="7"/>
  <c r="M165" i="7"/>
  <c r="M167" i="7" s="1"/>
  <c r="M91" i="7"/>
  <c r="M97" i="7" s="1"/>
  <c r="U165" i="7"/>
  <c r="U91" i="7"/>
  <c r="Y32" i="7"/>
  <c r="U53" i="7"/>
  <c r="Y53" i="7" s="1"/>
  <c r="V184" i="7"/>
  <c r="L172" i="7"/>
  <c r="H179" i="7"/>
  <c r="G104" i="3"/>
  <c r="G46" i="3"/>
  <c r="G97" i="3" s="1"/>
  <c r="V19" i="5"/>
  <c r="V20" i="5" s="1"/>
  <c r="U5" i="5"/>
  <c r="U19" i="5" s="1"/>
  <c r="J101" i="3"/>
  <c r="R228" i="7"/>
  <c r="R232" i="7"/>
  <c r="K66" i="8"/>
  <c r="K7" i="10" s="1"/>
  <c r="K36" i="8"/>
  <c r="G105" i="3"/>
  <c r="T38" i="3"/>
  <c r="M44" i="3"/>
  <c r="M46" i="3" s="1"/>
  <c r="J46" i="3"/>
  <c r="J97" i="3" s="1"/>
  <c r="G51" i="3"/>
  <c r="U93" i="3"/>
  <c r="E46" i="4" s="1"/>
  <c r="K68" i="4"/>
  <c r="AA101" i="3"/>
  <c r="K71" i="4" s="1"/>
  <c r="M104" i="3"/>
  <c r="M105" i="3"/>
  <c r="U25" i="5"/>
  <c r="F172" i="7"/>
  <c r="G184" i="7"/>
  <c r="Y65" i="7"/>
  <c r="AA77" i="7"/>
  <c r="AB77" i="7" s="1"/>
  <c r="AC77" i="7" s="1"/>
  <c r="AC44" i="7" s="1"/>
  <c r="L213" i="7"/>
  <c r="L215" i="7" s="1"/>
  <c r="M216" i="7" s="1"/>
  <c r="L77" i="7"/>
  <c r="L139" i="7"/>
  <c r="L145" i="7" s="1"/>
  <c r="T213" i="7"/>
  <c r="T77" i="7"/>
  <c r="T139" i="7"/>
  <c r="T145" i="7" s="1"/>
  <c r="T146" i="7" s="1"/>
  <c r="O225" i="7"/>
  <c r="O151" i="7"/>
  <c r="O83" i="7"/>
  <c r="W71" i="7"/>
  <c r="X71" i="7" s="1"/>
  <c r="W83" i="7"/>
  <c r="X83" i="7" s="1"/>
  <c r="X47" i="7" s="1"/>
  <c r="P139" i="7"/>
  <c r="P145" i="7" s="1"/>
  <c r="P146" i="7" s="1"/>
  <c r="F196" i="7"/>
  <c r="J191" i="7"/>
  <c r="J196" i="7" s="1"/>
  <c r="J203" i="7"/>
  <c r="J208" i="7" s="1"/>
  <c r="F208" i="7"/>
  <c r="V208" i="7"/>
  <c r="T69" i="8"/>
  <c r="T50" i="10" s="1"/>
  <c r="W187" i="8"/>
  <c r="W140" i="10" s="1"/>
  <c r="C48" i="16"/>
  <c r="C51" i="16" s="1"/>
  <c r="C103" i="7"/>
  <c r="C177" i="7"/>
  <c r="J105" i="3"/>
  <c r="N165" i="7"/>
  <c r="N167" i="7" s="1"/>
  <c r="N91" i="7"/>
  <c r="N97" i="7" s="1"/>
  <c r="N98" i="7" s="1"/>
  <c r="N59" i="7"/>
  <c r="N177" i="7"/>
  <c r="N179" i="7" s="1"/>
  <c r="O121" i="7"/>
  <c r="H127" i="7"/>
  <c r="H133" i="7" s="1"/>
  <c r="H71" i="7"/>
  <c r="K48" i="16"/>
  <c r="K51" i="16" s="1"/>
  <c r="C77" i="7"/>
  <c r="C213" i="7"/>
  <c r="M77" i="7"/>
  <c r="M139" i="7"/>
  <c r="M145" i="7" s="1"/>
  <c r="M146" i="7" s="1"/>
  <c r="H225" i="7"/>
  <c r="H227" i="7" s="1"/>
  <c r="H151" i="7"/>
  <c r="H83" i="7"/>
  <c r="P225" i="7"/>
  <c r="P227" i="7" s="1"/>
  <c r="P151" i="7"/>
  <c r="P83" i="7"/>
  <c r="F53" i="7"/>
  <c r="AB59" i="7"/>
  <c r="AC59" i="7" s="1"/>
  <c r="AC35" i="7" s="1"/>
  <c r="N65" i="7"/>
  <c r="P77" i="7"/>
  <c r="V91" i="7"/>
  <c r="V97" i="7" s="1"/>
  <c r="U109" i="7"/>
  <c r="M134" i="7"/>
  <c r="U139" i="7"/>
  <c r="X145" i="7"/>
  <c r="Z145" i="7" s="1"/>
  <c r="AA145" i="7" s="1"/>
  <c r="AB145" i="7" s="1"/>
  <c r="AC145" i="7" s="1"/>
  <c r="F177" i="7"/>
  <c r="F179" i="7" s="1"/>
  <c r="G196" i="7"/>
  <c r="G192" i="7"/>
  <c r="X191" i="7"/>
  <c r="W192" i="7"/>
  <c r="G220" i="7"/>
  <c r="Q154" i="9"/>
  <c r="Q42" i="8"/>
  <c r="J220" i="8"/>
  <c r="T200" i="8"/>
  <c r="T92" i="10" s="1"/>
  <c r="F115" i="7"/>
  <c r="F121" i="7" s="1"/>
  <c r="G122" i="7" s="1"/>
  <c r="F65" i="7"/>
  <c r="G127" i="7"/>
  <c r="G133" i="7" s="1"/>
  <c r="G71" i="7"/>
  <c r="G106" i="3"/>
  <c r="C10" i="7"/>
  <c r="G165" i="7"/>
  <c r="G91" i="7"/>
  <c r="G97" i="7" s="1"/>
  <c r="G98" i="7" s="1"/>
  <c r="O165" i="7"/>
  <c r="O91" i="7"/>
  <c r="O97" i="7" s="1"/>
  <c r="T98" i="7" s="1"/>
  <c r="Z53" i="7"/>
  <c r="O59" i="7"/>
  <c r="O177" i="7"/>
  <c r="O103" i="7"/>
  <c r="O109" i="7" s="1"/>
  <c r="X109" i="7"/>
  <c r="Q127" i="7"/>
  <c r="Q133" i="7" s="1"/>
  <c r="Q134" i="7" s="1"/>
  <c r="Q71" i="7"/>
  <c r="F213" i="7"/>
  <c r="F215" i="7" s="1"/>
  <c r="F139" i="7"/>
  <c r="F145" i="7" s="1"/>
  <c r="G53" i="7"/>
  <c r="AD59" i="7"/>
  <c r="AE59" i="7" s="1"/>
  <c r="AF59" i="7" s="1"/>
  <c r="AG59" i="7" s="1"/>
  <c r="AG35" i="7" s="1"/>
  <c r="W91" i="7"/>
  <c r="W97" i="7" s="1"/>
  <c r="V139" i="7"/>
  <c r="V145" i="7" s="1"/>
  <c r="G151" i="7"/>
  <c r="AD172" i="7"/>
  <c r="H208" i="7"/>
  <c r="H204" i="7"/>
  <c r="X203" i="7"/>
  <c r="W204" i="7"/>
  <c r="H213" i="7"/>
  <c r="H215" i="7" s="1"/>
  <c r="I232" i="7"/>
  <c r="J68" i="8"/>
  <c r="J45" i="10" s="1"/>
  <c r="O41" i="14"/>
  <c r="AD62" i="10"/>
  <c r="T67" i="8"/>
  <c r="T40" i="10" s="1"/>
  <c r="K219" i="8"/>
  <c r="K130" i="8"/>
  <c r="K132" i="8" s="1"/>
  <c r="O188" i="8"/>
  <c r="O145" i="10" s="1"/>
  <c r="I59" i="11"/>
  <c r="I61" i="11"/>
  <c r="I62" i="11"/>
  <c r="I60" i="11"/>
  <c r="Q59" i="11"/>
  <c r="Q60" i="11"/>
  <c r="Q61" i="11"/>
  <c r="Q62" i="11"/>
  <c r="AJ60" i="11"/>
  <c r="AJ59" i="11"/>
  <c r="AJ62" i="11"/>
  <c r="AJ61" i="11"/>
  <c r="AR60" i="11"/>
  <c r="AR59" i="11"/>
  <c r="AR62" i="11"/>
  <c r="AR61" i="11"/>
  <c r="BC62" i="11"/>
  <c r="BC59" i="11"/>
  <c r="BC60" i="11"/>
  <c r="BC61" i="11"/>
  <c r="Y35" i="7"/>
  <c r="S151" i="7"/>
  <c r="S83" i="7"/>
  <c r="V65" i="7"/>
  <c r="O117" i="7"/>
  <c r="T117" i="7"/>
  <c r="S127" i="7"/>
  <c r="S133" i="7" s="1"/>
  <c r="S134" i="7" s="1"/>
  <c r="X127" i="7"/>
  <c r="Z128" i="7"/>
  <c r="N220" i="7"/>
  <c r="N216" i="7"/>
  <c r="Q228" i="7"/>
  <c r="Q232" i="7"/>
  <c r="S25" i="8"/>
  <c r="R24" i="8"/>
  <c r="L202" i="8"/>
  <c r="L200" i="8"/>
  <c r="L92" i="10" s="1"/>
  <c r="L249" i="8"/>
  <c r="L182" i="8"/>
  <c r="L113" i="10" s="1"/>
  <c r="L70" i="8"/>
  <c r="L57" i="10" s="1"/>
  <c r="L67" i="8"/>
  <c r="L40" i="10" s="1"/>
  <c r="L30" i="8"/>
  <c r="O30" i="8" s="1"/>
  <c r="L68" i="8"/>
  <c r="L45" i="10" s="1"/>
  <c r="L69" i="8"/>
  <c r="L50" i="10" s="1"/>
  <c r="I53" i="7"/>
  <c r="I165" i="7"/>
  <c r="I167" i="7" s="1"/>
  <c r="I91" i="7"/>
  <c r="I97" i="7" s="1"/>
  <c r="I98" i="7" s="1"/>
  <c r="I177" i="7"/>
  <c r="I59" i="7"/>
  <c r="I103" i="7"/>
  <c r="I109" i="7" s="1"/>
  <c r="I110" i="7" s="1"/>
  <c r="J106" i="3"/>
  <c r="J177" i="7"/>
  <c r="J59" i="7"/>
  <c r="R177" i="7"/>
  <c r="R179" i="7" s="1"/>
  <c r="R59" i="7"/>
  <c r="K65" i="7"/>
  <c r="K115" i="7"/>
  <c r="K121" i="7" s="1"/>
  <c r="K122" i="7" s="1"/>
  <c r="S65" i="7"/>
  <c r="S115" i="7"/>
  <c r="S121" i="7" s="1"/>
  <c r="T71" i="7"/>
  <c r="T127" i="7"/>
  <c r="T133" i="7" s="1"/>
  <c r="T134" i="7" s="1"/>
  <c r="I139" i="7"/>
  <c r="I145" i="7" s="1"/>
  <c r="I146" i="7" s="1"/>
  <c r="I77" i="7"/>
  <c r="I213" i="7"/>
  <c r="I215" i="7" s="1"/>
  <c r="Q139" i="7"/>
  <c r="Q145" i="7" s="1"/>
  <c r="Q146" i="7" s="1"/>
  <c r="Q213" i="7"/>
  <c r="Q215" i="7" s="1"/>
  <c r="Y44" i="7"/>
  <c r="L151" i="7"/>
  <c r="L83" i="7"/>
  <c r="AI47" i="7"/>
  <c r="T151" i="7"/>
  <c r="T83" i="7"/>
  <c r="N53" i="7"/>
  <c r="F77" i="7"/>
  <c r="AA86" i="7"/>
  <c r="Z84" i="7"/>
  <c r="V103" i="7"/>
  <c r="V109" i="7" s="1"/>
  <c r="V110" i="7" s="1"/>
  <c r="AA104" i="7"/>
  <c r="L115" i="7"/>
  <c r="L121" i="7" s="1"/>
  <c r="Y128" i="7"/>
  <c r="G146" i="7"/>
  <c r="X139" i="7"/>
  <c r="S165" i="7"/>
  <c r="S167" i="7" s="1"/>
  <c r="H167" i="7"/>
  <c r="I179" i="7"/>
  <c r="O191" i="7"/>
  <c r="P196" i="7"/>
  <c r="T191" i="7"/>
  <c r="P192" i="7"/>
  <c r="L192" i="7"/>
  <c r="G204" i="7"/>
  <c r="F225" i="7"/>
  <c r="F227" i="7" s="1"/>
  <c r="G228" i="7" s="1"/>
  <c r="T25" i="8"/>
  <c r="O24" i="8"/>
  <c r="Y24" i="8"/>
  <c r="O67" i="8"/>
  <c r="O40" i="10" s="1"/>
  <c r="T182" i="8"/>
  <c r="X51" i="9"/>
  <c r="Y76" i="8"/>
  <c r="X34" i="8"/>
  <c r="Q53" i="7"/>
  <c r="Q165" i="7"/>
  <c r="Q167" i="7" s="1"/>
  <c r="Q91" i="7"/>
  <c r="Q97" i="7" s="1"/>
  <c r="Q98" i="7" s="1"/>
  <c r="Q177" i="7"/>
  <c r="Q179" i="7" s="1"/>
  <c r="Q59" i="7"/>
  <c r="Q103" i="7"/>
  <c r="Q109" i="7" s="1"/>
  <c r="Q110" i="7" s="1"/>
  <c r="R65" i="7"/>
  <c r="R115" i="7"/>
  <c r="R121" i="7" s="1"/>
  <c r="R122" i="7" s="1"/>
  <c r="K71" i="7"/>
  <c r="K127" i="7"/>
  <c r="K133" i="7" s="1"/>
  <c r="K134" i="7" s="1"/>
  <c r="K151" i="7"/>
  <c r="K83" i="7"/>
  <c r="J115" i="7"/>
  <c r="J121" i="7" s="1"/>
  <c r="G57" i="3"/>
  <c r="K98" i="7"/>
  <c r="K103" i="7"/>
  <c r="K109" i="7" s="1"/>
  <c r="K177" i="7"/>
  <c r="S103" i="7"/>
  <c r="S109" i="7" s="1"/>
  <c r="S110" i="7" s="1"/>
  <c r="S177" i="7"/>
  <c r="S179" i="7" s="1"/>
  <c r="C14" i="7"/>
  <c r="C201" i="7"/>
  <c r="U127" i="7"/>
  <c r="U71" i="7"/>
  <c r="J139" i="7"/>
  <c r="J145" i="7" s="1"/>
  <c r="O146" i="7" s="1"/>
  <c r="J213" i="7"/>
  <c r="J77" i="7"/>
  <c r="R139" i="7"/>
  <c r="R145" i="7" s="1"/>
  <c r="R146" i="7" s="1"/>
  <c r="R213" i="7"/>
  <c r="R215" i="7" s="1"/>
  <c r="C151" i="7"/>
  <c r="C83" i="7"/>
  <c r="M151" i="7"/>
  <c r="M83" i="7"/>
  <c r="M225" i="7"/>
  <c r="M227" i="7" s="1"/>
  <c r="U151" i="7"/>
  <c r="U83" i="7"/>
  <c r="Y83" i="7" s="1"/>
  <c r="U225" i="7"/>
  <c r="O53" i="7"/>
  <c r="H65" i="7"/>
  <c r="O71" i="7"/>
  <c r="L91" i="7"/>
  <c r="L97" i="7" s="1"/>
  <c r="L98" i="7" s="1"/>
  <c r="P115" i="7"/>
  <c r="P121" i="7" s="1"/>
  <c r="P122" i="7" s="1"/>
  <c r="Z116" i="7"/>
  <c r="H139" i="7"/>
  <c r="H145" i="7" s="1"/>
  <c r="H146" i="7" s="1"/>
  <c r="AA157" i="7"/>
  <c r="AB157" i="7" s="1"/>
  <c r="AC157" i="7" s="1"/>
  <c r="T165" i="7"/>
  <c r="U177" i="7"/>
  <c r="Q192" i="7"/>
  <c r="Q196" i="7"/>
  <c r="N192" i="7"/>
  <c r="S196" i="7"/>
  <c r="L208" i="7"/>
  <c r="M204" i="7"/>
  <c r="O203" i="7"/>
  <c r="Q208" i="7"/>
  <c r="Q204" i="7"/>
  <c r="L204" i="7"/>
  <c r="U213" i="7"/>
  <c r="W220" i="7"/>
  <c r="X215" i="7"/>
  <c r="K225" i="7"/>
  <c r="K227" i="7" s="1"/>
  <c r="AD232" i="7"/>
  <c r="N202" i="8"/>
  <c r="N200" i="8"/>
  <c r="N92" i="10" s="1"/>
  <c r="N182" i="8"/>
  <c r="N113" i="10" s="1"/>
  <c r="N70" i="8"/>
  <c r="N57" i="10" s="1"/>
  <c r="N69" i="8"/>
  <c r="N50" i="10" s="1"/>
  <c r="N30" i="8"/>
  <c r="N68" i="8"/>
  <c r="N45" i="10" s="1"/>
  <c r="N67" i="8"/>
  <c r="N40" i="10" s="1"/>
  <c r="K31" i="14"/>
  <c r="V186" i="8"/>
  <c r="V123" i="10" s="1"/>
  <c r="V200" i="8"/>
  <c r="V92" i="10" s="1"/>
  <c r="V70" i="8"/>
  <c r="V57" i="10" s="1"/>
  <c r="V69" i="8"/>
  <c r="V50" i="10" s="1"/>
  <c r="V30" i="8"/>
  <c r="V68" i="8"/>
  <c r="V45" i="10" s="1"/>
  <c r="V67" i="8"/>
  <c r="V40" i="10" s="1"/>
  <c r="V182" i="8"/>
  <c r="R66" i="8"/>
  <c r="R7" i="10" s="1"/>
  <c r="R36" i="8"/>
  <c r="K34" i="14"/>
  <c r="K59" i="9"/>
  <c r="O60" i="8"/>
  <c r="Y194" i="8"/>
  <c r="V201" i="8"/>
  <c r="V72" i="10" s="1"/>
  <c r="V109" i="8"/>
  <c r="V208" i="8"/>
  <c r="V214" i="8" s="1"/>
  <c r="V85" i="10" s="1"/>
  <c r="V202" i="8"/>
  <c r="K226" i="8"/>
  <c r="C16" i="7"/>
  <c r="L110" i="7"/>
  <c r="C115" i="7"/>
  <c r="C189" i="7"/>
  <c r="C65" i="7"/>
  <c r="U121" i="7"/>
  <c r="U122" i="7" s="1"/>
  <c r="Y115" i="7"/>
  <c r="F127" i="7"/>
  <c r="F133" i="7" s="1"/>
  <c r="F71" i="7"/>
  <c r="N134" i="7"/>
  <c r="V127" i="7"/>
  <c r="V133" i="7" s="1"/>
  <c r="V71" i="7"/>
  <c r="N83" i="7"/>
  <c r="N225" i="7"/>
  <c r="N227" i="7" s="1"/>
  <c r="N151" i="7"/>
  <c r="V83" i="7"/>
  <c r="V151" i="7"/>
  <c r="C59" i="7"/>
  <c r="U59" i="7"/>
  <c r="Y59" i="7" s="1"/>
  <c r="P71" i="7"/>
  <c r="N77" i="7"/>
  <c r="T115" i="7"/>
  <c r="T121" i="7" s="1"/>
  <c r="T122" i="7" s="1"/>
  <c r="W122" i="7"/>
  <c r="V165" i="7"/>
  <c r="V167" i="7" s="1"/>
  <c r="W168" i="7" s="1"/>
  <c r="W177" i="7"/>
  <c r="W179" i="7" s="1"/>
  <c r="N204" i="7"/>
  <c r="V213" i="7"/>
  <c r="V215" i="7" s="1"/>
  <c r="L225" i="7"/>
  <c r="L227" i="7" s="1"/>
  <c r="F299" i="8"/>
  <c r="F249" i="8"/>
  <c r="F202" i="8"/>
  <c r="F69" i="8"/>
  <c r="F50" i="10" s="1"/>
  <c r="J28" i="8"/>
  <c r="F68" i="8"/>
  <c r="F45" i="10" s="1"/>
  <c r="F30" i="8"/>
  <c r="F67" i="8"/>
  <c r="F40" i="10" s="1"/>
  <c r="O28" i="8"/>
  <c r="L31" i="14"/>
  <c r="W69" i="8"/>
  <c r="W50" i="10" s="1"/>
  <c r="W67" i="8"/>
  <c r="W40" i="10" s="1"/>
  <c r="W186" i="8"/>
  <c r="W123" i="10" s="1"/>
  <c r="W182" i="8"/>
  <c r="W202" i="8"/>
  <c r="W70" i="8"/>
  <c r="W57" i="10" s="1"/>
  <c r="W30" i="8"/>
  <c r="W68" i="8"/>
  <c r="W45" i="10" s="1"/>
  <c r="J69" i="8"/>
  <c r="J50" i="10" s="1"/>
  <c r="H264" i="8"/>
  <c r="H265" i="8" s="1"/>
  <c r="J267" i="8"/>
  <c r="J264" i="8" s="1"/>
  <c r="R264" i="8"/>
  <c r="R265" i="8" s="1"/>
  <c r="R273" i="8"/>
  <c r="R101" i="10" s="1"/>
  <c r="M182" i="8"/>
  <c r="M113" i="10" s="1"/>
  <c r="M200" i="8"/>
  <c r="M92" i="10" s="1"/>
  <c r="M70" i="8"/>
  <c r="M57" i="10" s="1"/>
  <c r="M249" i="8"/>
  <c r="M202" i="8"/>
  <c r="M69" i="8"/>
  <c r="M50" i="10" s="1"/>
  <c r="J31" i="14"/>
  <c r="U249" i="8"/>
  <c r="U202" i="8"/>
  <c r="U182" i="8"/>
  <c r="U200" i="8"/>
  <c r="U92" i="10" s="1"/>
  <c r="U67" i="8"/>
  <c r="U40" i="10" s="1"/>
  <c r="M30" i="8"/>
  <c r="T68" i="8"/>
  <c r="T45" i="10" s="1"/>
  <c r="M41" i="14"/>
  <c r="Y40" i="8"/>
  <c r="H34" i="14"/>
  <c r="U70" i="8"/>
  <c r="U57" i="10" s="1"/>
  <c r="AD90" i="8"/>
  <c r="AD98" i="8"/>
  <c r="AD108" i="10" s="1"/>
  <c r="I145" i="8"/>
  <c r="I156" i="8" s="1"/>
  <c r="J137" i="8"/>
  <c r="O200" i="8"/>
  <c r="O92" i="10" s="1"/>
  <c r="L252" i="8"/>
  <c r="Y252" i="8"/>
  <c r="U252" i="8"/>
  <c r="BK61" i="11"/>
  <c r="BK62" i="11"/>
  <c r="BK59" i="11"/>
  <c r="BK60" i="11"/>
  <c r="Z73" i="11"/>
  <c r="Z13" i="11" s="1"/>
  <c r="Z31" i="11"/>
  <c r="Y104" i="7"/>
  <c r="R192" i="7"/>
  <c r="U203" i="7"/>
  <c r="R204" i="7"/>
  <c r="G182" i="8"/>
  <c r="G69" i="8"/>
  <c r="G50" i="10" s="1"/>
  <c r="G67" i="8"/>
  <c r="G40" i="10" s="1"/>
  <c r="G202" i="8"/>
  <c r="G186" i="8"/>
  <c r="G123" i="10" s="1"/>
  <c r="G68" i="8"/>
  <c r="G45" i="10" s="1"/>
  <c r="G30" i="8"/>
  <c r="G70" i="8"/>
  <c r="G57" i="10" s="1"/>
  <c r="P249" i="8"/>
  <c r="P202" i="8"/>
  <c r="P200" i="8"/>
  <c r="P92" i="10" s="1"/>
  <c r="P182" i="8"/>
  <c r="P186" i="8"/>
  <c r="P123" i="10" s="1"/>
  <c r="P69" i="8"/>
  <c r="P50" i="10" s="1"/>
  <c r="P30" i="8"/>
  <c r="P68" i="8"/>
  <c r="P45" i="10" s="1"/>
  <c r="P70" i="8"/>
  <c r="P57" i="10" s="1"/>
  <c r="T184" i="8"/>
  <c r="T183" i="8"/>
  <c r="S66" i="8"/>
  <c r="S7" i="10" s="1"/>
  <c r="S36" i="8"/>
  <c r="O69" i="8"/>
  <c r="O50" i="10" s="1"/>
  <c r="S70" i="8"/>
  <c r="S57" i="10" s="1"/>
  <c r="T41" i="8"/>
  <c r="T70" i="8" s="1"/>
  <c r="T57" i="10" s="1"/>
  <c r="L219" i="8"/>
  <c r="L232" i="8" s="1"/>
  <c r="L128" i="10" s="1"/>
  <c r="L130" i="8"/>
  <c r="M186" i="8"/>
  <c r="M123" i="10" s="1"/>
  <c r="F187" i="8"/>
  <c r="F140" i="10" s="1"/>
  <c r="F170" i="8"/>
  <c r="O187" i="8"/>
  <c r="O140" i="10" s="1"/>
  <c r="O170" i="8"/>
  <c r="R170" i="8"/>
  <c r="R172" i="8" s="1"/>
  <c r="R174" i="8" s="1"/>
  <c r="R188" i="8"/>
  <c r="R145" i="10" s="1"/>
  <c r="AC289" i="8"/>
  <c r="AC93" i="8"/>
  <c r="AD241" i="8"/>
  <c r="AF289" i="8"/>
  <c r="AF93" i="8"/>
  <c r="J127" i="7"/>
  <c r="J133" i="7" s="1"/>
  <c r="O134" i="7" s="1"/>
  <c r="H196" i="7"/>
  <c r="H192" i="7"/>
  <c r="U191" i="7"/>
  <c r="AD196" i="7"/>
  <c r="I208" i="7"/>
  <c r="I204" i="7"/>
  <c r="H182" i="8"/>
  <c r="H113" i="10" s="1"/>
  <c r="H68" i="8"/>
  <c r="H45" i="10" s="1"/>
  <c r="H30" i="8"/>
  <c r="H200" i="8"/>
  <c r="H92" i="10" s="1"/>
  <c r="H67" i="8"/>
  <c r="H40" i="10" s="1"/>
  <c r="V184" i="8"/>
  <c r="V183" i="8"/>
  <c r="AD95" i="8"/>
  <c r="AD106" i="10" s="1"/>
  <c r="O124" i="8"/>
  <c r="O132" i="8" s="1"/>
  <c r="Q170" i="8"/>
  <c r="Q172" i="8" s="1"/>
  <c r="Q174" i="8" s="1"/>
  <c r="R184" i="8"/>
  <c r="H202" i="8"/>
  <c r="AA207" i="8"/>
  <c r="Z83" i="8"/>
  <c r="X149" i="8"/>
  <c r="X240" i="8"/>
  <c r="X279" i="8" s="1"/>
  <c r="Y279" i="8" s="1"/>
  <c r="X289" i="8"/>
  <c r="X93" i="8"/>
  <c r="Y93" i="8" s="1"/>
  <c r="J159" i="9"/>
  <c r="J27" i="10" s="1"/>
  <c r="J165" i="7"/>
  <c r="J91" i="7"/>
  <c r="J97" i="7" s="1"/>
  <c r="R165" i="7"/>
  <c r="R167" i="7" s="1"/>
  <c r="R91" i="7"/>
  <c r="R97" i="7" s="1"/>
  <c r="R98" i="7" s="1"/>
  <c r="K139" i="7"/>
  <c r="K145" i="7" s="1"/>
  <c r="K146" i="7" s="1"/>
  <c r="K213" i="7"/>
  <c r="K77" i="7"/>
  <c r="S139" i="7"/>
  <c r="S145" i="7" s="1"/>
  <c r="S146" i="7" s="1"/>
  <c r="S213" i="7"/>
  <c r="S215" i="7" s="1"/>
  <c r="S77" i="7"/>
  <c r="K167" i="7"/>
  <c r="L168" i="7" s="1"/>
  <c r="AD184" i="7"/>
  <c r="I192" i="7"/>
  <c r="U30" i="8"/>
  <c r="J32" i="8"/>
  <c r="J67" i="8" s="1"/>
  <c r="J40" i="10" s="1"/>
  <c r="I36" i="8"/>
  <c r="H183" i="8"/>
  <c r="H118" i="10" s="1"/>
  <c r="H165" i="8"/>
  <c r="H172" i="8" s="1"/>
  <c r="H174" i="8" s="1"/>
  <c r="Z185" i="8"/>
  <c r="H135" i="10"/>
  <c r="J208" i="8"/>
  <c r="J214" i="8" s="1"/>
  <c r="J85" i="10" s="1"/>
  <c r="F109" i="8"/>
  <c r="AD209" i="8"/>
  <c r="AE209" i="8" s="1"/>
  <c r="AF209" i="8" s="1"/>
  <c r="AG209" i="8" s="1"/>
  <c r="AA209" i="8"/>
  <c r="AB209" i="8" s="1"/>
  <c r="AC209" i="8" s="1"/>
  <c r="Q264" i="8"/>
  <c r="Q265" i="8" s="1"/>
  <c r="Q273" i="8"/>
  <c r="Q101" i="10" s="1"/>
  <c r="H78" i="9"/>
  <c r="H83" i="9"/>
  <c r="T187" i="8"/>
  <c r="T140" i="10" s="1"/>
  <c r="K169" i="8"/>
  <c r="K137" i="8"/>
  <c r="W137" i="8"/>
  <c r="W169" i="8"/>
  <c r="W188" i="8" s="1"/>
  <c r="W145" i="10" s="1"/>
  <c r="O307" i="8"/>
  <c r="O309" i="8" s="1"/>
  <c r="O157" i="10" s="1"/>
  <c r="K68" i="14"/>
  <c r="F7" i="14"/>
  <c r="M6" i="13"/>
  <c r="AB68" i="14"/>
  <c r="V310" i="8"/>
  <c r="W252" i="8"/>
  <c r="V151" i="8"/>
  <c r="V154" i="8" s="1"/>
  <c r="T165" i="8"/>
  <c r="T176" i="8"/>
  <c r="J186" i="8"/>
  <c r="J123" i="10" s="1"/>
  <c r="N170" i="8"/>
  <c r="P184" i="8"/>
  <c r="U135" i="10"/>
  <c r="U185" i="8"/>
  <c r="O201" i="8"/>
  <c r="O72" i="10" s="1"/>
  <c r="O202" i="8"/>
  <c r="N214" i="8"/>
  <c r="N85" i="10" s="1"/>
  <c r="O208" i="8"/>
  <c r="N109" i="8"/>
  <c r="O109" i="8" s="1"/>
  <c r="Y223" i="8"/>
  <c r="X225" i="8"/>
  <c r="AD224" i="8"/>
  <c r="AE224" i="8" s="1"/>
  <c r="AC142" i="8"/>
  <c r="M303" i="8"/>
  <c r="N302" i="8"/>
  <c r="V307" i="8"/>
  <c r="V309" i="8" s="1"/>
  <c r="V157" i="10" s="1"/>
  <c r="Y109" i="8"/>
  <c r="O111" i="8"/>
  <c r="K206" i="8"/>
  <c r="O206" i="8" s="1"/>
  <c r="K214" i="8"/>
  <c r="K85" i="10" s="1"/>
  <c r="Q158" i="8"/>
  <c r="K143" i="8"/>
  <c r="K310" i="8"/>
  <c r="X307" i="8"/>
  <c r="X310" i="8" s="1"/>
  <c r="Q183" i="8"/>
  <c r="T186" i="8"/>
  <c r="T123" i="10" s="1"/>
  <c r="Q184" i="8"/>
  <c r="V187" i="8"/>
  <c r="V140" i="10" s="1"/>
  <c r="K176" i="8"/>
  <c r="K178" i="8" s="1"/>
  <c r="T202" i="8"/>
  <c r="T201" i="8"/>
  <c r="T72" i="10" s="1"/>
  <c r="Z128" i="8"/>
  <c r="O42" i="3" s="1"/>
  <c r="AA218" i="8"/>
  <c r="T232" i="8"/>
  <c r="T128" i="10" s="1"/>
  <c r="P232" i="8"/>
  <c r="P128" i="10" s="1"/>
  <c r="V165" i="10"/>
  <c r="Y272" i="8"/>
  <c r="AE289" i="8"/>
  <c r="O173" i="9"/>
  <c r="T31" i="9"/>
  <c r="Z74" i="11"/>
  <c r="Z14" i="11" s="1"/>
  <c r="Z32" i="11"/>
  <c r="I200" i="8"/>
  <c r="I92" i="10" s="1"/>
  <c r="I249" i="8"/>
  <c r="Q200" i="8"/>
  <c r="Q92" i="10" s="1"/>
  <c r="Q249" i="8"/>
  <c r="Q202" i="8"/>
  <c r="I109" i="8"/>
  <c r="I214" i="8"/>
  <c r="I85" i="10" s="1"/>
  <c r="Q67" i="8"/>
  <c r="Q40" i="10" s="1"/>
  <c r="T109" i="8"/>
  <c r="O186" i="8"/>
  <c r="O123" i="10" s="1"/>
  <c r="P308" i="8"/>
  <c r="P152" i="10" s="1"/>
  <c r="T152" i="10" s="1"/>
  <c r="T307" i="8"/>
  <c r="T309" i="8" s="1"/>
  <c r="T157" i="10" s="1"/>
  <c r="P309" i="8"/>
  <c r="P157" i="10" s="1"/>
  <c r="W143" i="8"/>
  <c r="Q176" i="8"/>
  <c r="Q178" i="8" s="1"/>
  <c r="T170" i="8"/>
  <c r="L220" i="8"/>
  <c r="T225" i="8"/>
  <c r="O177" i="9"/>
  <c r="AB30" i="9"/>
  <c r="AB29" i="9"/>
  <c r="AB31" i="9"/>
  <c r="O47" i="9"/>
  <c r="O48" i="9"/>
  <c r="O41" i="9"/>
  <c r="Y116" i="7"/>
  <c r="R182" i="8"/>
  <c r="R200" i="8"/>
  <c r="R92" i="10" s="1"/>
  <c r="R202" i="8"/>
  <c r="R249" i="8"/>
  <c r="I184" i="8"/>
  <c r="I183" i="8"/>
  <c r="I118" i="10" s="1"/>
  <c r="J34" i="8"/>
  <c r="R67" i="8"/>
  <c r="R40" i="10" s="1"/>
  <c r="O120" i="8"/>
  <c r="U34" i="3" s="1"/>
  <c r="L132" i="8"/>
  <c r="L158" i="8" s="1"/>
  <c r="O232" i="8"/>
  <c r="O128" i="10" s="1"/>
  <c r="R158" i="8"/>
  <c r="U169" i="8"/>
  <c r="U188" i="8" s="1"/>
  <c r="U145" i="10" s="1"/>
  <c r="U137" i="8"/>
  <c r="U145" i="8" s="1"/>
  <c r="U156" i="8" s="1"/>
  <c r="S154" i="8"/>
  <c r="T154" i="8" s="1"/>
  <c r="T156" i="8" s="1"/>
  <c r="T151" i="8"/>
  <c r="H176" i="8"/>
  <c r="M135" i="10"/>
  <c r="M185" i="8"/>
  <c r="W184" i="8"/>
  <c r="V170" i="8"/>
  <c r="X210" i="8"/>
  <c r="L226" i="8"/>
  <c r="U226" i="8"/>
  <c r="U228" i="8" s="1"/>
  <c r="O240" i="8"/>
  <c r="F260" i="8"/>
  <c r="J259" i="8"/>
  <c r="Q260" i="8"/>
  <c r="R259" i="8"/>
  <c r="R260" i="8" s="1"/>
  <c r="S31" i="9"/>
  <c r="S30" i="9"/>
  <c r="S29" i="9"/>
  <c r="T23" i="9"/>
  <c r="T29" i="9" s="1"/>
  <c r="G49" i="9"/>
  <c r="G44" i="9"/>
  <c r="G46" i="9"/>
  <c r="G41" i="9"/>
  <c r="G45" i="9"/>
  <c r="J33" i="9"/>
  <c r="J48" i="9" s="1"/>
  <c r="G69" i="9"/>
  <c r="G47" i="9"/>
  <c r="P44" i="9"/>
  <c r="P47" i="9"/>
  <c r="T33" i="9"/>
  <c r="P45" i="9"/>
  <c r="P49" i="9"/>
  <c r="P46" i="9"/>
  <c r="P48" i="9"/>
  <c r="T51" i="9"/>
  <c r="T62" i="9" s="1"/>
  <c r="T78" i="10" s="1"/>
  <c r="T70" i="9"/>
  <c r="O66" i="9"/>
  <c r="O82" i="10" s="1"/>
  <c r="O74" i="9"/>
  <c r="O51" i="9"/>
  <c r="K200" i="8"/>
  <c r="K92" i="10" s="1"/>
  <c r="K202" i="8"/>
  <c r="K70" i="8"/>
  <c r="K57" i="10" s="1"/>
  <c r="K68" i="8"/>
  <c r="K45" i="10" s="1"/>
  <c r="K182" i="8"/>
  <c r="K113" i="10" s="1"/>
  <c r="K249" i="8"/>
  <c r="S200" i="8"/>
  <c r="S92" i="10" s="1"/>
  <c r="S202" i="8"/>
  <c r="S68" i="8"/>
  <c r="S45" i="10" s="1"/>
  <c r="J29" i="8"/>
  <c r="S67" i="8"/>
  <c r="S40" i="10" s="1"/>
  <c r="Q68" i="8"/>
  <c r="Q45" i="10" s="1"/>
  <c r="J165" i="8"/>
  <c r="I169" i="8"/>
  <c r="I188" i="8" s="1"/>
  <c r="I145" i="10" s="1"/>
  <c r="J136" i="8"/>
  <c r="Q145" i="8"/>
  <c r="Q156" i="8" s="1"/>
  <c r="X141" i="8"/>
  <c r="I165" i="8"/>
  <c r="S178" i="8"/>
  <c r="I186" i="8"/>
  <c r="I123" i="10" s="1"/>
  <c r="N184" i="8"/>
  <c r="M170" i="8"/>
  <c r="I182" i="8"/>
  <c r="I113" i="10" s="1"/>
  <c r="S135" i="10"/>
  <c r="S185" i="8"/>
  <c r="S272" i="8"/>
  <c r="S165" i="10" s="1"/>
  <c r="S240" i="8"/>
  <c r="T239" i="8" s="1"/>
  <c r="T241" i="8"/>
  <c r="T272" i="8" s="1"/>
  <c r="T165" i="10" s="1"/>
  <c r="I260" i="8"/>
  <c r="S259" i="8"/>
  <c r="S260" i="8" s="1"/>
  <c r="K303" i="8"/>
  <c r="J308" i="8"/>
  <c r="H44" i="9"/>
  <c r="H47" i="9"/>
  <c r="H49" i="9"/>
  <c r="H41" i="9"/>
  <c r="H48" i="9"/>
  <c r="H45" i="9"/>
  <c r="Q47" i="9"/>
  <c r="Q48" i="9"/>
  <c r="Q44" i="9"/>
  <c r="Q46" i="9"/>
  <c r="Q45" i="9"/>
  <c r="Q49" i="9"/>
  <c r="Q41" i="9"/>
  <c r="G48" i="9"/>
  <c r="T132" i="8"/>
  <c r="T308" i="8"/>
  <c r="U307" i="8"/>
  <c r="U309" i="8" s="1"/>
  <c r="U157" i="10" s="1"/>
  <c r="H143" i="8"/>
  <c r="H145" i="8" s="1"/>
  <c r="H156" i="8" s="1"/>
  <c r="V260" i="8"/>
  <c r="M176" i="8"/>
  <c r="M165" i="8"/>
  <c r="M172" i="8" s="1"/>
  <c r="V176" i="8"/>
  <c r="V178" i="8" s="1"/>
  <c r="G183" i="8"/>
  <c r="G118" i="10" s="1"/>
  <c r="F165" i="8"/>
  <c r="F172" i="8" s="1"/>
  <c r="G174" i="8" s="1"/>
  <c r="I170" i="8"/>
  <c r="N232" i="8"/>
  <c r="N128" i="10" s="1"/>
  <c r="S221" i="8"/>
  <c r="S228" i="8" s="1"/>
  <c r="V226" i="8"/>
  <c r="S249" i="8"/>
  <c r="T246" i="8"/>
  <c r="T249" i="8" s="1"/>
  <c r="N252" i="8"/>
  <c r="F264" i="8"/>
  <c r="F265" i="8" s="1"/>
  <c r="N273" i="8"/>
  <c r="N101" i="10" s="1"/>
  <c r="O267" i="8"/>
  <c r="Q192" i="9"/>
  <c r="Q31" i="7" s="1"/>
  <c r="Q172" i="9"/>
  <c r="Q20" i="9"/>
  <c r="Q46" i="7" s="1"/>
  <c r="Q19" i="9"/>
  <c r="Q43" i="7" s="1"/>
  <c r="T7" i="9"/>
  <c r="Q17" i="9"/>
  <c r="Q37" i="7" s="1"/>
  <c r="O176" i="8"/>
  <c r="O178" i="8" s="1"/>
  <c r="O299" i="8" s="1"/>
  <c r="O165" i="8"/>
  <c r="O172" i="8" s="1"/>
  <c r="U132" i="8"/>
  <c r="U158" i="8" s="1"/>
  <c r="I219" i="8"/>
  <c r="I232" i="8" s="1"/>
  <c r="I128" i="10" s="1"/>
  <c r="I130" i="8"/>
  <c r="I143" i="8"/>
  <c r="J143" i="8" s="1"/>
  <c r="N176" i="8"/>
  <c r="N178" i="8" s="1"/>
  <c r="U170" i="8"/>
  <c r="U172" i="8" s="1"/>
  <c r="I176" i="8"/>
  <c r="AA185" i="8"/>
  <c r="J202" i="8"/>
  <c r="J201" i="8"/>
  <c r="J72" i="10" s="1"/>
  <c r="W219" i="8"/>
  <c r="AA245" i="8"/>
  <c r="AB239" i="8"/>
  <c r="AA289" i="8"/>
  <c r="AA240" i="8"/>
  <c r="AA279" i="8" s="1"/>
  <c r="AA93" i="8"/>
  <c r="AD93" i="8" s="1"/>
  <c r="G252" i="8"/>
  <c r="T267" i="8"/>
  <c r="P264" i="8"/>
  <c r="P265" i="8" s="1"/>
  <c r="P273" i="8"/>
  <c r="P101" i="10" s="1"/>
  <c r="H308" i="8"/>
  <c r="H152" i="10" s="1"/>
  <c r="M307" i="8"/>
  <c r="M309" i="8" s="1"/>
  <c r="M157" i="10" s="1"/>
  <c r="AA29" i="9"/>
  <c r="AA31" i="9"/>
  <c r="J72" i="9"/>
  <c r="J157" i="9"/>
  <c r="J17" i="10" s="1"/>
  <c r="J74" i="9"/>
  <c r="J111" i="8"/>
  <c r="O220" i="8"/>
  <c r="O221" i="8" s="1"/>
  <c r="M232" i="8"/>
  <c r="M128" i="10" s="1"/>
  <c r="V137" i="8"/>
  <c r="V145" i="8" s="1"/>
  <c r="V156" i="8" s="1"/>
  <c r="V158" i="8" s="1"/>
  <c r="V169" i="8"/>
  <c r="V188" i="8" s="1"/>
  <c r="V145" i="10" s="1"/>
  <c r="S156" i="8"/>
  <c r="W256" i="8"/>
  <c r="W151" i="8"/>
  <c r="W154" i="8" s="1"/>
  <c r="L186" i="8"/>
  <c r="L123" i="10" s="1"/>
  <c r="U186" i="8"/>
  <c r="U123" i="10" s="1"/>
  <c r="S165" i="8"/>
  <c r="S172" i="8" s="1"/>
  <c r="T208" i="8"/>
  <c r="T214" i="8" s="1"/>
  <c r="T85" i="10" s="1"/>
  <c r="P214" i="8"/>
  <c r="P85" i="10" s="1"/>
  <c r="K220" i="8"/>
  <c r="K221" i="8" s="1"/>
  <c r="M226" i="8"/>
  <c r="H259" i="8"/>
  <c r="I47" i="9"/>
  <c r="I48" i="9"/>
  <c r="I44" i="9"/>
  <c r="I41" i="9"/>
  <c r="I69" i="9"/>
  <c r="I82" i="9" s="1"/>
  <c r="I49" i="9"/>
  <c r="I45" i="9"/>
  <c r="I46" i="9"/>
  <c r="W80" i="9"/>
  <c r="W83" i="9"/>
  <c r="W78" i="9"/>
  <c r="S132" i="8"/>
  <c r="S158" i="8" s="1"/>
  <c r="T302" i="8"/>
  <c r="T303" i="8" s="1"/>
  <c r="P303" i="8"/>
  <c r="H307" i="8"/>
  <c r="H309" i="8" s="1"/>
  <c r="H157" i="10" s="1"/>
  <c r="O308" i="8"/>
  <c r="G143" i="8"/>
  <c r="G145" i="8" s="1"/>
  <c r="G156" i="8" s="1"/>
  <c r="G158" i="8" s="1"/>
  <c r="L165" i="8"/>
  <c r="L176" i="8"/>
  <c r="L178" i="8" s="1"/>
  <c r="U178" i="8"/>
  <c r="P183" i="8"/>
  <c r="N183" i="8"/>
  <c r="N118" i="10" s="1"/>
  <c r="N186" i="8"/>
  <c r="N123" i="10" s="1"/>
  <c r="F176" i="8"/>
  <c r="K184" i="8"/>
  <c r="H201" i="8"/>
  <c r="H72" i="10" s="1"/>
  <c r="G214" i="8"/>
  <c r="G85" i="10" s="1"/>
  <c r="M220" i="8"/>
  <c r="V220" i="8"/>
  <c r="V221" i="8" s="1"/>
  <c r="Q221" i="8"/>
  <c r="V240" i="8"/>
  <c r="N249" i="8"/>
  <c r="O246" i="8"/>
  <c r="O249" i="8" s="1"/>
  <c r="Z254" i="8"/>
  <c r="N264" i="8"/>
  <c r="N265" i="8" s="1"/>
  <c r="AC267" i="8"/>
  <c r="X254" i="8"/>
  <c r="Q18" i="9"/>
  <c r="Q40" i="7" s="1"/>
  <c r="J160" i="9"/>
  <c r="J32" i="10" s="1"/>
  <c r="J49" i="9"/>
  <c r="T67" i="9"/>
  <c r="T83" i="10" s="1"/>
  <c r="T75" i="9"/>
  <c r="T178" i="9"/>
  <c r="W214" i="8"/>
  <c r="W85" i="10" s="1"/>
  <c r="AB289" i="8"/>
  <c r="AB240" i="8"/>
  <c r="AB279" i="8" s="1"/>
  <c r="H260" i="8"/>
  <c r="X280" i="8"/>
  <c r="N303" i="8"/>
  <c r="T173" i="9"/>
  <c r="T155" i="9"/>
  <c r="O178" i="9"/>
  <c r="O160" i="9"/>
  <c r="O32" i="10" s="1"/>
  <c r="X57" i="9"/>
  <c r="Z70" i="11"/>
  <c r="Z10" i="11"/>
  <c r="H62" i="11"/>
  <c r="H59" i="11"/>
  <c r="H61" i="11"/>
  <c r="H60" i="11"/>
  <c r="P62" i="11"/>
  <c r="P61" i="11"/>
  <c r="P60" i="11"/>
  <c r="P59" i="11"/>
  <c r="W81" i="9"/>
  <c r="M137" i="8"/>
  <c r="M145" i="8" s="1"/>
  <c r="M156" i="8" s="1"/>
  <c r="M158" i="8" s="1"/>
  <c r="V165" i="8"/>
  <c r="L170" i="8"/>
  <c r="F220" i="8"/>
  <c r="N220" i="8"/>
  <c r="N221" i="8" s="1"/>
  <c r="N228" i="8" s="1"/>
  <c r="W220" i="8"/>
  <c r="W221" i="8" s="1"/>
  <c r="Q232" i="8"/>
  <c r="Q128" i="10" s="1"/>
  <c r="G225" i="8"/>
  <c r="G226" i="8" s="1"/>
  <c r="P225" i="8"/>
  <c r="T240" i="8"/>
  <c r="K273" i="8"/>
  <c r="K101" i="10" s="1"/>
  <c r="S273" i="8"/>
  <c r="S101" i="10" s="1"/>
  <c r="I192" i="9"/>
  <c r="I31" i="7" s="1"/>
  <c r="I18" i="9"/>
  <c r="I40" i="7" s="1"/>
  <c r="I17" i="9"/>
  <c r="I37" i="7" s="1"/>
  <c r="I21" i="9"/>
  <c r="I49" i="7" s="1"/>
  <c r="R172" i="9"/>
  <c r="R192" i="9"/>
  <c r="R31" i="7" s="1"/>
  <c r="R21" i="9"/>
  <c r="R49" i="7" s="1"/>
  <c r="R19" i="9"/>
  <c r="R43" i="7" s="1"/>
  <c r="R17" i="9"/>
  <c r="R37" i="7" s="1"/>
  <c r="R18" i="9"/>
  <c r="R40" i="7" s="1"/>
  <c r="R20" i="9"/>
  <c r="R46" i="7" s="1"/>
  <c r="T177" i="9"/>
  <c r="O23" i="9"/>
  <c r="O29" i="9" s="1"/>
  <c r="K30" i="9"/>
  <c r="AC30" i="9"/>
  <c r="AC29" i="9"/>
  <c r="AC31" i="9"/>
  <c r="K29" i="9"/>
  <c r="R45" i="9"/>
  <c r="R47" i="9"/>
  <c r="R69" i="9"/>
  <c r="R80" i="9" s="1"/>
  <c r="R44" i="9"/>
  <c r="R46" i="9"/>
  <c r="J156" i="9"/>
  <c r="J12" i="10" s="1"/>
  <c r="J45" i="9"/>
  <c r="T158" i="9"/>
  <c r="T22" i="10" s="1"/>
  <c r="T73" i="9"/>
  <c r="N69" i="9"/>
  <c r="N80" i="9" s="1"/>
  <c r="N63" i="9"/>
  <c r="N79" i="10" s="1"/>
  <c r="N66" i="9"/>
  <c r="N82" i="10" s="1"/>
  <c r="N59" i="9"/>
  <c r="N67" i="9"/>
  <c r="N83" i="10" s="1"/>
  <c r="N65" i="9"/>
  <c r="N81" i="10" s="1"/>
  <c r="N64" i="9"/>
  <c r="N80" i="10" s="1"/>
  <c r="N62" i="9"/>
  <c r="N78" i="10" s="1"/>
  <c r="W66" i="9"/>
  <c r="W82" i="10" s="1"/>
  <c r="W59" i="9"/>
  <c r="W67" i="9"/>
  <c r="W83" i="10" s="1"/>
  <c r="W65" i="9"/>
  <c r="W81" i="10" s="1"/>
  <c r="W64" i="9"/>
  <c r="W80" i="10" s="1"/>
  <c r="W63" i="9"/>
  <c r="W79" i="10" s="1"/>
  <c r="W62" i="9"/>
  <c r="W78" i="10" s="1"/>
  <c r="S99" i="9"/>
  <c r="S97" i="9"/>
  <c r="S100" i="9"/>
  <c r="S200" i="9"/>
  <c r="S96" i="9"/>
  <c r="S98" i="9"/>
  <c r="H130" i="8"/>
  <c r="H132" i="8" s="1"/>
  <c r="H158" i="8" s="1"/>
  <c r="N137" i="8"/>
  <c r="N307" i="8"/>
  <c r="N309" i="8" s="1"/>
  <c r="N157" i="10" s="1"/>
  <c r="M308" i="8"/>
  <c r="M152" i="10" s="1"/>
  <c r="W176" i="8"/>
  <c r="N165" i="8"/>
  <c r="N172" i="8" s="1"/>
  <c r="W165" i="8"/>
  <c r="L184" i="8"/>
  <c r="AE185" i="8"/>
  <c r="Y195" i="8"/>
  <c r="G220" i="8"/>
  <c r="H225" i="8"/>
  <c r="Q225" i="8"/>
  <c r="Y241" i="8"/>
  <c r="V239" i="8"/>
  <c r="L273" i="8"/>
  <c r="L101" i="10" s="1"/>
  <c r="U273" i="8"/>
  <c r="U101" i="10" s="1"/>
  <c r="Z289" i="8"/>
  <c r="Z240" i="8"/>
  <c r="R308" i="8"/>
  <c r="R152" i="10" s="1"/>
  <c r="S308" i="8"/>
  <c r="S152" i="10" s="1"/>
  <c r="J7" i="9"/>
  <c r="J17" i="9" s="1"/>
  <c r="J37" i="7" s="1"/>
  <c r="S192" i="9"/>
  <c r="S31" i="7" s="1"/>
  <c r="S21" i="9"/>
  <c r="S49" i="7" s="1"/>
  <c r="S19" i="9"/>
  <c r="S43" i="7" s="1"/>
  <c r="S17" i="9"/>
  <c r="S37" i="7" s="1"/>
  <c r="S18" i="9"/>
  <c r="S40" i="7" s="1"/>
  <c r="S172" i="9"/>
  <c r="O174" i="9"/>
  <c r="O36" i="7" s="1"/>
  <c r="O60" i="7" s="1"/>
  <c r="I16" i="9"/>
  <c r="I34" i="7" s="1"/>
  <c r="T20" i="9"/>
  <c r="U30" i="9"/>
  <c r="Y23" i="9"/>
  <c r="Y31" i="9" s="1"/>
  <c r="U31" i="9"/>
  <c r="L29" i="9"/>
  <c r="S79" i="9"/>
  <c r="S82" i="9"/>
  <c r="O156" i="9"/>
  <c r="O12" i="10" s="1"/>
  <c r="O45" i="9"/>
  <c r="O71" i="9"/>
  <c r="F69" i="9"/>
  <c r="F63" i="9"/>
  <c r="F79" i="10" s="1"/>
  <c r="F66" i="9"/>
  <c r="F82" i="10" s="1"/>
  <c r="F59" i="9"/>
  <c r="J63" i="9"/>
  <c r="J79" i="10" s="1"/>
  <c r="J51" i="9"/>
  <c r="J71" i="9"/>
  <c r="J73" i="9"/>
  <c r="J67" i="9"/>
  <c r="J83" i="10" s="1"/>
  <c r="J75" i="9"/>
  <c r="F65" i="9"/>
  <c r="F81" i="10" s="1"/>
  <c r="N83" i="9"/>
  <c r="C13" i="10"/>
  <c r="C14" i="10"/>
  <c r="C15" i="10"/>
  <c r="AB66" i="14"/>
  <c r="K66" i="14"/>
  <c r="P201" i="8"/>
  <c r="P72" i="10" s="1"/>
  <c r="G307" i="8"/>
  <c r="G309" i="8" s="1"/>
  <c r="G157" i="10" s="1"/>
  <c r="F308" i="8"/>
  <c r="F152" i="10" s="1"/>
  <c r="J152" i="10" s="1"/>
  <c r="N308" i="8"/>
  <c r="N152" i="10" s="1"/>
  <c r="O225" i="8"/>
  <c r="O226" i="8" s="1"/>
  <c r="G176" i="8"/>
  <c r="G178" i="8" s="1"/>
  <c r="I187" i="8"/>
  <c r="I140" i="10" s="1"/>
  <c r="J200" i="8"/>
  <c r="J92" i="10" s="1"/>
  <c r="M214" i="8"/>
  <c r="M85" i="10" s="1"/>
  <c r="U214" i="8"/>
  <c r="U85" i="10" s="1"/>
  <c r="Y208" i="8"/>
  <c r="Y214" i="8" s="1"/>
  <c r="Y85" i="10" s="1"/>
  <c r="Z245" i="8"/>
  <c r="Y254" i="8"/>
  <c r="W254" i="8"/>
  <c r="W267" i="8" s="1"/>
  <c r="W260" i="8"/>
  <c r="M273" i="8"/>
  <c r="M101" i="10" s="1"/>
  <c r="V267" i="8"/>
  <c r="M30" i="9"/>
  <c r="M29" i="9"/>
  <c r="J155" i="9"/>
  <c r="J44" i="9"/>
  <c r="G66" i="9"/>
  <c r="G82" i="10" s="1"/>
  <c r="G59" i="9"/>
  <c r="G65" i="9"/>
  <c r="G81" i="10" s="1"/>
  <c r="G64" i="9"/>
  <c r="G80" i="10" s="1"/>
  <c r="G63" i="9"/>
  <c r="G79" i="10" s="1"/>
  <c r="G62" i="9"/>
  <c r="G78" i="10" s="1"/>
  <c r="P69" i="9"/>
  <c r="F83" i="9"/>
  <c r="T174" i="9"/>
  <c r="T36" i="7" s="1"/>
  <c r="T60" i="7" s="1"/>
  <c r="Y165" i="10"/>
  <c r="I303" i="8"/>
  <c r="R303" i="8"/>
  <c r="S302" i="8"/>
  <c r="S303" i="8" s="1"/>
  <c r="J309" i="8"/>
  <c r="J157" i="10" s="1"/>
  <c r="C30" i="19"/>
  <c r="C30" i="18"/>
  <c r="C130" i="9"/>
  <c r="U18" i="9"/>
  <c r="U40" i="7" s="1"/>
  <c r="U19" i="9"/>
  <c r="U43" i="7" s="1"/>
  <c r="I31" i="9"/>
  <c r="I29" i="9"/>
  <c r="R31" i="9"/>
  <c r="R29" i="9"/>
  <c r="AD23" i="9"/>
  <c r="Z31" i="9"/>
  <c r="Z29" i="9"/>
  <c r="J29" i="9"/>
  <c r="T30" i="9"/>
  <c r="W49" i="9"/>
  <c r="W44" i="9"/>
  <c r="W46" i="9"/>
  <c r="S47" i="9"/>
  <c r="M69" i="9"/>
  <c r="M82" i="9" s="1"/>
  <c r="M63" i="9"/>
  <c r="M79" i="10" s="1"/>
  <c r="M67" i="9"/>
  <c r="M83" i="10" s="1"/>
  <c r="M65" i="9"/>
  <c r="M81" i="10" s="1"/>
  <c r="M64" i="9"/>
  <c r="M80" i="10" s="1"/>
  <c r="M62" i="9"/>
  <c r="M78" i="10" s="1"/>
  <c r="V69" i="9"/>
  <c r="V63" i="9"/>
  <c r="V79" i="10" s="1"/>
  <c r="V66" i="9"/>
  <c r="V82" i="10" s="1"/>
  <c r="V65" i="9"/>
  <c r="V81" i="10" s="1"/>
  <c r="V64" i="9"/>
  <c r="V80" i="10" s="1"/>
  <c r="V62" i="9"/>
  <c r="V78" i="10" s="1"/>
  <c r="V67" i="9"/>
  <c r="V83" i="10" s="1"/>
  <c r="X53" i="9"/>
  <c r="T64" i="9"/>
  <c r="T80" i="10" s="1"/>
  <c r="X55" i="9"/>
  <c r="I79" i="9"/>
  <c r="M80" i="9"/>
  <c r="G82" i="9"/>
  <c r="AA100" i="9"/>
  <c r="AA97" i="9"/>
  <c r="AA200" i="9"/>
  <c r="AA99" i="9"/>
  <c r="AA98" i="9"/>
  <c r="T180" i="9"/>
  <c r="Y180" i="9"/>
  <c r="J98" i="9"/>
  <c r="Y99" i="9"/>
  <c r="AA96" i="9"/>
  <c r="Y183" i="9"/>
  <c r="Q64" i="9"/>
  <c r="Q80" i="10" s="1"/>
  <c r="Q67" i="9"/>
  <c r="Q83" i="10" s="1"/>
  <c r="Q65" i="9"/>
  <c r="Q81" i="10" s="1"/>
  <c r="Q63" i="9"/>
  <c r="Q79" i="10" s="1"/>
  <c r="Q62" i="9"/>
  <c r="Q78" i="10" s="1"/>
  <c r="T74" i="9"/>
  <c r="T66" i="9"/>
  <c r="T82" i="10" s="1"/>
  <c r="AF100" i="9"/>
  <c r="AF96" i="9"/>
  <c r="AF98" i="9"/>
  <c r="AF200" i="9"/>
  <c r="AF97" i="9"/>
  <c r="O181" i="9"/>
  <c r="O97" i="9"/>
  <c r="AD182" i="9"/>
  <c r="AE203" i="9"/>
  <c r="W225" i="8"/>
  <c r="W226" i="8" s="1"/>
  <c r="W228" i="8" s="1"/>
  <c r="V249" i="8"/>
  <c r="K21" i="9"/>
  <c r="K49" i="7" s="1"/>
  <c r="K19" i="9"/>
  <c r="K43" i="7" s="1"/>
  <c r="K17" i="9"/>
  <c r="K37" i="7" s="1"/>
  <c r="O7" i="9"/>
  <c r="O18" i="9" s="1"/>
  <c r="O40" i="7" s="1"/>
  <c r="K192" i="9"/>
  <c r="K31" i="7" s="1"/>
  <c r="K172" i="9"/>
  <c r="U16" i="9"/>
  <c r="U34" i="7" s="1"/>
  <c r="K45" i="9"/>
  <c r="K48" i="9"/>
  <c r="K46" i="9"/>
  <c r="S45" i="9"/>
  <c r="S48" i="9"/>
  <c r="S46" i="9"/>
  <c r="T156" i="9"/>
  <c r="T12" i="10" s="1"/>
  <c r="T45" i="9"/>
  <c r="O157" i="9"/>
  <c r="O17" i="10" s="1"/>
  <c r="O46" i="9"/>
  <c r="O49" i="9"/>
  <c r="S41" i="9"/>
  <c r="I64" i="9"/>
  <c r="I80" i="10" s="1"/>
  <c r="I67" i="9"/>
  <c r="I83" i="10" s="1"/>
  <c r="I59" i="9"/>
  <c r="I65" i="9"/>
  <c r="I81" i="10" s="1"/>
  <c r="I63" i="9"/>
  <c r="I79" i="10" s="1"/>
  <c r="I62" i="9"/>
  <c r="I78" i="10" s="1"/>
  <c r="Q66" i="9"/>
  <c r="Q82" i="10" s="1"/>
  <c r="K69" i="9"/>
  <c r="I80" i="9"/>
  <c r="S80" i="9"/>
  <c r="X100" i="9"/>
  <c r="X96" i="9"/>
  <c r="X200" i="9"/>
  <c r="X98" i="9"/>
  <c r="AG200" i="9"/>
  <c r="AG96" i="9"/>
  <c r="AG97" i="9"/>
  <c r="T181" i="9"/>
  <c r="J99" i="9"/>
  <c r="Y184" i="9"/>
  <c r="X97" i="9"/>
  <c r="X99" i="9"/>
  <c r="AG100" i="9"/>
  <c r="W193" i="8"/>
  <c r="H241" i="8"/>
  <c r="J241" i="8" s="1"/>
  <c r="J272" i="8" s="1"/>
  <c r="J165" i="10" s="1"/>
  <c r="H246" i="8"/>
  <c r="H249" i="8" s="1"/>
  <c r="W246" i="8"/>
  <c r="G249" i="8"/>
  <c r="R309" i="8"/>
  <c r="R157" i="10" s="1"/>
  <c r="L172" i="9"/>
  <c r="L192" i="9"/>
  <c r="L31" i="7" s="1"/>
  <c r="L21" i="9"/>
  <c r="L49" i="7" s="1"/>
  <c r="L19" i="9"/>
  <c r="L43" i="7" s="1"/>
  <c r="L17" i="9"/>
  <c r="L37" i="7" s="1"/>
  <c r="U172" i="9"/>
  <c r="U192" i="9"/>
  <c r="U31" i="7" s="1"/>
  <c r="C29" i="19"/>
  <c r="C29" i="18"/>
  <c r="C123" i="9"/>
  <c r="K16" i="9"/>
  <c r="K34" i="7" s="1"/>
  <c r="AG31" i="9"/>
  <c r="AG29" i="9"/>
  <c r="AG30" i="9"/>
  <c r="T49" i="9"/>
  <c r="S44" i="9"/>
  <c r="K49" i="9"/>
  <c r="Q69" i="9"/>
  <c r="Q80" i="9" s="1"/>
  <c r="M78" i="9"/>
  <c r="G79" i="9"/>
  <c r="H81" i="9"/>
  <c r="N82" i="9"/>
  <c r="W82" i="9"/>
  <c r="P200" i="9"/>
  <c r="P100" i="9"/>
  <c r="P96" i="9"/>
  <c r="P98" i="9"/>
  <c r="T88" i="9"/>
  <c r="T97" i="9" s="1"/>
  <c r="Y88" i="9"/>
  <c r="Y100" i="9" s="1"/>
  <c r="J96" i="9"/>
  <c r="Y181" i="9"/>
  <c r="O183" i="9"/>
  <c r="O99" i="9"/>
  <c r="AD184" i="9"/>
  <c r="Y97" i="9"/>
  <c r="Q303" i="8"/>
  <c r="M192" i="9"/>
  <c r="M31" i="7" s="1"/>
  <c r="V172" i="9"/>
  <c r="C26" i="19"/>
  <c r="C26" i="18"/>
  <c r="L16" i="9"/>
  <c r="L34" i="7" s="1"/>
  <c r="T18" i="9"/>
  <c r="Q31" i="9"/>
  <c r="Q29" i="9"/>
  <c r="J158" i="9"/>
  <c r="J22" i="10" s="1"/>
  <c r="U69" i="9"/>
  <c r="U63" i="9"/>
  <c r="U79" i="10" s="1"/>
  <c r="U66" i="9"/>
  <c r="U82" i="10" s="1"/>
  <c r="U65" i="9"/>
  <c r="U81" i="10" s="1"/>
  <c r="U64" i="9"/>
  <c r="U80" i="10" s="1"/>
  <c r="U62" i="9"/>
  <c r="U78" i="10" s="1"/>
  <c r="N78" i="9"/>
  <c r="H79" i="9"/>
  <c r="F82" i="9"/>
  <c r="H100" i="9"/>
  <c r="H200" i="9"/>
  <c r="H96" i="9"/>
  <c r="H97" i="9"/>
  <c r="Q100" i="9"/>
  <c r="Q96" i="9"/>
  <c r="Q97" i="9"/>
  <c r="Q200" i="9"/>
  <c r="Q98" i="9"/>
  <c r="H99" i="9"/>
  <c r="AF99" i="9"/>
  <c r="P172" i="9"/>
  <c r="P192" i="9"/>
  <c r="P31" i="7" s="1"/>
  <c r="C27" i="19"/>
  <c r="C27" i="18"/>
  <c r="C31" i="19"/>
  <c r="C31" i="18"/>
  <c r="C137" i="9"/>
  <c r="H16" i="9"/>
  <c r="H34" i="7" s="1"/>
  <c r="P16" i="9"/>
  <c r="P34" i="7" s="1"/>
  <c r="H18" i="9"/>
  <c r="H40" i="7" s="1"/>
  <c r="P18" i="9"/>
  <c r="P40" i="7" s="1"/>
  <c r="H20" i="9"/>
  <c r="H46" i="7" s="1"/>
  <c r="P20" i="9"/>
  <c r="P46" i="7" s="1"/>
  <c r="F41" i="9"/>
  <c r="N41" i="9"/>
  <c r="V41" i="9"/>
  <c r="L66" i="9"/>
  <c r="L82" i="10" s="1"/>
  <c r="F79" i="9"/>
  <c r="N79" i="9"/>
  <c r="W79" i="9"/>
  <c r="M81" i="9"/>
  <c r="J97" i="9"/>
  <c r="H59" i="9"/>
  <c r="H64" i="9"/>
  <c r="H80" i="10" s="1"/>
  <c r="P59" i="9"/>
  <c r="P64" i="9"/>
  <c r="P80" i="10" s="1"/>
  <c r="O75" i="9"/>
  <c r="H66" i="9"/>
  <c r="H82" i="10" s="1"/>
  <c r="H67" i="9"/>
  <c r="H83" i="10" s="1"/>
  <c r="K78" i="9"/>
  <c r="S78" i="9"/>
  <c r="H80" i="9"/>
  <c r="H82" i="9"/>
  <c r="P82" i="9"/>
  <c r="I200" i="9"/>
  <c r="I100" i="9"/>
  <c r="I99" i="9"/>
  <c r="I96" i="9"/>
  <c r="R200" i="9"/>
  <c r="R100" i="9"/>
  <c r="R99" i="9"/>
  <c r="R97" i="9"/>
  <c r="Z200" i="9"/>
  <c r="Z98" i="9"/>
  <c r="AD88" i="9"/>
  <c r="AD98" i="9" s="1"/>
  <c r="Z100" i="9"/>
  <c r="Z97" i="9"/>
  <c r="O96" i="9"/>
  <c r="AD181" i="9"/>
  <c r="AE202" i="9"/>
  <c r="T183" i="9"/>
  <c r="N192" i="9"/>
  <c r="N31" i="7" s="1"/>
  <c r="N172" i="9"/>
  <c r="V192" i="9"/>
  <c r="V31" i="7" s="1"/>
  <c r="C28" i="19"/>
  <c r="C28" i="18"/>
  <c r="C116" i="9"/>
  <c r="O176" i="9"/>
  <c r="F16" i="9"/>
  <c r="F34" i="7" s="1"/>
  <c r="N16" i="9"/>
  <c r="N34" i="7" s="1"/>
  <c r="V16" i="9"/>
  <c r="V34" i="7" s="1"/>
  <c r="F18" i="9"/>
  <c r="F40" i="7" s="1"/>
  <c r="N18" i="9"/>
  <c r="N40" i="7" s="1"/>
  <c r="V18" i="9"/>
  <c r="V40" i="7" s="1"/>
  <c r="N20" i="9"/>
  <c r="N46" i="7" s="1"/>
  <c r="V20" i="9"/>
  <c r="V46" i="7" s="1"/>
  <c r="H29" i="9"/>
  <c r="P29" i="9"/>
  <c r="X29" i="9"/>
  <c r="AF29" i="9"/>
  <c r="O155" i="9"/>
  <c r="O159" i="9"/>
  <c r="O27" i="10" s="1"/>
  <c r="L41" i="9"/>
  <c r="O44" i="9"/>
  <c r="M46" i="9"/>
  <c r="U46" i="9"/>
  <c r="F49" i="9"/>
  <c r="N49" i="9"/>
  <c r="V49" i="9"/>
  <c r="R67" i="9"/>
  <c r="R83" i="10" s="1"/>
  <c r="R62" i="9"/>
  <c r="R78" i="10" s="1"/>
  <c r="R59" i="9"/>
  <c r="J66" i="9"/>
  <c r="J82" i="10" s="1"/>
  <c r="L67" i="9"/>
  <c r="L83" i="10" s="1"/>
  <c r="L69" i="9"/>
  <c r="K81" i="9"/>
  <c r="S81" i="9"/>
  <c r="I83" i="9"/>
  <c r="K97" i="9"/>
  <c r="K200" i="9"/>
  <c r="K99" i="9"/>
  <c r="O88" i="9"/>
  <c r="AB200" i="9"/>
  <c r="AB99" i="9"/>
  <c r="AB100" i="9"/>
  <c r="AB97" i="9"/>
  <c r="O182" i="9"/>
  <c r="L98" i="9"/>
  <c r="L99" i="9"/>
  <c r="C28" i="10"/>
  <c r="C29" i="10"/>
  <c r="C30" i="10"/>
  <c r="W172" i="9"/>
  <c r="G16" i="9"/>
  <c r="G34" i="7" s="1"/>
  <c r="W16" i="9"/>
  <c r="W34" i="7" s="1"/>
  <c r="G18" i="9"/>
  <c r="G40" i="7" s="1"/>
  <c r="W18" i="9"/>
  <c r="W40" i="7" s="1"/>
  <c r="G20" i="9"/>
  <c r="G46" i="7" s="1"/>
  <c r="W20" i="9"/>
  <c r="W46" i="7" s="1"/>
  <c r="T159" i="9"/>
  <c r="T27" i="10" s="1"/>
  <c r="T48" i="9"/>
  <c r="K62" i="9"/>
  <c r="K78" i="10" s="1"/>
  <c r="K65" i="9"/>
  <c r="K81" i="10" s="1"/>
  <c r="S62" i="9"/>
  <c r="S78" i="10" s="1"/>
  <c r="S65" i="9"/>
  <c r="S81" i="10" s="1"/>
  <c r="J62" i="9"/>
  <c r="J78" i="10" s="1"/>
  <c r="T71" i="9"/>
  <c r="T65" i="9"/>
  <c r="T81" i="10" s="1"/>
  <c r="S59" i="9"/>
  <c r="L62" i="9"/>
  <c r="L78" i="10" s="1"/>
  <c r="T63" i="9"/>
  <c r="T79" i="10" s="1"/>
  <c r="L64" i="9"/>
  <c r="L80" i="10" s="1"/>
  <c r="K66" i="9"/>
  <c r="K82" i="10" s="1"/>
  <c r="M79" i="9"/>
  <c r="V79" i="9"/>
  <c r="S83" i="9"/>
  <c r="L200" i="9"/>
  <c r="L97" i="9"/>
  <c r="K96" i="9"/>
  <c r="AB98" i="9"/>
  <c r="Z99" i="9"/>
  <c r="O180" i="9"/>
  <c r="W192" i="9"/>
  <c r="W31" i="7" s="1"/>
  <c r="AA123" i="10"/>
  <c r="AA186" i="8" s="1"/>
  <c r="AB125" i="10"/>
  <c r="G98" i="9"/>
  <c r="W98" i="9"/>
  <c r="M200" i="9"/>
  <c r="AE200" i="9"/>
  <c r="N60" i="11"/>
  <c r="N62" i="11"/>
  <c r="N61" i="11"/>
  <c r="N59" i="11"/>
  <c r="V60" i="11"/>
  <c r="V59" i="11"/>
  <c r="V62" i="11"/>
  <c r="V61" i="11"/>
  <c r="AG59" i="11"/>
  <c r="AG62" i="11"/>
  <c r="AG61" i="11"/>
  <c r="AG60" i="11"/>
  <c r="AO59" i="11"/>
  <c r="AO61" i="11"/>
  <c r="AO60" i="11"/>
  <c r="AO62" i="11"/>
  <c r="AZ61" i="11"/>
  <c r="AZ60" i="11"/>
  <c r="AZ62" i="11"/>
  <c r="AZ59" i="11"/>
  <c r="BH62" i="11"/>
  <c r="BH59" i="11"/>
  <c r="BH60" i="11"/>
  <c r="BH61" i="11"/>
  <c r="D74" i="11"/>
  <c r="D32" i="11"/>
  <c r="D14" i="11"/>
  <c r="C35" i="13" s="1"/>
  <c r="Z72" i="11"/>
  <c r="Z12" i="11" s="1"/>
  <c r="Z30" i="11"/>
  <c r="C34" i="10"/>
  <c r="C33" i="10"/>
  <c r="U99" i="9"/>
  <c r="U200" i="9"/>
  <c r="AC200" i="9"/>
  <c r="AC99" i="9"/>
  <c r="AE204" i="9"/>
  <c r="AD183" i="9"/>
  <c r="G96" i="9"/>
  <c r="AE96" i="9"/>
  <c r="M98" i="9"/>
  <c r="U98" i="9"/>
  <c r="G100" i="9"/>
  <c r="D30" i="11"/>
  <c r="AE201" i="9"/>
  <c r="AD180" i="9"/>
  <c r="V98" i="9"/>
  <c r="C20" i="10"/>
  <c r="C18" i="10"/>
  <c r="C35" i="10"/>
  <c r="AD165" i="10"/>
  <c r="D70" i="11"/>
  <c r="D10" i="11"/>
  <c r="M59" i="11"/>
  <c r="M62" i="11"/>
  <c r="M61" i="11"/>
  <c r="M60" i="11"/>
  <c r="U60" i="11"/>
  <c r="U59" i="11"/>
  <c r="U62" i="11"/>
  <c r="U61" i="11"/>
  <c r="AF61" i="11"/>
  <c r="AF59" i="11"/>
  <c r="AF62" i="11"/>
  <c r="AF60" i="11"/>
  <c r="AN61" i="11"/>
  <c r="AN60" i="11"/>
  <c r="AN62" i="11"/>
  <c r="AN59" i="11"/>
  <c r="AY59" i="11"/>
  <c r="AY62" i="11"/>
  <c r="AY61" i="11"/>
  <c r="AY60" i="11"/>
  <c r="BG59" i="11"/>
  <c r="BG60" i="11"/>
  <c r="BG62" i="11"/>
  <c r="BG61" i="11"/>
  <c r="G61" i="11"/>
  <c r="G60" i="11"/>
  <c r="G62" i="11"/>
  <c r="O61" i="11"/>
  <c r="O60" i="11"/>
  <c r="O62" i="11"/>
  <c r="O59" i="11"/>
  <c r="AH62" i="11"/>
  <c r="AH60" i="11"/>
  <c r="AH61" i="11"/>
  <c r="AH59" i="11"/>
  <c r="AP59" i="11"/>
  <c r="AP62" i="11"/>
  <c r="AP61" i="11"/>
  <c r="AP60" i="11"/>
  <c r="BA61" i="11"/>
  <c r="BA60" i="11"/>
  <c r="BA59" i="11"/>
  <c r="BA62" i="11"/>
  <c r="BI61" i="11"/>
  <c r="BI60" i="11"/>
  <c r="BI62" i="11"/>
  <c r="BI59" i="11"/>
  <c r="AI60" i="11"/>
  <c r="AI59" i="11"/>
  <c r="AI61" i="11"/>
  <c r="AI62" i="11"/>
  <c r="AQ60" i="11"/>
  <c r="AQ62" i="11"/>
  <c r="AQ61" i="11"/>
  <c r="AQ59" i="11"/>
  <c r="BB61" i="11"/>
  <c r="BB59" i="11"/>
  <c r="BB60" i="11"/>
  <c r="BJ61" i="11"/>
  <c r="BJ60" i="11"/>
  <c r="BJ59" i="11"/>
  <c r="BB62" i="11"/>
  <c r="J59" i="11"/>
  <c r="J62" i="11"/>
  <c r="J61" i="11"/>
  <c r="R59" i="11"/>
  <c r="R61" i="11"/>
  <c r="R62" i="11"/>
  <c r="AC62" i="11"/>
  <c r="AC61" i="11"/>
  <c r="AC60" i="11"/>
  <c r="AK62" i="11"/>
  <c r="AK60" i="11"/>
  <c r="AK61" i="11"/>
  <c r="AK59" i="11"/>
  <c r="J60" i="11"/>
  <c r="BJ62" i="11"/>
  <c r="R60" i="11"/>
  <c r="L80" i="11"/>
  <c r="L79" i="11"/>
  <c r="L81" i="11"/>
  <c r="L78" i="11"/>
  <c r="T80" i="11"/>
  <c r="T79" i="11"/>
  <c r="T78" i="11"/>
  <c r="T81" i="11"/>
  <c r="AV76" i="11"/>
  <c r="AV34" i="11"/>
  <c r="AV16" i="11"/>
  <c r="C22" i="10"/>
  <c r="AD157" i="10"/>
  <c r="H81" i="11"/>
  <c r="H79" i="11"/>
  <c r="H78" i="11"/>
  <c r="H80" i="11"/>
  <c r="AE81" i="11"/>
  <c r="AE79" i="11"/>
  <c r="AE80" i="11"/>
  <c r="AE78" i="11"/>
  <c r="AM81" i="11"/>
  <c r="AM79" i="11"/>
  <c r="AM80" i="11"/>
  <c r="AM78" i="11"/>
  <c r="BE80" i="11"/>
  <c r="BE81" i="11"/>
  <c r="BE79" i="11"/>
  <c r="BE78" i="11"/>
  <c r="AN79" i="11"/>
  <c r="AN78" i="11"/>
  <c r="AN81" i="11"/>
  <c r="AN80" i="11"/>
  <c r="BD60" i="11"/>
  <c r="BD62" i="11"/>
  <c r="BD59" i="11"/>
  <c r="BD61" i="11"/>
  <c r="BL60" i="11"/>
  <c r="BL62" i="11"/>
  <c r="BL59" i="11"/>
  <c r="M80" i="11"/>
  <c r="M78" i="11"/>
  <c r="M79" i="11"/>
  <c r="M81" i="11"/>
  <c r="E21" i="14"/>
  <c r="N128" i="14"/>
  <c r="R67" i="14"/>
  <c r="R275" i="14"/>
  <c r="R79" i="11"/>
  <c r="R81" i="11"/>
  <c r="AC78" i="11"/>
  <c r="AC81" i="11"/>
  <c r="AC80" i="11"/>
  <c r="AK78" i="11"/>
  <c r="AK81" i="11"/>
  <c r="AK80" i="11"/>
  <c r="BC79" i="11"/>
  <c r="BC78" i="11"/>
  <c r="BC81" i="11"/>
  <c r="BK79" i="11"/>
  <c r="BK78" i="11"/>
  <c r="BK81" i="11"/>
  <c r="BC80" i="11"/>
  <c r="K227" i="14"/>
  <c r="L227" i="14" s="1"/>
  <c r="K80" i="11"/>
  <c r="K81" i="11"/>
  <c r="K79" i="11"/>
  <c r="S80" i="11"/>
  <c r="S81" i="11"/>
  <c r="S79" i="11"/>
  <c r="AD78" i="11"/>
  <c r="AD81" i="11"/>
  <c r="AD80" i="11"/>
  <c r="AL78" i="11"/>
  <c r="AL81" i="11"/>
  <c r="AL80" i="11"/>
  <c r="BD79" i="11"/>
  <c r="BD81" i="11"/>
  <c r="BL79" i="11"/>
  <c r="BL81" i="11"/>
  <c r="AI78" i="11"/>
  <c r="R80" i="11"/>
  <c r="BD80" i="11"/>
  <c r="R198" i="14"/>
  <c r="K78" i="11"/>
  <c r="O253" i="14"/>
  <c r="F253" i="14"/>
  <c r="N253" i="14" s="1"/>
  <c r="BF80" i="11"/>
  <c r="BF79" i="11"/>
  <c r="AK79" i="11"/>
  <c r="AD6" i="15"/>
  <c r="AL6" i="15" s="1"/>
  <c r="AR6" i="15" s="1"/>
  <c r="R6" i="15"/>
  <c r="X6" i="15"/>
  <c r="K60" i="11"/>
  <c r="T60" i="11"/>
  <c r="BF60" i="11"/>
  <c r="AL61" i="11"/>
  <c r="S62" i="11"/>
  <c r="R78" i="11"/>
  <c r="AL79" i="11"/>
  <c r="BK80" i="11"/>
  <c r="E12" i="14"/>
  <c r="R199" i="14" s="1"/>
  <c r="R201" i="14" s="1"/>
  <c r="S59" i="11"/>
  <c r="AD61" i="11"/>
  <c r="K62" i="11"/>
  <c r="G78" i="11"/>
  <c r="G81" i="11"/>
  <c r="G80" i="11"/>
  <c r="O78" i="11"/>
  <c r="O81" i="11"/>
  <c r="O80" i="11"/>
  <c r="AH80" i="11"/>
  <c r="AH81" i="11"/>
  <c r="AH79" i="11"/>
  <c r="AP80" i="11"/>
  <c r="AP81" i="11"/>
  <c r="AP79" i="11"/>
  <c r="AZ78" i="11"/>
  <c r="AZ81" i="11"/>
  <c r="AZ80" i="11"/>
  <c r="BH78" i="11"/>
  <c r="BH81" i="11"/>
  <c r="BH80" i="11"/>
  <c r="S78" i="11"/>
  <c r="BD78" i="11"/>
  <c r="O79" i="11"/>
  <c r="BL80" i="11"/>
  <c r="E11" i="14"/>
  <c r="J199" i="14" s="1"/>
  <c r="J201" i="14" s="1"/>
  <c r="O220" i="14"/>
  <c r="B11" i="14"/>
  <c r="Q185" i="14"/>
  <c r="J185" i="14"/>
  <c r="R185" i="14" s="1"/>
  <c r="P81" i="11"/>
  <c r="P79" i="11"/>
  <c r="P80" i="11"/>
  <c r="P78" i="11"/>
  <c r="AI80" i="11"/>
  <c r="AI79" i="11"/>
  <c r="BA78" i="11"/>
  <c r="BA81" i="11"/>
  <c r="BA80" i="11"/>
  <c r="BI78" i="11"/>
  <c r="BI81" i="11"/>
  <c r="BI80" i="11"/>
  <c r="BF81" i="11"/>
  <c r="G40" i="13"/>
  <c r="E17" i="14"/>
  <c r="I28" i="14"/>
  <c r="J29" i="14"/>
  <c r="H29" i="14"/>
  <c r="F261" i="14"/>
  <c r="N261" i="14" s="1"/>
  <c r="O261" i="14"/>
  <c r="BJ78" i="11"/>
  <c r="I81" i="11"/>
  <c r="Q81" i="11"/>
  <c r="R12" i="12"/>
  <c r="S12" i="12" s="1"/>
  <c r="T12" i="12" s="1"/>
  <c r="U12" i="12" s="1"/>
  <c r="F16" i="12"/>
  <c r="F20" i="12"/>
  <c r="F24" i="12"/>
  <c r="F28" i="12"/>
  <c r="D39" i="13"/>
  <c r="K145" i="14"/>
  <c r="J145" i="14"/>
  <c r="J147" i="14"/>
  <c r="M103" i="14"/>
  <c r="E111" i="14"/>
  <c r="M111" i="14" s="1"/>
  <c r="J144" i="14"/>
  <c r="F198" i="14"/>
  <c r="Q253" i="14"/>
  <c r="J120" i="14"/>
  <c r="I15" i="15"/>
  <c r="I78" i="11"/>
  <c r="Q78" i="11"/>
  <c r="E15" i="12"/>
  <c r="E19" i="12"/>
  <c r="E23" i="12"/>
  <c r="E27" i="12"/>
  <c r="E39" i="13"/>
  <c r="N210" i="14"/>
  <c r="R210" i="14" s="1"/>
  <c r="R132" i="14"/>
  <c r="K144" i="14"/>
  <c r="B16" i="17"/>
  <c r="P15" i="17"/>
  <c r="G276" i="14"/>
  <c r="K276" i="14" s="1"/>
  <c r="G273" i="14"/>
  <c r="K273" i="14" s="1"/>
  <c r="G275" i="14"/>
  <c r="K275" i="14" s="1"/>
  <c r="I15" i="14"/>
  <c r="N131" i="14"/>
  <c r="R278" i="14"/>
  <c r="K151" i="14"/>
  <c r="L151" i="14" s="1"/>
  <c r="G274" i="14"/>
  <c r="K274" i="14" s="1"/>
  <c r="V6" i="15"/>
  <c r="AH6" i="15"/>
  <c r="AB6" i="15"/>
  <c r="C157" i="17"/>
  <c r="O141" i="17"/>
  <c r="D40" i="13"/>
  <c r="J197" i="14" a="1"/>
  <c r="J197" i="14" s="1"/>
  <c r="J198" i="14" s="1"/>
  <c r="R121" i="14"/>
  <c r="R123" i="14" s="1"/>
  <c r="G272" i="14"/>
  <c r="K272" i="14" s="1"/>
  <c r="K9" i="15"/>
  <c r="J9" i="15"/>
  <c r="AJ78" i="11"/>
  <c r="BJ79" i="11"/>
  <c r="N81" i="11"/>
  <c r="E13" i="12"/>
  <c r="E17" i="12"/>
  <c r="E21" i="12"/>
  <c r="E25" i="12"/>
  <c r="E29" i="12"/>
  <c r="N198" i="14"/>
  <c r="E99" i="14"/>
  <c r="M100" i="14"/>
  <c r="E151" i="14"/>
  <c r="F151" i="14" s="1"/>
  <c r="J261" i="14"/>
  <c r="R261" i="14" s="1"/>
  <c r="G277" i="14"/>
  <c r="K277" i="14" s="1"/>
  <c r="I20" i="15"/>
  <c r="AS6" i="15"/>
  <c r="AY6" i="15" s="1"/>
  <c r="BE6" i="15" s="1"/>
  <c r="Y7" i="15"/>
  <c r="S7" i="15"/>
  <c r="I17" i="15"/>
  <c r="F13" i="12"/>
  <c r="F17" i="12"/>
  <c r="F21" i="12"/>
  <c r="F25" i="12"/>
  <c r="D17" i="14"/>
  <c r="R130" i="14"/>
  <c r="O185" i="14"/>
  <c r="AF7" i="15"/>
  <c r="T7" i="15"/>
  <c r="Z7" i="15"/>
  <c r="BK8" i="15"/>
  <c r="E16" i="12"/>
  <c r="E20" i="12"/>
  <c r="E24" i="12"/>
  <c r="B9" i="14"/>
  <c r="D16" i="14"/>
  <c r="D22" i="14"/>
  <c r="F118" i="14"/>
  <c r="F120" i="14" s="1"/>
  <c r="Q177" i="14"/>
  <c r="R197" i="14" a="1"/>
  <c r="R197" i="14" s="1"/>
  <c r="AE6" i="15"/>
  <c r="Y6" i="15"/>
  <c r="AG7" i="15"/>
  <c r="AA7" i="15"/>
  <c r="I10" i="15"/>
  <c r="B32" i="17"/>
  <c r="P31" i="17"/>
  <c r="O31" i="17" s="1"/>
  <c r="P80" i="17"/>
  <c r="B81" i="17"/>
  <c r="P81" i="17" s="1"/>
  <c r="O81" i="17" s="1"/>
  <c r="C17" i="17"/>
  <c r="C33" i="17" s="1"/>
  <c r="C15" i="17"/>
  <c r="C31" i="17" s="1"/>
  <c r="C47" i="17" s="1"/>
  <c r="C63" i="17" s="1"/>
  <c r="C79" i="17" s="1"/>
  <c r="C95" i="17" s="1"/>
  <c r="C111" i="17" s="1"/>
  <c r="C127" i="17" s="1"/>
  <c r="C143" i="17" s="1"/>
  <c r="C159" i="17" s="1"/>
  <c r="C14" i="17"/>
  <c r="C30" i="17" s="1"/>
  <c r="C46" i="17" s="1"/>
  <c r="C62" i="17" s="1"/>
  <c r="C78" i="17" s="1"/>
  <c r="C94" i="17" s="1"/>
  <c r="C110" i="17" s="1"/>
  <c r="C126" i="17" s="1"/>
  <c r="C142" i="17" s="1"/>
  <c r="C158" i="17" s="1"/>
  <c r="C12" i="17"/>
  <c r="C16" i="17"/>
  <c r="C32" i="17" s="1"/>
  <c r="C48" i="17" s="1"/>
  <c r="O129" i="17"/>
  <c r="O91" i="16"/>
  <c r="N91" i="16"/>
  <c r="P91" i="16"/>
  <c r="Q91" i="16"/>
  <c r="Q92" i="16" s="1"/>
  <c r="P127" i="17"/>
  <c r="O127" i="17" s="1"/>
  <c r="P126" i="17"/>
  <c r="O126" i="17" s="1"/>
  <c r="E125" i="17"/>
  <c r="P62" i="17"/>
  <c r="O62" i="17" s="1"/>
  <c r="B63" i="17"/>
  <c r="P128" i="17"/>
  <c r="O128" i="17" s="1"/>
  <c r="P96" i="17"/>
  <c r="O96" i="17" s="1"/>
  <c r="B97" i="17"/>
  <c r="P97" i="17" s="1"/>
  <c r="O97" i="17" s="1"/>
  <c r="O157" i="17"/>
  <c r="J40" i="18"/>
  <c r="J24" i="18"/>
  <c r="E61" i="17"/>
  <c r="P61" i="17"/>
  <c r="P94" i="17"/>
  <c r="O94" i="17" s="1"/>
  <c r="E93" i="17"/>
  <c r="P95" i="17"/>
  <c r="O95" i="17" s="1"/>
  <c r="P109" i="17"/>
  <c r="O109" i="17" s="1"/>
  <c r="O142" i="17"/>
  <c r="M10" i="18"/>
  <c r="B48" i="17"/>
  <c r="P47" i="17"/>
  <c r="O47" i="17" s="1"/>
  <c r="B111" i="17"/>
  <c r="P110" i="17"/>
  <c r="B145" i="17"/>
  <c r="P145" i="17" s="1"/>
  <c r="O145" i="17" s="1"/>
  <c r="P144" i="17"/>
  <c r="O144" i="17" s="1"/>
  <c r="O40" i="19"/>
  <c r="O24" i="19"/>
  <c r="P14" i="17"/>
  <c r="O14" i="17" s="1"/>
  <c r="E13" i="17"/>
  <c r="P78" i="17"/>
  <c r="E109" i="17"/>
  <c r="P143" i="17"/>
  <c r="O143" i="17" s="1"/>
  <c r="E77" i="17"/>
  <c r="P79" i="17"/>
  <c r="O79" i="17" s="1"/>
  <c r="M40" i="19"/>
  <c r="M24" i="19"/>
  <c r="B158" i="17"/>
  <c r="K40" i="19"/>
  <c r="K24" i="19"/>
  <c r="L40" i="18"/>
  <c r="Q29" i="17" l="1"/>
  <c r="E35" i="17"/>
  <c r="Q35" i="17" s="1"/>
  <c r="BB79" i="11"/>
  <c r="BB78" i="11"/>
  <c r="E46" i="17"/>
  <c r="Q46" i="17" s="1"/>
  <c r="J79" i="11"/>
  <c r="J80" i="11"/>
  <c r="J81" i="11"/>
  <c r="AF79" i="11"/>
  <c r="BB80" i="11"/>
  <c r="AF78" i="11"/>
  <c r="AF80" i="11"/>
  <c r="Q45" i="17"/>
  <c r="P111" i="17"/>
  <c r="B112" i="17"/>
  <c r="E230" i="14"/>
  <c r="F230" i="14" s="1"/>
  <c r="P158" i="17"/>
  <c r="O158" i="17" s="1"/>
  <c r="B159" i="17"/>
  <c r="E67" i="17"/>
  <c r="Q67" i="17" s="1"/>
  <c r="Q61" i="17"/>
  <c r="E62" i="17"/>
  <c r="AK9" i="15"/>
  <c r="BK9" i="15"/>
  <c r="K230" i="14"/>
  <c r="L230" i="14" s="1"/>
  <c r="M97" i="3"/>
  <c r="M94" i="3"/>
  <c r="E19" i="17"/>
  <c r="Q19" i="17" s="1"/>
  <c r="Q13" i="17"/>
  <c r="E14" i="17"/>
  <c r="U11" i="3"/>
  <c r="O66" i="8"/>
  <c r="O7" i="10" s="1"/>
  <c r="O13" i="17"/>
  <c r="AC9" i="9"/>
  <c r="AC36" i="7"/>
  <c r="X13" i="9"/>
  <c r="X48" i="7"/>
  <c r="Y47" i="7"/>
  <c r="C49" i="17"/>
  <c r="C65" i="17" s="1"/>
  <c r="C81" i="17" s="1"/>
  <c r="C97" i="17" s="1"/>
  <c r="C113" i="17" s="1"/>
  <c r="C129" i="17" s="1"/>
  <c r="C145" i="17" s="1"/>
  <c r="C161" i="17" s="1"/>
  <c r="O29" i="17"/>
  <c r="M99" i="14"/>
  <c r="E107" i="14"/>
  <c r="M107" i="14" s="1"/>
  <c r="R131" i="14"/>
  <c r="N209" i="14"/>
  <c r="R209" i="14" s="1"/>
  <c r="C23" i="10"/>
  <c r="C24" i="10"/>
  <c r="C25" i="10"/>
  <c r="C64" i="17"/>
  <c r="C80" i="17" s="1"/>
  <c r="C96" i="17" s="1"/>
  <c r="C112" i="17" s="1"/>
  <c r="C128" i="17" s="1"/>
  <c r="C144" i="17" s="1"/>
  <c r="C160" i="17" s="1"/>
  <c r="O45" i="17"/>
  <c r="P63" i="17"/>
  <c r="O63" i="17" s="1"/>
  <c r="B64" i="17"/>
  <c r="I172" i="7"/>
  <c r="I168" i="7"/>
  <c r="J167" i="7"/>
  <c r="J172" i="7" s="1"/>
  <c r="AC12" i="9"/>
  <c r="U82" i="9"/>
  <c r="U80" i="9"/>
  <c r="U78" i="9"/>
  <c r="O15" i="17"/>
  <c r="H28" i="14"/>
  <c r="G29" i="14"/>
  <c r="G28" i="14" s="1"/>
  <c r="M24" i="18"/>
  <c r="M40" i="18"/>
  <c r="L83" i="9"/>
  <c r="L82" i="9"/>
  <c r="L79" i="9"/>
  <c r="L80" i="9"/>
  <c r="K82" i="9"/>
  <c r="K79" i="9"/>
  <c r="K80" i="9"/>
  <c r="AD31" i="9"/>
  <c r="AD29" i="9"/>
  <c r="T100" i="9"/>
  <c r="AA267" i="8"/>
  <c r="V273" i="8"/>
  <c r="V101" i="10" s="1"/>
  <c r="V264" i="8"/>
  <c r="V265" i="8" s="1"/>
  <c r="F34" i="2" s="1"/>
  <c r="Y267" i="8"/>
  <c r="F117" i="16"/>
  <c r="T46" i="7"/>
  <c r="W239" i="8"/>
  <c r="K135" i="10"/>
  <c r="K185" i="8"/>
  <c r="I132" i="8"/>
  <c r="I158" i="8" s="1"/>
  <c r="J130" i="8"/>
  <c r="J132" i="8" s="1"/>
  <c r="I172" i="8"/>
  <c r="I174" i="8" s="1"/>
  <c r="J260" i="8"/>
  <c r="I135" i="10"/>
  <c r="I185" i="8"/>
  <c r="J246" i="8"/>
  <c r="J249" i="8" s="1"/>
  <c r="AA128" i="8"/>
  <c r="P42" i="3" s="1"/>
  <c r="AB218" i="8"/>
  <c r="AD142" i="8"/>
  <c r="X56" i="3" s="1"/>
  <c r="R56" i="3"/>
  <c r="P135" i="10"/>
  <c r="P185" i="8"/>
  <c r="G100" i="3"/>
  <c r="H185" i="8"/>
  <c r="I154" i="9"/>
  <c r="I42" i="8"/>
  <c r="R78" i="9"/>
  <c r="AB207" i="8"/>
  <c r="AA83" i="8"/>
  <c r="T30" i="8"/>
  <c r="P66" i="8"/>
  <c r="P7" i="10" s="1"/>
  <c r="G11" i="3"/>
  <c r="G12" i="3" s="1"/>
  <c r="G76" i="3" s="1"/>
  <c r="P36" i="8"/>
  <c r="G66" i="8"/>
  <c r="G7" i="10" s="1"/>
  <c r="G36" i="8"/>
  <c r="L232" i="7"/>
  <c r="L228" i="7"/>
  <c r="V113" i="10"/>
  <c r="L98" i="3"/>
  <c r="M228" i="7"/>
  <c r="M232" i="7"/>
  <c r="S180" i="7"/>
  <c r="S184" i="7"/>
  <c r="X54" i="9"/>
  <c r="X56" i="9"/>
  <c r="X52" i="9"/>
  <c r="S168" i="7"/>
  <c r="S172" i="7"/>
  <c r="G134" i="7"/>
  <c r="F184" i="7"/>
  <c r="J179" i="7"/>
  <c r="H134" i="7"/>
  <c r="I134" i="7"/>
  <c r="G59" i="3"/>
  <c r="G70" i="3" s="1"/>
  <c r="K162" i="9"/>
  <c r="K154" i="9"/>
  <c r="K42" i="8"/>
  <c r="J94" i="3"/>
  <c r="H180" i="7"/>
  <c r="H184" i="7"/>
  <c r="AF35" i="7"/>
  <c r="AA139" i="7"/>
  <c r="AB140" i="7"/>
  <c r="AB44" i="7"/>
  <c r="AC45" i="7" s="1"/>
  <c r="P98" i="7"/>
  <c r="Z167" i="7"/>
  <c r="X165" i="7"/>
  <c r="Y165" i="7" s="1"/>
  <c r="AD99" i="9"/>
  <c r="AD96" i="9"/>
  <c r="AD97" i="9"/>
  <c r="U83" i="9"/>
  <c r="Y96" i="9"/>
  <c r="Y98" i="9"/>
  <c r="L39" i="14"/>
  <c r="W249" i="8"/>
  <c r="X249" i="8" s="1"/>
  <c r="O172" i="9"/>
  <c r="O19" i="9"/>
  <c r="O43" i="7" s="1"/>
  <c r="O17" i="9"/>
  <c r="O37" i="7" s="1"/>
  <c r="O30" i="7"/>
  <c r="Q83" i="9"/>
  <c r="V78" i="9"/>
  <c r="V80" i="9"/>
  <c r="V83" i="9"/>
  <c r="J69" i="9"/>
  <c r="J78" i="9" s="1"/>
  <c r="J59" i="9"/>
  <c r="J64" i="9"/>
  <c r="J80" i="10" s="1"/>
  <c r="J16" i="9"/>
  <c r="J34" i="7" s="1"/>
  <c r="J18" i="9"/>
  <c r="J40" i="7" s="1"/>
  <c r="J20" i="9"/>
  <c r="J46" i="7" s="1"/>
  <c r="J30" i="7"/>
  <c r="L135" i="10"/>
  <c r="L185" i="8"/>
  <c r="Y29" i="9"/>
  <c r="Y57" i="9"/>
  <c r="X282" i="8"/>
  <c r="Y280" i="8"/>
  <c r="Y141" i="8"/>
  <c r="W55" i="3" s="1"/>
  <c r="N55" i="3"/>
  <c r="J184" i="8"/>
  <c r="J183" i="8"/>
  <c r="T69" i="9"/>
  <c r="T80" i="9" s="1"/>
  <c r="T59" i="9"/>
  <c r="AD30" i="9"/>
  <c r="Q118" i="10"/>
  <c r="H99" i="3"/>
  <c r="AE142" i="8"/>
  <c r="Y56" i="3" s="1"/>
  <c r="AF224" i="8"/>
  <c r="W307" i="8"/>
  <c r="V308" i="8"/>
  <c r="V152" i="10" s="1"/>
  <c r="W145" i="8"/>
  <c r="W156" i="8" s="1"/>
  <c r="W158" i="8" s="1"/>
  <c r="U204" i="7"/>
  <c r="Y203" i="7"/>
  <c r="U208" i="7"/>
  <c r="Y208" i="7" s="1"/>
  <c r="P178" i="8"/>
  <c r="M36" i="8"/>
  <c r="M66" i="8"/>
  <c r="M7" i="10" s="1"/>
  <c r="J30" i="8"/>
  <c r="F66" i="8"/>
  <c r="F7" i="10" s="1"/>
  <c r="F36" i="8"/>
  <c r="K186" i="9" s="1"/>
  <c r="V220" i="7"/>
  <c r="K228" i="8"/>
  <c r="T113" i="10"/>
  <c r="V98" i="3"/>
  <c r="R180" i="7"/>
  <c r="R184" i="7"/>
  <c r="AA128" i="7"/>
  <c r="Z127" i="7"/>
  <c r="K232" i="8"/>
  <c r="K128" i="10" s="1"/>
  <c r="F220" i="7"/>
  <c r="J215" i="7"/>
  <c r="H232" i="7"/>
  <c r="H228" i="7"/>
  <c r="O122" i="7"/>
  <c r="V122" i="7"/>
  <c r="M98" i="7"/>
  <c r="Z9" i="9"/>
  <c r="Z36" i="7"/>
  <c r="AD35" i="7"/>
  <c r="Z139" i="7"/>
  <c r="AA152" i="7"/>
  <c r="Z151" i="7"/>
  <c r="AA44" i="7"/>
  <c r="G172" i="7"/>
  <c r="G168" i="7"/>
  <c r="Q226" i="8"/>
  <c r="Q228" i="8" s="1"/>
  <c r="R226" i="8"/>
  <c r="R228" i="8" s="1"/>
  <c r="G308" i="8"/>
  <c r="G152" i="10" s="1"/>
  <c r="G83" i="9"/>
  <c r="G78" i="9"/>
  <c r="G80" i="9"/>
  <c r="G81" i="9"/>
  <c r="H178" i="8"/>
  <c r="U106" i="3"/>
  <c r="E52" i="4" s="1"/>
  <c r="U105" i="3"/>
  <c r="E51" i="4" s="1"/>
  <c r="U38" i="3"/>
  <c r="Q299" i="8"/>
  <c r="Q110" i="8"/>
  <c r="X318" i="8"/>
  <c r="X320" i="8" s="1"/>
  <c r="Z307" i="8"/>
  <c r="Z310" i="8" s="1"/>
  <c r="X140" i="8"/>
  <c r="X226" i="8"/>
  <c r="K145" i="8"/>
  <c r="K156" i="8" s="1"/>
  <c r="K158" i="8" s="1"/>
  <c r="I220" i="8"/>
  <c r="I221" i="8" s="1"/>
  <c r="U66" i="8"/>
  <c r="U7" i="10" s="1"/>
  <c r="U36" i="8"/>
  <c r="K11" i="3"/>
  <c r="S206" i="9"/>
  <c r="S154" i="9"/>
  <c r="S162" i="9"/>
  <c r="S42" i="8"/>
  <c r="J15" i="3"/>
  <c r="W113" i="10"/>
  <c r="M98" i="3"/>
  <c r="W134" i="7"/>
  <c r="Q184" i="7"/>
  <c r="AA84" i="7"/>
  <c r="AB86" i="7"/>
  <c r="Y36" i="7"/>
  <c r="I228" i="7"/>
  <c r="G216" i="7"/>
  <c r="W146" i="7"/>
  <c r="N184" i="7"/>
  <c r="N180" i="7"/>
  <c r="G180" i="7"/>
  <c r="M172" i="7"/>
  <c r="M168" i="7"/>
  <c r="AA9" i="9"/>
  <c r="AA36" i="7"/>
  <c r="L106" i="3"/>
  <c r="BL8" i="11"/>
  <c r="BL49" i="11" s="1"/>
  <c r="BD8" i="11"/>
  <c r="BD49" i="11" s="1"/>
  <c r="BH8" i="11"/>
  <c r="BH49" i="11" s="1"/>
  <c r="AP8" i="11"/>
  <c r="AP49" i="11" s="1"/>
  <c r="AH8" i="11"/>
  <c r="AH49" i="11" s="1"/>
  <c r="BF8" i="11"/>
  <c r="BF49" i="11" s="1"/>
  <c r="AL8" i="11"/>
  <c r="AL49" i="11" s="1"/>
  <c r="BJ8" i="11"/>
  <c r="BJ49" i="11" s="1"/>
  <c r="BN8" i="11"/>
  <c r="BN49" i="11" s="1"/>
  <c r="AR8" i="11"/>
  <c r="AR49" i="11" s="1"/>
  <c r="J49" i="11"/>
  <c r="AN8" i="11"/>
  <c r="AN49" i="11" s="1"/>
  <c r="AJ8" i="11"/>
  <c r="AJ49" i="11" s="1"/>
  <c r="Q122" i="7"/>
  <c r="I11" i="15"/>
  <c r="J10" i="15"/>
  <c r="K10" i="15" s="1"/>
  <c r="Q82" i="9"/>
  <c r="Q30" i="17"/>
  <c r="E31" i="17"/>
  <c r="I18" i="15"/>
  <c r="R83" i="9"/>
  <c r="T99" i="9"/>
  <c r="K83" i="9"/>
  <c r="Q79" i="9"/>
  <c r="AD100" i="9"/>
  <c r="H272" i="8"/>
  <c r="H165" i="10" s="1"/>
  <c r="H240" i="8"/>
  <c r="H226" i="8"/>
  <c r="I226" i="8"/>
  <c r="N174" i="8"/>
  <c r="N81" i="9"/>
  <c r="AC290" i="8"/>
  <c r="AC254" i="8"/>
  <c r="AC94" i="8"/>
  <c r="J21" i="9"/>
  <c r="J49" i="7" s="1"/>
  <c r="S174" i="8"/>
  <c r="O264" i="8"/>
  <c r="O265" i="8" s="1"/>
  <c r="O273" i="8"/>
  <c r="J169" i="8"/>
  <c r="T50" i="3"/>
  <c r="T51" i="3" s="1"/>
  <c r="O59" i="9"/>
  <c r="O69" i="9"/>
  <c r="O67" i="9"/>
  <c r="O83" i="10" s="1"/>
  <c r="O65" i="9"/>
  <c r="O81" i="10" s="1"/>
  <c r="O64" i="9"/>
  <c r="O80" i="10" s="1"/>
  <c r="O63" i="9"/>
  <c r="O79" i="10" s="1"/>
  <c r="O62" i="9"/>
  <c r="O78" i="10" s="1"/>
  <c r="J47" i="9"/>
  <c r="J41" i="9"/>
  <c r="J46" i="9"/>
  <c r="T226" i="8"/>
  <c r="T228" i="8" s="1"/>
  <c r="Y225" i="8"/>
  <c r="Y226" i="8" s="1"/>
  <c r="Z223" i="8"/>
  <c r="T178" i="8"/>
  <c r="T299" i="8" s="1"/>
  <c r="M9" i="13"/>
  <c r="N8" i="13" s="1"/>
  <c r="K188" i="8"/>
  <c r="K145" i="10" s="1"/>
  <c r="K170" i="8"/>
  <c r="K172" i="8" s="1"/>
  <c r="V118" i="10"/>
  <c r="L99" i="3"/>
  <c r="P113" i="10"/>
  <c r="G98" i="3"/>
  <c r="J145" i="8"/>
  <c r="J156" i="8" s="1"/>
  <c r="G31" i="14"/>
  <c r="J182" i="8"/>
  <c r="J299" i="8"/>
  <c r="J70" i="8"/>
  <c r="J57" i="10" s="1"/>
  <c r="T8" i="3"/>
  <c r="W184" i="7"/>
  <c r="W180" i="7"/>
  <c r="X179" i="7"/>
  <c r="V36" i="8"/>
  <c r="L11" i="3"/>
  <c r="V66" i="8"/>
  <c r="V7" i="10" s="1"/>
  <c r="N66" i="8"/>
  <c r="N7" i="10" s="1"/>
  <c r="N36" i="8"/>
  <c r="K232" i="7"/>
  <c r="O227" i="7"/>
  <c r="K228" i="7"/>
  <c r="O208" i="7"/>
  <c r="O204" i="7"/>
  <c r="Y71" i="7"/>
  <c r="K110" i="7"/>
  <c r="T192" i="7"/>
  <c r="T196" i="7"/>
  <c r="Y45" i="7"/>
  <c r="R25" i="8"/>
  <c r="Q24" i="8"/>
  <c r="R178" i="8"/>
  <c r="H216" i="7"/>
  <c r="H220" i="7"/>
  <c r="W98" i="7"/>
  <c r="X97" i="7"/>
  <c r="AA53" i="7"/>
  <c r="Y139" i="7"/>
  <c r="Y145" i="7" s="1"/>
  <c r="U145" i="7"/>
  <c r="U146" i="7" s="1"/>
  <c r="Z83" i="7"/>
  <c r="L146" i="7"/>
  <c r="V97" i="3"/>
  <c r="F67" i="4" s="1"/>
  <c r="K104" i="3"/>
  <c r="K46" i="3"/>
  <c r="G34" i="14"/>
  <c r="H98" i="7"/>
  <c r="X10" i="9"/>
  <c r="X39" i="7"/>
  <c r="Y38" i="7"/>
  <c r="M46" i="4"/>
  <c r="H94" i="3"/>
  <c r="AB123" i="10"/>
  <c r="AB186" i="8" s="1"/>
  <c r="AC125" i="10"/>
  <c r="G117" i="16"/>
  <c r="T40" i="7"/>
  <c r="T96" i="9"/>
  <c r="T98" i="9"/>
  <c r="Y53" i="9"/>
  <c r="E110" i="17"/>
  <c r="E115" i="17"/>
  <c r="Q115" i="17" s="1"/>
  <c r="Q109" i="17"/>
  <c r="O78" i="17"/>
  <c r="O110" i="17"/>
  <c r="P92" i="16"/>
  <c r="O80" i="17"/>
  <c r="K154" i="14"/>
  <c r="L154" i="14" s="1"/>
  <c r="J121" i="14"/>
  <c r="J123" i="14" s="1"/>
  <c r="L81" i="9"/>
  <c r="U81" i="9"/>
  <c r="J19" i="9"/>
  <c r="J43" i="7" s="1"/>
  <c r="L40" i="14"/>
  <c r="W111" i="8"/>
  <c r="W200" i="8"/>
  <c r="W92" i="10" s="1"/>
  <c r="M86" i="3"/>
  <c r="V82" i="9"/>
  <c r="P83" i="9"/>
  <c r="P78" i="9"/>
  <c r="P81" i="9"/>
  <c r="P79" i="9"/>
  <c r="AB267" i="8"/>
  <c r="W264" i="8"/>
  <c r="W265" i="8" s="1"/>
  <c r="W273" i="8"/>
  <c r="W101" i="10" s="1"/>
  <c r="R274" i="14"/>
  <c r="N127" i="14"/>
  <c r="R66" i="14"/>
  <c r="J83" i="9"/>
  <c r="Z279" i="8"/>
  <c r="G221" i="8"/>
  <c r="G228" i="8" s="1"/>
  <c r="H221" i="8"/>
  <c r="W178" i="8"/>
  <c r="O21" i="9"/>
  <c r="O49" i="7" s="1"/>
  <c r="M221" i="8"/>
  <c r="P118" i="10"/>
  <c r="G99" i="3"/>
  <c r="Y30" i="9"/>
  <c r="AB245" i="8"/>
  <c r="AC239" i="8"/>
  <c r="I178" i="8"/>
  <c r="V228" i="8"/>
  <c r="J187" i="8"/>
  <c r="J140" i="10" s="1"/>
  <c r="O82" i="9"/>
  <c r="Y210" i="8"/>
  <c r="Z206" i="8" s="1"/>
  <c r="X127" i="8"/>
  <c r="R113" i="10"/>
  <c r="I98" i="3"/>
  <c r="P221" i="8"/>
  <c r="K308" i="8"/>
  <c r="K152" i="10" s="1"/>
  <c r="O152" i="10" s="1"/>
  <c r="L307" i="8"/>
  <c r="U308" i="8"/>
  <c r="U152" i="10" s="1"/>
  <c r="T172" i="8"/>
  <c r="T174" i="8" s="1"/>
  <c r="R135" i="10"/>
  <c r="R185" i="8"/>
  <c r="I100" i="3"/>
  <c r="V135" i="10"/>
  <c r="V185" i="8"/>
  <c r="L100" i="3"/>
  <c r="T118" i="10"/>
  <c r="V99" i="3"/>
  <c r="F69" i="4" s="1"/>
  <c r="V172" i="7"/>
  <c r="Z215" i="7"/>
  <c r="X213" i="7"/>
  <c r="X214" i="7" s="1"/>
  <c r="U227" i="7"/>
  <c r="Y127" i="7"/>
  <c r="Y133" i="7" s="1"/>
  <c r="U133" i="7"/>
  <c r="U134" i="7" s="1"/>
  <c r="Q172" i="7"/>
  <c r="X24" i="8"/>
  <c r="W24" i="8" s="1"/>
  <c r="AD24" i="8"/>
  <c r="Y25" i="8"/>
  <c r="W4" i="3"/>
  <c r="L122" i="7"/>
  <c r="M122" i="7"/>
  <c r="Q220" i="7"/>
  <c r="S122" i="7"/>
  <c r="L66" i="8"/>
  <c r="L7" i="10" s="1"/>
  <c r="L36" i="8"/>
  <c r="S110" i="10"/>
  <c r="S4" i="10"/>
  <c r="S162" i="10"/>
  <c r="S69" i="10"/>
  <c r="S63" i="8"/>
  <c r="S28" i="7"/>
  <c r="J6" i="3"/>
  <c r="AG9" i="9"/>
  <c r="AG36" i="7"/>
  <c r="AJ35" i="7"/>
  <c r="O98" i="7"/>
  <c r="Z71" i="7"/>
  <c r="X41" i="7"/>
  <c r="AB9" i="9"/>
  <c r="AB36" i="7"/>
  <c r="I97" i="3"/>
  <c r="Y103" i="7"/>
  <c r="Y109" i="7" s="1"/>
  <c r="R134" i="7"/>
  <c r="O50" i="14"/>
  <c r="N51" i="14"/>
  <c r="O220" i="7"/>
  <c r="O214" i="7"/>
  <c r="O216" i="7"/>
  <c r="AA65" i="7"/>
  <c r="Z38" i="7"/>
  <c r="L94" i="3"/>
  <c r="L97" i="3"/>
  <c r="R82" i="9"/>
  <c r="R81" i="9"/>
  <c r="R79" i="9"/>
  <c r="U299" i="8"/>
  <c r="U110" i="8"/>
  <c r="M228" i="8"/>
  <c r="V299" i="8"/>
  <c r="V110" i="8"/>
  <c r="K42" i="14" s="1"/>
  <c r="T158" i="8"/>
  <c r="N135" i="10"/>
  <c r="N185" i="8"/>
  <c r="O20" i="9"/>
  <c r="O46" i="7" s="1"/>
  <c r="L221" i="8"/>
  <c r="L228" i="8" s="1"/>
  <c r="K299" i="8"/>
  <c r="K110" i="8"/>
  <c r="R276" i="14"/>
  <c r="R68" i="14"/>
  <c r="N129" i="14"/>
  <c r="J109" i="8"/>
  <c r="K172" i="7"/>
  <c r="O167" i="7"/>
  <c r="K168" i="7"/>
  <c r="R168" i="7"/>
  <c r="R172" i="7"/>
  <c r="U192" i="7"/>
  <c r="Y191" i="7"/>
  <c r="Y190" i="7" s="1"/>
  <c r="U196" i="7"/>
  <c r="Y196" i="7" s="1"/>
  <c r="T135" i="10"/>
  <c r="T185" i="8"/>
  <c r="V100" i="3"/>
  <c r="F70" i="4" s="1"/>
  <c r="T221" i="8"/>
  <c r="N41" i="14"/>
  <c r="Y62" i="10"/>
  <c r="U113" i="10"/>
  <c r="K98" i="3"/>
  <c r="K101" i="3" s="1"/>
  <c r="W216" i="7"/>
  <c r="R220" i="7"/>
  <c r="R216" i="7"/>
  <c r="N24" i="8"/>
  <c r="J24" i="8"/>
  <c r="O25" i="8"/>
  <c r="U4" i="3"/>
  <c r="O196" i="7"/>
  <c r="O192" i="7"/>
  <c r="X202" i="7"/>
  <c r="X201" i="7"/>
  <c r="Y201" i="7" s="1"/>
  <c r="Z203" i="7"/>
  <c r="Z109" i="7"/>
  <c r="X103" i="7"/>
  <c r="Q71" i="8"/>
  <c r="Q64" i="10" s="1"/>
  <c r="Q45" i="8"/>
  <c r="X190" i="7"/>
  <c r="Z191" i="7"/>
  <c r="X189" i="7"/>
  <c r="Y189" i="7" s="1"/>
  <c r="L134" i="7"/>
  <c r="L220" i="7"/>
  <c r="T104" i="3"/>
  <c r="D50" i="4" s="1"/>
  <c r="T46" i="3"/>
  <c r="T94" i="3" s="1"/>
  <c r="D47" i="4" s="1"/>
  <c r="G94" i="3"/>
  <c r="M184" i="7"/>
  <c r="M180" i="7"/>
  <c r="G7" i="14"/>
  <c r="K10" i="18"/>
  <c r="C10" i="18"/>
  <c r="C40" i="18"/>
  <c r="C24" i="18"/>
  <c r="H6" i="18"/>
  <c r="AA92" i="7"/>
  <c r="X30" i="7"/>
  <c r="X40" i="7" s="1"/>
  <c r="L104" i="3"/>
  <c r="O92" i="16"/>
  <c r="C28" i="17"/>
  <c r="O12" i="17"/>
  <c r="B33" i="17"/>
  <c r="P33" i="17" s="1"/>
  <c r="O33" i="17" s="1"/>
  <c r="P32" i="17"/>
  <c r="O32" i="17" s="1"/>
  <c r="G299" i="8"/>
  <c r="G110" i="8"/>
  <c r="J65" i="9"/>
  <c r="J81" i="10" s="1"/>
  <c r="F80" i="9"/>
  <c r="F78" i="9"/>
  <c r="F81" i="9"/>
  <c r="O31" i="9"/>
  <c r="O30" i="9"/>
  <c r="L299" i="8"/>
  <c r="L110" i="8"/>
  <c r="I78" i="9"/>
  <c r="I81" i="9"/>
  <c r="V81" i="9"/>
  <c r="T273" i="8"/>
  <c r="T264" i="8"/>
  <c r="T265" i="8" s="1"/>
  <c r="AA291" i="8"/>
  <c r="AA92" i="8"/>
  <c r="N299" i="8"/>
  <c r="N110" i="8"/>
  <c r="T19" i="9"/>
  <c r="T172" i="9"/>
  <c r="T16" i="9"/>
  <c r="T30" i="7"/>
  <c r="AI30" i="7" s="1"/>
  <c r="M174" i="8"/>
  <c r="T41" i="9"/>
  <c r="T44" i="9"/>
  <c r="T47" i="9"/>
  <c r="T46" i="9"/>
  <c r="Y149" i="8"/>
  <c r="N63" i="3"/>
  <c r="O158" i="8"/>
  <c r="G113" i="10"/>
  <c r="G185" i="8"/>
  <c r="N232" i="7"/>
  <c r="N228" i="7"/>
  <c r="R154" i="9"/>
  <c r="R162" i="9"/>
  <c r="R206" i="9"/>
  <c r="R186" i="9"/>
  <c r="R42" i="8"/>
  <c r="I15" i="3"/>
  <c r="AA116" i="7"/>
  <c r="Z115" i="7"/>
  <c r="M38" i="14"/>
  <c r="Y34" i="8"/>
  <c r="N38" i="14" s="1"/>
  <c r="X60" i="8"/>
  <c r="Y60" i="8" s="1"/>
  <c r="T110" i="10"/>
  <c r="T162" i="10"/>
  <c r="T4" i="10"/>
  <c r="T69" i="10"/>
  <c r="T63" i="8"/>
  <c r="T28" i="7"/>
  <c r="V6" i="3"/>
  <c r="I180" i="7"/>
  <c r="I184" i="7"/>
  <c r="AB104" i="7"/>
  <c r="I220" i="7"/>
  <c r="I216" i="7"/>
  <c r="P174" i="8"/>
  <c r="R110" i="7"/>
  <c r="W110" i="7"/>
  <c r="U110" i="7"/>
  <c r="P232" i="7"/>
  <c r="T227" i="7"/>
  <c r="P228" i="7"/>
  <c r="N172" i="7"/>
  <c r="N168" i="7"/>
  <c r="W170" i="8"/>
  <c r="W172" i="8" s="1"/>
  <c r="W174" i="8" s="1"/>
  <c r="V192" i="7"/>
  <c r="V204" i="7"/>
  <c r="S98" i="7"/>
  <c r="Y33" i="7"/>
  <c r="C40" i="19"/>
  <c r="C24" i="19"/>
  <c r="H10" i="19"/>
  <c r="C10" i="19"/>
  <c r="H6" i="19"/>
  <c r="L10" i="19"/>
  <c r="X12" i="9"/>
  <c r="X46" i="7"/>
  <c r="X45" i="7"/>
  <c r="O135" i="10"/>
  <c r="U100" i="3"/>
  <c r="E70" i="4" s="1"/>
  <c r="Q81" i="9"/>
  <c r="Q78" i="9"/>
  <c r="E78" i="17"/>
  <c r="Q77" i="17"/>
  <c r="E83" i="17"/>
  <c r="Q83" i="17" s="1"/>
  <c r="P48" i="17"/>
  <c r="O48" i="17" s="1"/>
  <c r="B49" i="17"/>
  <c r="P49" i="17" s="1"/>
  <c r="O49" i="17" s="1"/>
  <c r="Q93" i="17"/>
  <c r="E99" i="17"/>
  <c r="Q99" i="17" s="1"/>
  <c r="E94" i="17"/>
  <c r="Q125" i="17"/>
  <c r="E126" i="17"/>
  <c r="E131" i="17"/>
  <c r="Q131" i="17" s="1"/>
  <c r="I21" i="15"/>
  <c r="I24" i="15"/>
  <c r="O125" i="17"/>
  <c r="P16" i="17"/>
  <c r="O16" i="17" s="1"/>
  <c r="B17" i="17"/>
  <c r="P17" i="17" s="1"/>
  <c r="O17" i="17" s="1"/>
  <c r="K29" i="14"/>
  <c r="J28" i="14"/>
  <c r="J27" i="14" s="1"/>
  <c r="J48" i="14" s="1"/>
  <c r="N206" i="14"/>
  <c r="R206" i="14" s="1"/>
  <c r="R128" i="14"/>
  <c r="O98" i="9"/>
  <c r="O100" i="9"/>
  <c r="U79" i="9"/>
  <c r="L78" i="9"/>
  <c r="Y55" i="9"/>
  <c r="T17" i="9"/>
  <c r="Z291" i="8"/>
  <c r="Z92" i="8"/>
  <c r="O228" i="8"/>
  <c r="J81" i="9"/>
  <c r="O79" i="9"/>
  <c r="O137" i="8"/>
  <c r="O145" i="8" s="1"/>
  <c r="O156" i="8" s="1"/>
  <c r="N145" i="8"/>
  <c r="N156" i="8" s="1"/>
  <c r="N158" i="8" s="1"/>
  <c r="M83" i="9"/>
  <c r="T81" i="9"/>
  <c r="P226" i="8"/>
  <c r="P228" i="8" s="1"/>
  <c r="V172" i="8"/>
  <c r="V174" i="8" s="1"/>
  <c r="T21" i="9"/>
  <c r="L172" i="8"/>
  <c r="L174" i="8" s="1"/>
  <c r="X252" i="8"/>
  <c r="P80" i="9"/>
  <c r="W232" i="8"/>
  <c r="W128" i="10" s="1"/>
  <c r="X219" i="8"/>
  <c r="M178" i="8"/>
  <c r="S110" i="8"/>
  <c r="S299" i="8"/>
  <c r="T78" i="9"/>
  <c r="J261" i="8"/>
  <c r="K259" i="8" s="1"/>
  <c r="W135" i="10"/>
  <c r="W185" i="8"/>
  <c r="M100" i="3"/>
  <c r="O16" i="9"/>
  <c r="O34" i="7" s="1"/>
  <c r="Q135" i="10"/>
  <c r="Q185" i="8"/>
  <c r="H100" i="3"/>
  <c r="O214" i="8"/>
  <c r="O85" i="10" s="1"/>
  <c r="K309" i="8"/>
  <c r="K157" i="10" s="1"/>
  <c r="S220" i="7"/>
  <c r="S216" i="7"/>
  <c r="H66" i="8"/>
  <c r="H7" i="10" s="1"/>
  <c r="H36" i="8"/>
  <c r="I206" i="9" s="1"/>
  <c r="W66" i="8"/>
  <c r="W7" i="10" s="1"/>
  <c r="W36" i="8"/>
  <c r="M11" i="3"/>
  <c r="H31" i="14"/>
  <c r="O182" i="8"/>
  <c r="O185" i="8" s="1"/>
  <c r="O70" i="8"/>
  <c r="O57" i="10" s="1"/>
  <c r="U8" i="3"/>
  <c r="Y121" i="7"/>
  <c r="Y213" i="7"/>
  <c r="Y151" i="7"/>
  <c r="F232" i="7"/>
  <c r="J227" i="7"/>
  <c r="J232" i="7" s="1"/>
  <c r="H168" i="7"/>
  <c r="H172" i="7"/>
  <c r="N146" i="7"/>
  <c r="T110" i="7"/>
  <c r="O110" i="7"/>
  <c r="V98" i="7"/>
  <c r="Z32" i="7"/>
  <c r="AD77" i="7"/>
  <c r="AE77" i="7" s="1"/>
  <c r="O68" i="8"/>
  <c r="O45" i="10" s="1"/>
  <c r="U97" i="7"/>
  <c r="U98" i="7" s="1"/>
  <c r="AE35" i="7"/>
  <c r="Z12" i="9"/>
  <c r="Z45" i="7"/>
  <c r="AD44" i="7"/>
  <c r="T204" i="7"/>
  <c r="T208" i="7"/>
  <c r="X173" i="9"/>
  <c r="X193" i="9"/>
  <c r="Y8" i="9"/>
  <c r="X34" i="9"/>
  <c r="O118" i="10"/>
  <c r="U99" i="3"/>
  <c r="E69" i="4" s="1"/>
  <c r="X194" i="9"/>
  <c r="X174" i="9"/>
  <c r="X35" i="9"/>
  <c r="Y9" i="9"/>
  <c r="Z227" i="7"/>
  <c r="X225" i="7"/>
  <c r="X226" i="7" s="1"/>
  <c r="E47" i="17" l="1"/>
  <c r="E48" i="17" s="1"/>
  <c r="AK10" i="15"/>
  <c r="BK10" i="15"/>
  <c r="U232" i="7"/>
  <c r="Y232" i="7" s="1"/>
  <c r="Y227" i="7"/>
  <c r="U228" i="7"/>
  <c r="V228" i="7"/>
  <c r="AD206" i="8"/>
  <c r="Z208" i="8"/>
  <c r="AB290" i="8"/>
  <c r="AB94" i="8"/>
  <c r="AB254" i="8"/>
  <c r="Y39" i="7"/>
  <c r="Z97" i="7"/>
  <c r="X91" i="7"/>
  <c r="Y91" i="7" s="1"/>
  <c r="Y97" i="7" s="1"/>
  <c r="O232" i="7"/>
  <c r="O228" i="7"/>
  <c r="G101" i="3"/>
  <c r="J188" i="8"/>
  <c r="J145" i="10" s="1"/>
  <c r="J170" i="8"/>
  <c r="J172" i="8" s="1"/>
  <c r="O174" i="8" s="1"/>
  <c r="J239" i="8"/>
  <c r="J240" i="8"/>
  <c r="AA174" i="9"/>
  <c r="AA35" i="9"/>
  <c r="AA194" i="9"/>
  <c r="V146" i="7"/>
  <c r="AD36" i="7"/>
  <c r="J66" i="8"/>
  <c r="J7" i="10" s="1"/>
  <c r="T11" i="3"/>
  <c r="X284" i="8"/>
  <c r="Y284" i="8" s="1"/>
  <c r="Y282" i="8"/>
  <c r="Y266" i="8" s="1"/>
  <c r="X266" i="8"/>
  <c r="X264" i="8" s="1"/>
  <c r="X265" i="8" s="1"/>
  <c r="X166" i="7"/>
  <c r="G162" i="9"/>
  <c r="G154" i="9"/>
  <c r="G206" i="9"/>
  <c r="G42" i="8"/>
  <c r="U12" i="3"/>
  <c r="E24" i="4"/>
  <c r="X155" i="9"/>
  <c r="Y34" i="9"/>
  <c r="Y35" i="9"/>
  <c r="X156" i="9"/>
  <c r="Z197" i="9"/>
  <c r="Z177" i="9"/>
  <c r="Z38" i="9"/>
  <c r="M13" i="3"/>
  <c r="M12" i="3"/>
  <c r="M76" i="3" s="1"/>
  <c r="C44" i="17"/>
  <c r="O28" i="17"/>
  <c r="M47" i="4"/>
  <c r="Q253" i="8"/>
  <c r="Q255" i="8" s="1"/>
  <c r="Q54" i="8"/>
  <c r="Q53" i="8"/>
  <c r="Q237" i="8" s="1"/>
  <c r="Q108" i="8"/>
  <c r="Q112" i="8" s="1"/>
  <c r="H19" i="3"/>
  <c r="Q51" i="8"/>
  <c r="AB65" i="7"/>
  <c r="AA38" i="7"/>
  <c r="AG35" i="9"/>
  <c r="AG174" i="9"/>
  <c r="L186" i="9"/>
  <c r="L206" i="9"/>
  <c r="L162" i="9"/>
  <c r="L154" i="9"/>
  <c r="L42" i="8"/>
  <c r="Q186" i="9"/>
  <c r="Y162" i="10"/>
  <c r="Y4" i="10"/>
  <c r="Y110" i="10"/>
  <c r="Y69" i="10"/>
  <c r="Y63" i="8"/>
  <c r="R25" i="4"/>
  <c r="W6" i="3"/>
  <c r="Y28" i="7"/>
  <c r="Y225" i="7"/>
  <c r="AA223" i="8"/>
  <c r="Z225" i="8"/>
  <c r="Z226" i="8" s="1"/>
  <c r="Z141" i="8"/>
  <c r="O55" i="3" s="1"/>
  <c r="U104" i="3"/>
  <c r="E50" i="4" s="1"/>
  <c r="U46" i="3"/>
  <c r="U94" i="3" s="1"/>
  <c r="E47" i="4" s="1"/>
  <c r="J214" i="7"/>
  <c r="K215" i="7" s="1"/>
  <c r="J220" i="7"/>
  <c r="F68" i="4"/>
  <c r="V101" i="3"/>
  <c r="F71" i="4" s="1"/>
  <c r="I45" i="8"/>
  <c r="I71" i="8"/>
  <c r="I64" i="10" s="1"/>
  <c r="X198" i="9"/>
  <c r="X178" i="9"/>
  <c r="X39" i="9"/>
  <c r="Y13" i="9"/>
  <c r="P159" i="17"/>
  <c r="O159" i="17" s="1"/>
  <c r="B160" i="17"/>
  <c r="X177" i="9"/>
  <c r="X197" i="9"/>
  <c r="Y12" i="9"/>
  <c r="X38" i="9"/>
  <c r="L40" i="19"/>
  <c r="L24" i="19"/>
  <c r="P10" i="19"/>
  <c r="R129" i="14"/>
  <c r="N207" i="14"/>
  <c r="R207" i="14" s="1"/>
  <c r="J73" i="3"/>
  <c r="J32" i="3"/>
  <c r="AE24" i="8"/>
  <c r="AC24" i="8"/>
  <c r="X4" i="3"/>
  <c r="AD25" i="8"/>
  <c r="L309" i="8"/>
  <c r="L157" i="10" s="1"/>
  <c r="L308" i="8"/>
  <c r="L152" i="10" s="1"/>
  <c r="E111" i="17"/>
  <c r="Q110" i="17"/>
  <c r="N206" i="9"/>
  <c r="N186" i="9"/>
  <c r="N162" i="9"/>
  <c r="N154" i="9"/>
  <c r="N42" i="8"/>
  <c r="T97" i="3"/>
  <c r="D67" i="4" s="1"/>
  <c r="M67" i="4" s="1"/>
  <c r="D21" i="4"/>
  <c r="S186" i="9"/>
  <c r="AA12" i="9"/>
  <c r="AA45" i="7"/>
  <c r="W309" i="8"/>
  <c r="W157" i="10" s="1"/>
  <c r="Y157" i="10" s="1"/>
  <c r="W308" i="8"/>
  <c r="W152" i="10" s="1"/>
  <c r="Y152" i="10" s="1"/>
  <c r="J118" i="10"/>
  <c r="T99" i="3"/>
  <c r="D69" i="4" s="1"/>
  <c r="M69" i="4" s="1"/>
  <c r="AA167" i="7"/>
  <c r="Z165" i="7"/>
  <c r="P154" i="9"/>
  <c r="P186" i="9"/>
  <c r="P162" i="9"/>
  <c r="P42" i="8"/>
  <c r="T36" i="8"/>
  <c r="G15" i="3"/>
  <c r="Q206" i="9"/>
  <c r="Q162" i="9"/>
  <c r="AA290" i="8"/>
  <c r="AA254" i="8"/>
  <c r="AD254" i="8" s="1"/>
  <c r="AA94" i="8"/>
  <c r="AD94" i="8" s="1"/>
  <c r="AD267" i="8"/>
  <c r="AC177" i="9"/>
  <c r="AC38" i="9"/>
  <c r="E117" i="16"/>
  <c r="T37" i="7"/>
  <c r="H206" i="9"/>
  <c r="H154" i="9"/>
  <c r="H162" i="9"/>
  <c r="H42" i="8"/>
  <c r="T5" i="9"/>
  <c r="T286" i="8"/>
  <c r="T234" i="8"/>
  <c r="T118" i="8"/>
  <c r="T204" i="8"/>
  <c r="T190" i="8"/>
  <c r="T160" i="8"/>
  <c r="T275" i="8"/>
  <c r="T216" i="8"/>
  <c r="T73" i="8"/>
  <c r="O110" i="10"/>
  <c r="O162" i="10"/>
  <c r="O4" i="10"/>
  <c r="O69" i="10"/>
  <c r="O63" i="8"/>
  <c r="O28" i="7"/>
  <c r="U6" i="3"/>
  <c r="P215" i="7"/>
  <c r="S163" i="7"/>
  <c r="S89" i="7"/>
  <c r="S51" i="7"/>
  <c r="V24" i="8"/>
  <c r="U24" i="8" s="1"/>
  <c r="W25" i="8"/>
  <c r="V25" i="8"/>
  <c r="Y71" i="9"/>
  <c r="X195" i="9"/>
  <c r="X175" i="9"/>
  <c r="X36" i="9"/>
  <c r="Y10" i="9"/>
  <c r="AA83" i="7"/>
  <c r="Z47" i="7"/>
  <c r="V134" i="7"/>
  <c r="T83" i="9"/>
  <c r="Z174" i="9"/>
  <c r="Z35" i="9"/>
  <c r="AD9" i="9"/>
  <c r="Z194" i="9"/>
  <c r="M206" i="9"/>
  <c r="M162" i="9"/>
  <c r="M186" i="9"/>
  <c r="M154" i="9"/>
  <c r="M42" i="8"/>
  <c r="AF142" i="8"/>
  <c r="Z56" i="3" s="1"/>
  <c r="AG224" i="8"/>
  <c r="AG142" i="8" s="1"/>
  <c r="AA56" i="3" s="1"/>
  <c r="J135" i="10"/>
  <c r="J185" i="8"/>
  <c r="T100" i="3"/>
  <c r="D70" i="4" s="1"/>
  <c r="M70" i="4" s="1"/>
  <c r="Z249" i="8"/>
  <c r="X70" i="9"/>
  <c r="Y52" i="9"/>
  <c r="I162" i="9"/>
  <c r="AC218" i="8"/>
  <c r="AB128" i="8"/>
  <c r="Q42" i="3" s="1"/>
  <c r="J158" i="8"/>
  <c r="W240" i="8"/>
  <c r="L29" i="14"/>
  <c r="K28" i="14"/>
  <c r="K27" i="14" s="1"/>
  <c r="K48" i="14" s="1"/>
  <c r="E21" i="4"/>
  <c r="U9" i="3"/>
  <c r="E22" i="4" s="1"/>
  <c r="U97" i="3"/>
  <c r="E67" i="4" s="1"/>
  <c r="V9" i="3"/>
  <c r="F22" i="4" s="1"/>
  <c r="X31" i="7"/>
  <c r="Y30" i="7"/>
  <c r="X37" i="7"/>
  <c r="X34" i="7"/>
  <c r="AA109" i="7"/>
  <c r="Z103" i="7"/>
  <c r="AB174" i="9"/>
  <c r="AB194" i="9"/>
  <c r="AB35" i="9"/>
  <c r="I299" i="8"/>
  <c r="I110" i="8"/>
  <c r="J110" i="8" s="1"/>
  <c r="R127" i="14"/>
  <c r="N205" i="14"/>
  <c r="R205" i="14" s="1"/>
  <c r="X71" i="9"/>
  <c r="I19" i="15"/>
  <c r="AC86" i="7"/>
  <c r="AB84" i="7"/>
  <c r="M101" i="3"/>
  <c r="Y140" i="8"/>
  <c r="W54" i="3" s="1"/>
  <c r="N54" i="3"/>
  <c r="H299" i="8"/>
  <c r="AF299" i="8" s="1"/>
  <c r="H110" i="8"/>
  <c r="P110" i="8"/>
  <c r="P299" i="8"/>
  <c r="T82" i="9"/>
  <c r="AB12" i="9"/>
  <c r="AD12" i="9" s="1"/>
  <c r="AB45" i="7"/>
  <c r="Y56" i="9"/>
  <c r="X74" i="9"/>
  <c r="L101" i="3"/>
  <c r="T79" i="9"/>
  <c r="AC194" i="9"/>
  <c r="AC174" i="9"/>
  <c r="AC35" i="9"/>
  <c r="E15" i="17"/>
  <c r="Q14" i="17"/>
  <c r="Y174" i="9"/>
  <c r="Y173" i="9"/>
  <c r="AE9" i="9"/>
  <c r="AE36" i="7"/>
  <c r="L33" i="14"/>
  <c r="L35" i="14" s="1"/>
  <c r="W206" i="9"/>
  <c r="W162" i="9"/>
  <c r="W186" i="9"/>
  <c r="W154" i="9"/>
  <c r="W42" i="8"/>
  <c r="M15" i="3"/>
  <c r="O259" i="8"/>
  <c r="O261" i="8" s="1"/>
  <c r="P259" i="8" s="1"/>
  <c r="K260" i="8"/>
  <c r="O260" i="8" s="1"/>
  <c r="E127" i="17"/>
  <c r="Q126" i="17"/>
  <c r="F6" i="16"/>
  <c r="F30" i="16" s="1"/>
  <c r="F19" i="4"/>
  <c r="F43" i="4" s="1"/>
  <c r="V73" i="3"/>
  <c r="V32" i="3"/>
  <c r="T51" i="7"/>
  <c r="T89" i="7"/>
  <c r="T163" i="7"/>
  <c r="M50" i="4"/>
  <c r="Z225" i="7"/>
  <c r="Z226" i="7" s="1"/>
  <c r="AA227" i="7"/>
  <c r="AB116" i="7"/>
  <c r="AA115" i="7"/>
  <c r="Z149" i="8"/>
  <c r="W63" i="3"/>
  <c r="K40" i="18"/>
  <c r="N10" i="18"/>
  <c r="K24" i="18"/>
  <c r="J25" i="8"/>
  <c r="T4" i="3"/>
  <c r="AC8" i="3" s="1"/>
  <c r="M21" i="4" s="1"/>
  <c r="I24" i="8"/>
  <c r="S5" i="9"/>
  <c r="S216" i="8"/>
  <c r="S286" i="8"/>
  <c r="S190" i="8"/>
  <c r="S234" i="8"/>
  <c r="S73" i="8"/>
  <c r="S275" i="8"/>
  <c r="S160" i="8"/>
  <c r="S118" i="8"/>
  <c r="S204" i="8"/>
  <c r="AA215" i="7"/>
  <c r="Z213" i="7"/>
  <c r="AE125" i="10"/>
  <c r="AC123" i="10"/>
  <c r="AC186" i="8" s="1"/>
  <c r="R110" i="8"/>
  <c r="R299" i="8"/>
  <c r="K174" i="8"/>
  <c r="K11" i="15"/>
  <c r="J11" i="15"/>
  <c r="J12" i="15" s="1"/>
  <c r="AF77" i="7"/>
  <c r="AE44" i="7"/>
  <c r="M299" i="8"/>
  <c r="M110" i="8"/>
  <c r="I117" i="16"/>
  <c r="T49" i="7"/>
  <c r="I25" i="15"/>
  <c r="I28" i="15"/>
  <c r="H40" i="19"/>
  <c r="H24" i="19"/>
  <c r="T232" i="7"/>
  <c r="T228" i="7"/>
  <c r="AC104" i="7"/>
  <c r="D117" i="16"/>
  <c r="K117" i="16" s="1"/>
  <c r="T34" i="7"/>
  <c r="AB92" i="7"/>
  <c r="Z201" i="7"/>
  <c r="AA203" i="7"/>
  <c r="M24" i="8"/>
  <c r="N25" i="8"/>
  <c r="O110" i="8"/>
  <c r="X11" i="9"/>
  <c r="X42" i="7"/>
  <c r="X43" i="7"/>
  <c r="Y41" i="7"/>
  <c r="I101" i="3"/>
  <c r="AE239" i="8"/>
  <c r="AC245" i="8"/>
  <c r="AD239" i="8"/>
  <c r="AC240" i="8"/>
  <c r="W299" i="8"/>
  <c r="W110" i="8"/>
  <c r="L42" i="14" s="1"/>
  <c r="P24" i="8"/>
  <c r="P25" i="8" s="1"/>
  <c r="Q25" i="8"/>
  <c r="L13" i="3"/>
  <c r="L12" i="3"/>
  <c r="L76" i="3" s="1"/>
  <c r="J113" i="10"/>
  <c r="T98" i="3"/>
  <c r="O80" i="9"/>
  <c r="O81" i="9"/>
  <c r="O78" i="9"/>
  <c r="J80" i="9"/>
  <c r="Z318" i="8"/>
  <c r="Z320" i="8" s="1"/>
  <c r="Z140" i="8"/>
  <c r="O54" i="3" s="1"/>
  <c r="AA307" i="8"/>
  <c r="AA310" i="8" s="1"/>
  <c r="AA151" i="7"/>
  <c r="AB152" i="7"/>
  <c r="H101" i="3"/>
  <c r="AC140" i="7"/>
  <c r="AC139" i="7" s="1"/>
  <c r="AB139" i="7"/>
  <c r="AD139" i="7" s="1"/>
  <c r="AD145" i="7" s="1"/>
  <c r="AE145" i="7" s="1"/>
  <c r="AF145" i="7" s="1"/>
  <c r="AG145" i="7" s="1"/>
  <c r="AD140" i="7"/>
  <c r="AE140" i="7" s="1"/>
  <c r="O36" i="8"/>
  <c r="P206" i="9" s="1"/>
  <c r="X72" i="9"/>
  <c r="Y54" i="9"/>
  <c r="T66" i="8"/>
  <c r="T7" i="10" s="1"/>
  <c r="V11" i="3"/>
  <c r="J82" i="9"/>
  <c r="U174" i="8"/>
  <c r="O83" i="9"/>
  <c r="O61" i="17"/>
  <c r="AD45" i="7"/>
  <c r="Z8" i="9"/>
  <c r="Z33" i="7"/>
  <c r="O113" i="10"/>
  <c r="U98" i="3"/>
  <c r="Y219" i="8"/>
  <c r="X220" i="8"/>
  <c r="X221" i="8" s="1"/>
  <c r="X228" i="8" s="1"/>
  <c r="X79" i="8" s="1"/>
  <c r="X129" i="8"/>
  <c r="E79" i="17"/>
  <c r="Q78" i="17"/>
  <c r="I87" i="3"/>
  <c r="I16" i="3"/>
  <c r="I78" i="3" s="1"/>
  <c r="O51" i="14"/>
  <c r="P50" i="14"/>
  <c r="AA71" i="7"/>
  <c r="Z41" i="7"/>
  <c r="Z30" i="7" s="1"/>
  <c r="E154" i="14"/>
  <c r="F154" i="14" s="1"/>
  <c r="AB53" i="7"/>
  <c r="AA32" i="7"/>
  <c r="R162" i="10"/>
  <c r="R69" i="10"/>
  <c r="R4" i="10"/>
  <c r="R110" i="10"/>
  <c r="R63" i="8"/>
  <c r="R28" i="7"/>
  <c r="I6" i="3"/>
  <c r="K33" i="14"/>
  <c r="K35" i="14" s="1"/>
  <c r="K45" i="14" s="1"/>
  <c r="V162" i="9"/>
  <c r="V186" i="9"/>
  <c r="V154" i="9"/>
  <c r="V206" i="9"/>
  <c r="V42" i="8"/>
  <c r="L15" i="3"/>
  <c r="N6" i="13"/>
  <c r="I228" i="8"/>
  <c r="J87" i="3"/>
  <c r="J16" i="3"/>
  <c r="J78" i="3" s="1"/>
  <c r="K12" i="3"/>
  <c r="K76" i="3" s="1"/>
  <c r="K13" i="3"/>
  <c r="AB128" i="7"/>
  <c r="AA127" i="7"/>
  <c r="F154" i="9"/>
  <c r="J36" i="8"/>
  <c r="F42" i="8"/>
  <c r="Y202" i="7"/>
  <c r="O42" i="8"/>
  <c r="O71" i="8" s="1"/>
  <c r="O64" i="10" s="1"/>
  <c r="K71" i="8"/>
  <c r="K64" i="10" s="1"/>
  <c r="K45" i="8"/>
  <c r="J184" i="7"/>
  <c r="J178" i="7"/>
  <c r="J79" i="9"/>
  <c r="B65" i="17"/>
  <c r="P65" i="17" s="1"/>
  <c r="O65" i="17" s="1"/>
  <c r="P64" i="17"/>
  <c r="O64" i="17" s="1"/>
  <c r="Y49" i="7"/>
  <c r="Y48" i="7"/>
  <c r="E63" i="17"/>
  <c r="Q62" i="17"/>
  <c r="P112" i="17"/>
  <c r="O112" i="17" s="1"/>
  <c r="B113" i="17"/>
  <c r="P113" i="17" s="1"/>
  <c r="O113" i="17" s="1"/>
  <c r="I22" i="15"/>
  <c r="E95" i="17"/>
  <c r="Q94" i="17"/>
  <c r="R71" i="8"/>
  <c r="R64" i="10" s="1"/>
  <c r="R45" i="8"/>
  <c r="H117" i="16"/>
  <c r="T43" i="7"/>
  <c r="Z189" i="7"/>
  <c r="AA191" i="7"/>
  <c r="Z202" i="7"/>
  <c r="O172" i="7"/>
  <c r="O168" i="7"/>
  <c r="O166" i="7"/>
  <c r="J42" i="14"/>
  <c r="Z10" i="9"/>
  <c r="Z39" i="7"/>
  <c r="Y127" i="8"/>
  <c r="W41" i="3" s="1"/>
  <c r="N41" i="3"/>
  <c r="AB291" i="8"/>
  <c r="AB92" i="8"/>
  <c r="K94" i="3"/>
  <c r="K97" i="3"/>
  <c r="Z179" i="7"/>
  <c r="X177" i="7"/>
  <c r="Y177" i="7" s="1"/>
  <c r="X178" i="7"/>
  <c r="T106" i="3"/>
  <c r="D52" i="4" s="1"/>
  <c r="M52" i="4" s="1"/>
  <c r="T105" i="3"/>
  <c r="D51" i="4" s="1"/>
  <c r="M51" i="4" s="1"/>
  <c r="H228" i="8"/>
  <c r="E32" i="17"/>
  <c r="Q31" i="17"/>
  <c r="S71" i="8"/>
  <c r="S64" i="10" s="1"/>
  <c r="S45" i="8"/>
  <c r="J33" i="14"/>
  <c r="J35" i="14" s="1"/>
  <c r="J45" i="14" s="1"/>
  <c r="U186" i="9"/>
  <c r="U162" i="9"/>
  <c r="U154" i="9"/>
  <c r="U206" i="9"/>
  <c r="U42" i="8"/>
  <c r="K15" i="3"/>
  <c r="AD277" i="8"/>
  <c r="Z277" i="8"/>
  <c r="Z280" i="8" s="1"/>
  <c r="AF9" i="9"/>
  <c r="AG194" i="9" s="1"/>
  <c r="AF36" i="7"/>
  <c r="X59" i="9"/>
  <c r="AC207" i="8"/>
  <c r="AC83" i="8" s="1"/>
  <c r="AB83" i="8"/>
  <c r="AD83" i="8" s="1"/>
  <c r="AD207" i="8"/>
  <c r="AE207" i="8" s="1"/>
  <c r="Y264" i="8"/>
  <c r="Y273" i="8"/>
  <c r="X49" i="7"/>
  <c r="O111" i="17"/>
  <c r="Q47" i="17" l="1"/>
  <c r="Z31" i="7"/>
  <c r="Z46" i="7"/>
  <c r="Z37" i="7"/>
  <c r="Z40" i="7"/>
  <c r="Z34" i="7"/>
  <c r="AD177" i="9"/>
  <c r="M43" i="14"/>
  <c r="Y79" i="8"/>
  <c r="N43" i="14" s="1"/>
  <c r="Z195" i="9"/>
  <c r="Z36" i="9"/>
  <c r="Z175" i="9"/>
  <c r="AB191" i="7"/>
  <c r="AA189" i="7"/>
  <c r="Q63" i="17"/>
  <c r="E64" i="17"/>
  <c r="P162" i="10"/>
  <c r="P69" i="10"/>
  <c r="P4" i="10"/>
  <c r="P110" i="10"/>
  <c r="P28" i="7"/>
  <c r="P63" i="8"/>
  <c r="G6" i="3"/>
  <c r="AF239" i="8"/>
  <c r="AE245" i="8"/>
  <c r="AE240" i="8"/>
  <c r="AE279" i="8" s="1"/>
  <c r="I26" i="15"/>
  <c r="T259" i="8"/>
  <c r="P260" i="8"/>
  <c r="T260" i="8" s="1"/>
  <c r="E16" i="17"/>
  <c r="Q15" i="17"/>
  <c r="AB156" i="9"/>
  <c r="Y31" i="7"/>
  <c r="Y46" i="7"/>
  <c r="Y34" i="7"/>
  <c r="Y37" i="7"/>
  <c r="Y239" i="8"/>
  <c r="Y240" i="8"/>
  <c r="Z156" i="9"/>
  <c r="AD35" i="9"/>
  <c r="AB83" i="7"/>
  <c r="AA47" i="7"/>
  <c r="AC197" i="9"/>
  <c r="G16" i="3"/>
  <c r="G78" i="3" s="1"/>
  <c r="G87" i="3"/>
  <c r="AA197" i="9"/>
  <c r="AA177" i="9"/>
  <c r="AA38" i="9"/>
  <c r="B161" i="17"/>
  <c r="P161" i="17" s="1"/>
  <c r="O161" i="17" s="1"/>
  <c r="P160" i="17"/>
  <c r="O160" i="17" s="1"/>
  <c r="I54" i="8"/>
  <c r="I53" i="8"/>
  <c r="I237" i="8" s="1"/>
  <c r="I253" i="8"/>
  <c r="I255" i="8" s="1"/>
  <c r="I108" i="8"/>
  <c r="I112" i="8" s="1"/>
  <c r="I51" i="8"/>
  <c r="D24" i="4"/>
  <c r="T12" i="3"/>
  <c r="T76" i="3" s="1"/>
  <c r="AA179" i="7"/>
  <c r="Z177" i="7"/>
  <c r="Q79" i="17"/>
  <c r="E80" i="17"/>
  <c r="L24" i="8"/>
  <c r="M25" i="8"/>
  <c r="AG77" i="7"/>
  <c r="AG44" i="7" s="1"/>
  <c r="AF44" i="7"/>
  <c r="AF207" i="8"/>
  <c r="AE83" i="8"/>
  <c r="Z282" i="8"/>
  <c r="AA277" i="8"/>
  <c r="AA280" i="8" s="1"/>
  <c r="K253" i="8"/>
  <c r="K53" i="8"/>
  <c r="K237" i="8" s="1"/>
  <c r="K51" i="8"/>
  <c r="K54" i="8"/>
  <c r="K108" i="8"/>
  <c r="K112" i="8" s="1"/>
  <c r="AA8" i="9"/>
  <c r="AA33" i="7"/>
  <c r="AB71" i="7"/>
  <c r="AA41" i="7"/>
  <c r="N43" i="3"/>
  <c r="Y129" i="8"/>
  <c r="W43" i="3" s="1"/>
  <c r="V12" i="3"/>
  <c r="AC11" i="3"/>
  <c r="M24" i="4" s="1"/>
  <c r="V13" i="3"/>
  <c r="F26" i="4" s="1"/>
  <c r="F24" i="4"/>
  <c r="AD104" i="7"/>
  <c r="AE104" i="7" s="1"/>
  <c r="K12" i="15"/>
  <c r="J13" i="15"/>
  <c r="AA299" i="8"/>
  <c r="M87" i="3"/>
  <c r="M16" i="3"/>
  <c r="M78" i="3" s="1"/>
  <c r="M17" i="3"/>
  <c r="M71" i="8"/>
  <c r="M64" i="10" s="1"/>
  <c r="M45" i="8"/>
  <c r="V110" i="10"/>
  <c r="V69" i="10"/>
  <c r="V162" i="10"/>
  <c r="V4" i="10"/>
  <c r="V63" i="8"/>
  <c r="V28" i="7"/>
  <c r="L6" i="3"/>
  <c r="E6" i="16"/>
  <c r="E30" i="16" s="1"/>
  <c r="U73" i="3"/>
  <c r="U32" i="3"/>
  <c r="E19" i="4"/>
  <c r="E43" i="4" s="1"/>
  <c r="AD273" i="8"/>
  <c r="AE267" i="8"/>
  <c r="I33" i="14"/>
  <c r="I35" i="14" s="1"/>
  <c r="T186" i="9"/>
  <c r="T154" i="9"/>
  <c r="V15" i="3"/>
  <c r="AB167" i="7"/>
  <c r="AA165" i="7"/>
  <c r="AC25" i="8"/>
  <c r="AB24" i="8"/>
  <c r="Y163" i="7"/>
  <c r="Y89" i="7"/>
  <c r="Y51" i="7"/>
  <c r="AG156" i="9"/>
  <c r="Z159" i="9"/>
  <c r="Y155" i="9"/>
  <c r="AA97" i="7"/>
  <c r="Z91" i="7"/>
  <c r="AC128" i="7"/>
  <c r="AC127" i="7" s="1"/>
  <c r="AB127" i="7"/>
  <c r="AD127" i="7" s="1"/>
  <c r="N7" i="13"/>
  <c r="N9" i="13" s="1"/>
  <c r="M36" i="13"/>
  <c r="N36" i="13" s="1"/>
  <c r="I73" i="3"/>
  <c r="I32" i="3"/>
  <c r="AC53" i="7"/>
  <c r="AC32" i="7" s="1"/>
  <c r="AB32" i="7"/>
  <c r="Z193" i="9"/>
  <c r="Z173" i="9"/>
  <c r="Z34" i="9"/>
  <c r="AK11" i="15"/>
  <c r="BK11" i="15"/>
  <c r="AA213" i="7"/>
  <c r="AB215" i="7"/>
  <c r="AA249" i="8"/>
  <c r="Y175" i="9"/>
  <c r="W110" i="10"/>
  <c r="W69" i="10"/>
  <c r="W162" i="10"/>
  <c r="W4" i="10"/>
  <c r="W63" i="8"/>
  <c r="M6" i="3"/>
  <c r="W28" i="7"/>
  <c r="O163" i="7"/>
  <c r="O89" i="7"/>
  <c r="O51" i="7"/>
  <c r="P45" i="8"/>
  <c r="P71" i="8"/>
  <c r="P64" i="10" s="1"/>
  <c r="T42" i="8"/>
  <c r="T71" i="8" s="1"/>
  <c r="T64" i="10" s="1"/>
  <c r="AF24" i="8"/>
  <c r="AE25" i="8"/>
  <c r="Y4" i="3"/>
  <c r="Y178" i="9"/>
  <c r="G6" i="16"/>
  <c r="G30" i="16" s="1"/>
  <c r="W73" i="3"/>
  <c r="W32" i="3"/>
  <c r="G19" i="4"/>
  <c r="G43" i="4" s="1"/>
  <c r="L71" i="8"/>
  <c r="L64" i="10" s="1"/>
  <c r="L45" i="8"/>
  <c r="O45" i="8" s="1"/>
  <c r="J265" i="8"/>
  <c r="Z210" i="8"/>
  <c r="I23" i="15"/>
  <c r="P51" i="14"/>
  <c r="Q50" i="14"/>
  <c r="AB151" i="7"/>
  <c r="AD151" i="7" s="1"/>
  <c r="AC152" i="7"/>
  <c r="AC151" i="7" s="1"/>
  <c r="Y43" i="7"/>
  <c r="Y42" i="7"/>
  <c r="AA201" i="7"/>
  <c r="AB203" i="7"/>
  <c r="W71" i="8"/>
  <c r="W64" i="10" s="1"/>
  <c r="W45" i="8"/>
  <c r="AE174" i="9"/>
  <c r="AE194" i="9"/>
  <c r="AE35" i="9"/>
  <c r="AC156" i="9"/>
  <c r="AG299" i="8"/>
  <c r="AC299" i="8"/>
  <c r="Z299" i="8"/>
  <c r="AE299" i="8"/>
  <c r="X299" i="8"/>
  <c r="K87" i="3"/>
  <c r="K17" i="3"/>
  <c r="K16" i="3"/>
  <c r="K78" i="3" s="1"/>
  <c r="S53" i="8"/>
  <c r="S237" i="8" s="1"/>
  <c r="S108" i="8"/>
  <c r="S112" i="8" s="1"/>
  <c r="S51" i="8"/>
  <c r="S253" i="8"/>
  <c r="S255" i="8" s="1"/>
  <c r="S54" i="8"/>
  <c r="J19" i="3"/>
  <c r="P167" i="7"/>
  <c r="L17" i="3"/>
  <c r="L16" i="3"/>
  <c r="L78" i="3" s="1"/>
  <c r="L87" i="3"/>
  <c r="R163" i="7"/>
  <c r="R89" i="7"/>
  <c r="R51" i="7"/>
  <c r="Z219" i="8"/>
  <c r="Y232" i="8"/>
  <c r="Y128" i="10" s="1"/>
  <c r="Y220" i="8"/>
  <c r="Y221" i="8" s="1"/>
  <c r="Y228" i="8" s="1"/>
  <c r="Y72" i="9"/>
  <c r="T101" i="3"/>
  <c r="D71" i="4" s="1"/>
  <c r="D68" i="4"/>
  <c r="AB227" i="7"/>
  <c r="AA225" i="7"/>
  <c r="AA226" i="7" s="1"/>
  <c r="X157" i="9"/>
  <c r="Y36" i="9"/>
  <c r="U25" i="8"/>
  <c r="X25" i="8"/>
  <c r="O234" i="8"/>
  <c r="O160" i="8"/>
  <c r="O204" i="8"/>
  <c r="O275" i="8"/>
  <c r="O190" i="8"/>
  <c r="O286" i="8"/>
  <c r="O216" i="8"/>
  <c r="O5" i="9"/>
  <c r="O73" i="8"/>
  <c r="O118" i="8"/>
  <c r="AB223" i="8"/>
  <c r="AA225" i="8"/>
  <c r="AA226" i="8" s="1"/>
  <c r="AA141" i="8"/>
  <c r="P55" i="3" s="1"/>
  <c r="AA10" i="9"/>
  <c r="AA39" i="7"/>
  <c r="Z166" i="7"/>
  <c r="AA166" i="7" s="1"/>
  <c r="Y40" i="7"/>
  <c r="Z178" i="7"/>
  <c r="R253" i="8"/>
  <c r="R255" i="8" s="1"/>
  <c r="R54" i="8"/>
  <c r="R53" i="8"/>
  <c r="R237" i="8" s="1"/>
  <c r="R108" i="8"/>
  <c r="R112" i="8" s="1"/>
  <c r="R51" i="8"/>
  <c r="I19" i="3"/>
  <c r="V45" i="8"/>
  <c r="V71" i="8"/>
  <c r="R5" i="9"/>
  <c r="R216" i="8"/>
  <c r="R275" i="8"/>
  <c r="R160" i="8"/>
  <c r="R190" i="8"/>
  <c r="R234" i="8"/>
  <c r="R204" i="8"/>
  <c r="R286" i="8"/>
  <c r="R118" i="8"/>
  <c r="R73" i="8"/>
  <c r="Q48" i="17"/>
  <c r="E49" i="17"/>
  <c r="Q49" i="17" s="1"/>
  <c r="E68" i="4"/>
  <c r="U101" i="3"/>
  <c r="E71" i="4" s="1"/>
  <c r="AB307" i="8"/>
  <c r="AB310" i="8" s="1"/>
  <c r="AA318" i="8"/>
  <c r="AA320" i="8" s="1"/>
  <c r="AA140" i="8"/>
  <c r="P54" i="3" s="1"/>
  <c r="AC279" i="8"/>
  <c r="AD279" i="8" s="1"/>
  <c r="AD280" i="8" s="1"/>
  <c r="AE277" i="8" s="1"/>
  <c r="AE280" i="8" s="1"/>
  <c r="AD240" i="8"/>
  <c r="AC92" i="7"/>
  <c r="AD92" i="7"/>
  <c r="AE92" i="7" s="1"/>
  <c r="AA149" i="8"/>
  <c r="O63" i="3"/>
  <c r="N30" i="16"/>
  <c r="F50" i="16"/>
  <c r="AB177" i="9"/>
  <c r="AB197" i="9"/>
  <c r="AB38" i="9"/>
  <c r="E112" i="17"/>
  <c r="Q111" i="17"/>
  <c r="X159" i="9"/>
  <c r="Y38" i="9"/>
  <c r="X160" i="9"/>
  <c r="Y39" i="9"/>
  <c r="X75" i="9"/>
  <c r="Y275" i="8"/>
  <c r="Y190" i="8"/>
  <c r="Y216" i="8"/>
  <c r="Y5" i="9"/>
  <c r="Y204" i="8"/>
  <c r="Y160" i="8"/>
  <c r="Y234" i="8"/>
  <c r="Y286" i="8"/>
  <c r="Y118" i="8"/>
  <c r="Y73" i="8"/>
  <c r="AC65" i="7"/>
  <c r="AC38" i="7" s="1"/>
  <c r="AB38" i="7"/>
  <c r="AD65" i="7"/>
  <c r="AE65" i="7" s="1"/>
  <c r="U13" i="3"/>
  <c r="E26" i="4" s="1"/>
  <c r="Z214" i="7"/>
  <c r="AE139" i="7"/>
  <c r="AF140" i="7"/>
  <c r="Y265" i="8"/>
  <c r="U45" i="8"/>
  <c r="U71" i="8"/>
  <c r="U64" i="10" s="1"/>
  <c r="H33" i="14"/>
  <c r="H35" i="14" s="1"/>
  <c r="H36" i="14" s="1"/>
  <c r="O154" i="9"/>
  <c r="O186" i="9"/>
  <c r="U15" i="3"/>
  <c r="X176" i="9"/>
  <c r="X196" i="9"/>
  <c r="Y11" i="9"/>
  <c r="X37" i="9"/>
  <c r="X19" i="9"/>
  <c r="X7" i="9"/>
  <c r="H24" i="8"/>
  <c r="I25" i="8"/>
  <c r="AB109" i="7"/>
  <c r="AA103" i="7"/>
  <c r="AD218" i="8"/>
  <c r="AC128" i="8"/>
  <c r="H45" i="8"/>
  <c r="H71" i="8"/>
  <c r="H64" i="10" s="1"/>
  <c r="AC159" i="9"/>
  <c r="Y177" i="9"/>
  <c r="Q57" i="8"/>
  <c r="H23" i="3" s="1"/>
  <c r="Q56" i="8"/>
  <c r="Q59" i="8"/>
  <c r="Q61" i="8" s="1"/>
  <c r="C60" i="17"/>
  <c r="O44" i="17"/>
  <c r="Y226" i="7"/>
  <c r="E33" i="17"/>
  <c r="Q33" i="17" s="1"/>
  <c r="Q32" i="17"/>
  <c r="AA202" i="7"/>
  <c r="F45" i="8"/>
  <c r="F71" i="8"/>
  <c r="F64" i="10" s="1"/>
  <c r="J42" i="8"/>
  <c r="J71" i="8" s="1"/>
  <c r="J64" i="10" s="1"/>
  <c r="AC291" i="8"/>
  <c r="AC92" i="8"/>
  <c r="AD92" i="8" s="1"/>
  <c r="AD245" i="8"/>
  <c r="Q127" i="17"/>
  <c r="E128" i="17"/>
  <c r="N71" i="8"/>
  <c r="N64" i="10" s="1"/>
  <c r="N45" i="8"/>
  <c r="K220" i="7"/>
  <c r="K216" i="7"/>
  <c r="L216" i="7"/>
  <c r="H82" i="3"/>
  <c r="H80" i="3"/>
  <c r="H20" i="3"/>
  <c r="H79" i="3" s="1"/>
  <c r="H81" i="3"/>
  <c r="E25" i="4"/>
  <c r="U76" i="3"/>
  <c r="AA156" i="9"/>
  <c r="N24" i="18"/>
  <c r="N40" i="18"/>
  <c r="AC116" i="7"/>
  <c r="AC115" i="7" s="1"/>
  <c r="AB115" i="7"/>
  <c r="AD115" i="7" s="1"/>
  <c r="AF194" i="9"/>
  <c r="AF35" i="9"/>
  <c r="AF174" i="9"/>
  <c r="E96" i="17"/>
  <c r="Q95" i="17"/>
  <c r="K179" i="7"/>
  <c r="G33" i="14"/>
  <c r="G35" i="14" s="1"/>
  <c r="J154" i="9"/>
  <c r="T15" i="3"/>
  <c r="K206" i="9"/>
  <c r="Z11" i="9"/>
  <c r="Z42" i="7"/>
  <c r="Z43" i="7"/>
  <c r="Q4" i="10"/>
  <c r="Q110" i="10"/>
  <c r="Q69" i="10"/>
  <c r="Q162" i="10"/>
  <c r="Q63" i="8"/>
  <c r="Q28" i="7"/>
  <c r="H6" i="3"/>
  <c r="N69" i="10"/>
  <c r="N4" i="10"/>
  <c r="N162" i="10"/>
  <c r="N110" i="10"/>
  <c r="N63" i="8"/>
  <c r="N28" i="7"/>
  <c r="I29" i="15"/>
  <c r="I32" i="15"/>
  <c r="AE12" i="9"/>
  <c r="AE45" i="7"/>
  <c r="AF125" i="10"/>
  <c r="AE123" i="10"/>
  <c r="AE186" i="8" s="1"/>
  <c r="J162" i="10"/>
  <c r="J69" i="10"/>
  <c r="J110" i="10"/>
  <c r="J4" i="10"/>
  <c r="J63" i="8"/>
  <c r="J28" i="7"/>
  <c r="T6" i="3"/>
  <c r="L45" i="14"/>
  <c r="T110" i="8"/>
  <c r="AE86" i="7"/>
  <c r="AC84" i="7"/>
  <c r="M29" i="14"/>
  <c r="L28" i="14"/>
  <c r="L27" i="14" s="1"/>
  <c r="Y70" i="9"/>
  <c r="Y51" i="9"/>
  <c r="Y64" i="9" s="1"/>
  <c r="Y80" i="10" s="1"/>
  <c r="AD174" i="9"/>
  <c r="Z13" i="9"/>
  <c r="Z49" i="7"/>
  <c r="Z48" i="7"/>
  <c r="P216" i="7"/>
  <c r="P220" i="7"/>
  <c r="T215" i="7"/>
  <c r="Q216" i="7"/>
  <c r="AD162" i="10"/>
  <c r="AD4" i="10"/>
  <c r="AD69" i="10"/>
  <c r="AD110" i="10"/>
  <c r="AD63" i="8"/>
  <c r="X6" i="3"/>
  <c r="AD28" i="7"/>
  <c r="P40" i="19"/>
  <c r="P24" i="19"/>
  <c r="Q114" i="8"/>
  <c r="Q115" i="8"/>
  <c r="Q116" i="8" s="1"/>
  <c r="Y156" i="9"/>
  <c r="Y12" i="10" s="1"/>
  <c r="G71" i="8"/>
  <c r="G64" i="10" s="1"/>
  <c r="G45" i="8"/>
  <c r="Y283" i="8"/>
  <c r="Z190" i="7"/>
  <c r="AA190" i="7" s="1"/>
  <c r="AB299" i="8"/>
  <c r="AF277" i="8" l="1"/>
  <c r="AE282" i="8"/>
  <c r="O54" i="8"/>
  <c r="O108" i="8"/>
  <c r="O112" i="8" s="1"/>
  <c r="O53" i="8"/>
  <c r="O237" i="8" s="1"/>
  <c r="O238" i="8" s="1"/>
  <c r="U19" i="3"/>
  <c r="Q275" i="8"/>
  <c r="Q190" i="8"/>
  <c r="Q5" i="9"/>
  <c r="Q216" i="8"/>
  <c r="Q286" i="8"/>
  <c r="Q160" i="8"/>
  <c r="Q204" i="8"/>
  <c r="Q118" i="8"/>
  <c r="Q234" i="8"/>
  <c r="Q73" i="8"/>
  <c r="V64" i="10"/>
  <c r="F33" i="2"/>
  <c r="AB225" i="8"/>
  <c r="AB226" i="8" s="1"/>
  <c r="AB141" i="8"/>
  <c r="Q55" i="3" s="1"/>
  <c r="AC223" i="8"/>
  <c r="S59" i="8"/>
  <c r="S61" i="8" s="1"/>
  <c r="S56" i="8"/>
  <c r="S57" i="8"/>
  <c r="J23" i="3" s="1"/>
  <c r="P253" i="8"/>
  <c r="P54" i="8"/>
  <c r="P53" i="8"/>
  <c r="P237" i="8" s="1"/>
  <c r="T45" i="8"/>
  <c r="P108" i="8"/>
  <c r="P112" i="8" s="1"/>
  <c r="G19" i="3"/>
  <c r="P51" i="8"/>
  <c r="V17" i="3"/>
  <c r="F30" i="4" s="1"/>
  <c r="V87" i="3"/>
  <c r="F62" i="4" s="1"/>
  <c r="V16" i="3"/>
  <c r="AC15" i="3"/>
  <c r="J14" i="15"/>
  <c r="K13" i="15"/>
  <c r="K114" i="8"/>
  <c r="K115" i="8"/>
  <c r="K116" i="8" s="1"/>
  <c r="AA282" i="8"/>
  <c r="AB277" i="8"/>
  <c r="AB280" i="8" s="1"/>
  <c r="E81" i="17"/>
  <c r="Q81" i="17" s="1"/>
  <c r="Q80" i="17"/>
  <c r="I59" i="8"/>
  <c r="I61" i="8" s="1"/>
  <c r="I57" i="8"/>
  <c r="I56" i="8"/>
  <c r="E17" i="17"/>
  <c r="Q17" i="17" s="1"/>
  <c r="Q16" i="17"/>
  <c r="Z157" i="9"/>
  <c r="Z196" i="9"/>
  <c r="Z176" i="9"/>
  <c r="Z37" i="9"/>
  <c r="X158" i="9"/>
  <c r="Y37" i="9"/>
  <c r="X73" i="9"/>
  <c r="AF92" i="7"/>
  <c r="N234" i="8"/>
  <c r="N204" i="8"/>
  <c r="N286" i="8"/>
  <c r="N118" i="8"/>
  <c r="N190" i="8"/>
  <c r="N275" i="8"/>
  <c r="N216" i="8"/>
  <c r="N160" i="8"/>
  <c r="N73" i="8"/>
  <c r="N5" i="9"/>
  <c r="AE218" i="8"/>
  <c r="S115" i="8"/>
  <c r="S116" i="8" s="1"/>
  <c r="S114" i="8"/>
  <c r="W253" i="8"/>
  <c r="W255" i="8" s="1"/>
  <c r="W54" i="8"/>
  <c r="W51" i="8"/>
  <c r="W53" i="8"/>
  <c r="W237" i="8" s="1"/>
  <c r="W108" i="8"/>
  <c r="W112" i="8" s="1"/>
  <c r="M19" i="3"/>
  <c r="AD53" i="7"/>
  <c r="AE53" i="7" s="1"/>
  <c r="BK12" i="15"/>
  <c r="AK12" i="15"/>
  <c r="Z284" i="8"/>
  <c r="Z266" i="8"/>
  <c r="Z264" i="8" s="1"/>
  <c r="Z265" i="8" s="1"/>
  <c r="I114" i="8"/>
  <c r="I115" i="8"/>
  <c r="I116" i="8" s="1"/>
  <c r="AG239" i="8"/>
  <c r="AF240" i="8"/>
  <c r="AF279" i="8" s="1"/>
  <c r="AF245" i="8"/>
  <c r="Q64" i="17"/>
  <c r="E65" i="17"/>
  <c r="Q65" i="17" s="1"/>
  <c r="Q96" i="17"/>
  <c r="E97" i="17"/>
  <c r="Q97" i="17" s="1"/>
  <c r="Q112" i="17"/>
  <c r="E113" i="17"/>
  <c r="Q113" i="17" s="1"/>
  <c r="N50" i="16"/>
  <c r="J51" i="7"/>
  <c r="J89" i="7"/>
  <c r="J163" i="7"/>
  <c r="Y176" i="9"/>
  <c r="AA214" i="7"/>
  <c r="V253" i="8"/>
  <c r="V255" i="8" s="1"/>
  <c r="V108" i="8"/>
  <c r="V112" i="8" s="1"/>
  <c r="V54" i="8"/>
  <c r="V51" i="8"/>
  <c r="V53" i="8"/>
  <c r="V237" i="8" s="1"/>
  <c r="L19" i="3"/>
  <c r="L48" i="14"/>
  <c r="J5" i="9"/>
  <c r="J216" i="8"/>
  <c r="J275" i="8"/>
  <c r="J286" i="8"/>
  <c r="J204" i="8"/>
  <c r="J160" i="8"/>
  <c r="J73" i="8"/>
  <c r="J190" i="8"/>
  <c r="J118" i="8"/>
  <c r="J234" i="8"/>
  <c r="T87" i="3"/>
  <c r="D62" i="4" s="1"/>
  <c r="T16" i="3"/>
  <c r="Y160" i="9"/>
  <c r="Y32" i="10" s="1"/>
  <c r="Y75" i="9"/>
  <c r="AB159" i="9"/>
  <c r="I20" i="3"/>
  <c r="I79" i="3" s="1"/>
  <c r="I82" i="3"/>
  <c r="I80" i="3"/>
  <c r="I81" i="3"/>
  <c r="Q51" i="14"/>
  <c r="R50" i="14"/>
  <c r="R51" i="14" s="1"/>
  <c r="L253" i="8"/>
  <c r="L255" i="8" s="1"/>
  <c r="L108" i="8"/>
  <c r="L112" i="8" s="1"/>
  <c r="L51" i="8"/>
  <c r="L53" i="8"/>
  <c r="L237" i="8" s="1"/>
  <c r="M238" i="8" s="1"/>
  <c r="L54" i="8"/>
  <c r="AB8" i="9"/>
  <c r="AB33" i="7"/>
  <c r="AD32" i="7"/>
  <c r="AD38" i="9"/>
  <c r="M30" i="16"/>
  <c r="E50" i="16"/>
  <c r="AF104" i="7"/>
  <c r="AA11" i="9"/>
  <c r="AA42" i="7"/>
  <c r="T261" i="8"/>
  <c r="G73" i="3"/>
  <c r="G32" i="3"/>
  <c r="U108" i="8"/>
  <c r="U112" i="8" s="1"/>
  <c r="U253" i="8"/>
  <c r="U51" i="8"/>
  <c r="U53" i="8"/>
  <c r="U237" i="8" s="1"/>
  <c r="U54" i="8"/>
  <c r="K19" i="3"/>
  <c r="P168" i="7"/>
  <c r="P172" i="7"/>
  <c r="T167" i="7"/>
  <c r="Q168" i="7"/>
  <c r="AC203" i="7"/>
  <c r="AC201" i="7" s="1"/>
  <c r="AB201" i="7"/>
  <c r="AB202" i="7" s="1"/>
  <c r="AC202" i="7" s="1"/>
  <c r="Z7" i="9"/>
  <c r="AC8" i="9"/>
  <c r="AC33" i="7"/>
  <c r="I36" i="14"/>
  <c r="L73" i="3"/>
  <c r="L32" i="3"/>
  <c r="M108" i="8"/>
  <c r="M112" i="8" s="1"/>
  <c r="M51" i="8"/>
  <c r="O51" i="8" s="1"/>
  <c r="M253" i="8"/>
  <c r="M255" i="8" s="1"/>
  <c r="M53" i="8"/>
  <c r="M237" i="8" s="1"/>
  <c r="M54" i="8"/>
  <c r="AC71" i="7"/>
  <c r="AC41" i="7" s="1"/>
  <c r="AB41" i="7"/>
  <c r="K59" i="8"/>
  <c r="K56" i="8"/>
  <c r="K57" i="8"/>
  <c r="AG207" i="8"/>
  <c r="AG83" i="8" s="1"/>
  <c r="AF83" i="8"/>
  <c r="P204" i="8"/>
  <c r="P275" i="8"/>
  <c r="P190" i="8"/>
  <c r="P286" i="8"/>
  <c r="P5" i="9"/>
  <c r="P160" i="8"/>
  <c r="P118" i="8"/>
  <c r="P234" i="8"/>
  <c r="P73" i="8"/>
  <c r="P216" i="8"/>
  <c r="AF65" i="7"/>
  <c r="AE38" i="7"/>
  <c r="R59" i="8"/>
  <c r="R61" i="8" s="1"/>
  <c r="R56" i="8"/>
  <c r="R57" i="8"/>
  <c r="I23" i="3" s="1"/>
  <c r="AF156" i="9"/>
  <c r="AB10" i="9"/>
  <c r="AB39" i="7"/>
  <c r="AD38" i="7"/>
  <c r="Y159" i="9"/>
  <c r="Y27" i="10" s="1"/>
  <c r="R114" i="8"/>
  <c r="R115" i="8"/>
  <c r="R116" i="8" s="1"/>
  <c r="X162" i="10"/>
  <c r="X4" i="10"/>
  <c r="X69" i="10"/>
  <c r="X110" i="10"/>
  <c r="X63" i="8"/>
  <c r="X28" i="7"/>
  <c r="N6" i="3"/>
  <c r="AC227" i="7"/>
  <c r="AC225" i="7" s="1"/>
  <c r="AB225" i="7"/>
  <c r="AB226" i="7" s="1"/>
  <c r="AC226" i="7" s="1"/>
  <c r="AD227" i="7"/>
  <c r="AE227" i="7" s="1"/>
  <c r="AA219" i="8"/>
  <c r="Z129" i="8"/>
  <c r="O43" i="3" s="1"/>
  <c r="Z220" i="8"/>
  <c r="Z221" i="8" s="1"/>
  <c r="Z228" i="8" s="1"/>
  <c r="Z79" i="8" s="1"/>
  <c r="AE110" i="10"/>
  <c r="AE162" i="10"/>
  <c r="AE4" i="10"/>
  <c r="AE69" i="10"/>
  <c r="AE63" i="8"/>
  <c r="AE28" i="7"/>
  <c r="Y6" i="3"/>
  <c r="W163" i="7"/>
  <c r="W89" i="7"/>
  <c r="W51" i="7"/>
  <c r="Z155" i="9"/>
  <c r="AB25" i="8"/>
  <c r="AA24" i="8"/>
  <c r="AE254" i="8"/>
  <c r="AF267" i="8"/>
  <c r="AE290" i="8"/>
  <c r="AE94" i="8"/>
  <c r="V51" i="7"/>
  <c r="V163" i="7"/>
  <c r="V89" i="7"/>
  <c r="N238" i="8"/>
  <c r="AF12" i="9"/>
  <c r="AF45" i="7"/>
  <c r="AA177" i="7"/>
  <c r="AA178" i="7" s="1"/>
  <c r="AB179" i="7"/>
  <c r="AA159" i="9"/>
  <c r="AA13" i="9"/>
  <c r="AA48" i="7"/>
  <c r="I27" i="15"/>
  <c r="P89" i="7"/>
  <c r="P51" i="7"/>
  <c r="P163" i="7"/>
  <c r="AB189" i="7"/>
  <c r="AC191" i="7"/>
  <c r="X33" i="9"/>
  <c r="X47" i="9" s="1"/>
  <c r="Y59" i="9"/>
  <c r="Y63" i="9"/>
  <c r="Y79" i="10" s="1"/>
  <c r="Y65" i="9"/>
  <c r="Y81" i="10" s="1"/>
  <c r="Y67" i="9"/>
  <c r="Y83" i="10" s="1"/>
  <c r="N51" i="7"/>
  <c r="N163" i="7"/>
  <c r="N89" i="7"/>
  <c r="AB190" i="7"/>
  <c r="N29" i="14"/>
  <c r="M28" i="14"/>
  <c r="M27" i="14" s="1"/>
  <c r="AE197" i="9"/>
  <c r="AE177" i="9"/>
  <c r="AE38" i="9"/>
  <c r="AC109" i="7"/>
  <c r="AC103" i="7" s="1"/>
  <c r="AB103" i="7"/>
  <c r="Z198" i="9"/>
  <c r="Z178" i="9"/>
  <c r="Z21" i="9"/>
  <c r="Z39" i="9"/>
  <c r="Z33" i="9" s="1"/>
  <c r="I110" i="10"/>
  <c r="I4" i="10"/>
  <c r="I69" i="10"/>
  <c r="I162" i="10"/>
  <c r="I28" i="7"/>
  <c r="I63" i="8"/>
  <c r="N253" i="8"/>
  <c r="N255" i="8" s="1"/>
  <c r="N51" i="8"/>
  <c r="N53" i="8"/>
  <c r="N237" i="8" s="1"/>
  <c r="N54" i="8"/>
  <c r="N108" i="8"/>
  <c r="N112" i="8" s="1"/>
  <c r="G24" i="8"/>
  <c r="H25" i="8"/>
  <c r="AC10" i="9"/>
  <c r="AC39" i="7"/>
  <c r="AA195" i="9"/>
  <c r="AA36" i="9"/>
  <c r="AA175" i="9"/>
  <c r="U4" i="10"/>
  <c r="U110" i="10"/>
  <c r="U69" i="10"/>
  <c r="U162" i="10"/>
  <c r="U63" i="8"/>
  <c r="K6" i="3"/>
  <c r="U28" i="7"/>
  <c r="J20" i="3"/>
  <c r="J79" i="3" s="1"/>
  <c r="J81" i="3"/>
  <c r="J82" i="3"/>
  <c r="J80" i="3"/>
  <c r="AF25" i="8"/>
  <c r="AG24" i="8"/>
  <c r="Z4" i="3"/>
  <c r="M73" i="3"/>
  <c r="M32" i="3"/>
  <c r="AC4" i="10"/>
  <c r="AC110" i="10"/>
  <c r="AC69" i="10"/>
  <c r="AC162" i="10"/>
  <c r="AC63" i="8"/>
  <c r="AC28" i="7"/>
  <c r="R6" i="3"/>
  <c r="V5" i="9"/>
  <c r="V234" i="8"/>
  <c r="V204" i="8"/>
  <c r="V286" i="8"/>
  <c r="V118" i="8"/>
  <c r="V216" i="8"/>
  <c r="V275" i="8"/>
  <c r="V160" i="8"/>
  <c r="V190" i="8"/>
  <c r="V73" i="8"/>
  <c r="Y66" i="9"/>
  <c r="Y82" i="10" s="1"/>
  <c r="O253" i="8"/>
  <c r="K255" i="8"/>
  <c r="O255" i="8" s="1"/>
  <c r="AG12" i="9"/>
  <c r="AJ44" i="7"/>
  <c r="AG45" i="7"/>
  <c r="AC83" i="7"/>
  <c r="AB47" i="7"/>
  <c r="AB30" i="7" s="1"/>
  <c r="AD128" i="7"/>
  <c r="AE128" i="7" s="1"/>
  <c r="AD116" i="7"/>
  <c r="AE116" i="7" s="1"/>
  <c r="G253" i="8"/>
  <c r="G255" i="8" s="1"/>
  <c r="G54" i="8"/>
  <c r="G108" i="8"/>
  <c r="G112" i="8" s="1"/>
  <c r="G53" i="8"/>
  <c r="G237" i="8" s="1"/>
  <c r="G51" i="8"/>
  <c r="AD51" i="7"/>
  <c r="AD163" i="7"/>
  <c r="AD89" i="7"/>
  <c r="AE84" i="7"/>
  <c r="AF86" i="7"/>
  <c r="K184" i="7"/>
  <c r="O179" i="7"/>
  <c r="K180" i="7"/>
  <c r="L180" i="7"/>
  <c r="C76" i="17"/>
  <c r="O60" i="17"/>
  <c r="U16" i="3"/>
  <c r="U17" i="3"/>
  <c r="E30" i="4" s="1"/>
  <c r="U87" i="3"/>
  <c r="E62" i="4" s="1"/>
  <c r="H6" i="16"/>
  <c r="H30" i="16" s="1"/>
  <c r="X73" i="3"/>
  <c r="X32" i="3"/>
  <c r="H19" i="4"/>
  <c r="H43" i="4" s="1"/>
  <c r="T220" i="7"/>
  <c r="T216" i="7"/>
  <c r="T214" i="7"/>
  <c r="I33" i="15"/>
  <c r="I36" i="15"/>
  <c r="H73" i="3"/>
  <c r="H32" i="3"/>
  <c r="Q146" i="9"/>
  <c r="H27" i="3"/>
  <c r="H253" i="8"/>
  <c r="H255" i="8" s="1"/>
  <c r="H54" i="8"/>
  <c r="H53" i="8"/>
  <c r="H237" i="8" s="1"/>
  <c r="L238" i="8" s="1"/>
  <c r="H108" i="8"/>
  <c r="H112" i="8" s="1"/>
  <c r="H51" i="8"/>
  <c r="X172" i="9"/>
  <c r="X192" i="9"/>
  <c r="Y7" i="9"/>
  <c r="X28" i="8"/>
  <c r="X16" i="9"/>
  <c r="X17" i="9"/>
  <c r="X18" i="9"/>
  <c r="X21" i="9"/>
  <c r="X20" i="9"/>
  <c r="M68" i="4"/>
  <c r="AE156" i="9"/>
  <c r="W234" i="8"/>
  <c r="W160" i="8"/>
  <c r="W204" i="8"/>
  <c r="W275" i="8"/>
  <c r="W190" i="8"/>
  <c r="W5" i="9"/>
  <c r="W216" i="8"/>
  <c r="W286" i="8"/>
  <c r="W73" i="8"/>
  <c r="W118" i="8"/>
  <c r="AB249" i="8"/>
  <c r="AB97" i="7"/>
  <c r="AA91" i="7"/>
  <c r="Y74" i="9"/>
  <c r="AA30" i="7"/>
  <c r="AA49" i="7" s="1"/>
  <c r="M4" i="10"/>
  <c r="M69" i="10"/>
  <c r="M162" i="10"/>
  <c r="M110" i="10"/>
  <c r="M63" i="8"/>
  <c r="M28" i="7"/>
  <c r="AD156" i="9"/>
  <c r="AD12" i="10" s="1"/>
  <c r="D6" i="16"/>
  <c r="D30" i="16" s="1"/>
  <c r="T73" i="3"/>
  <c r="T32" i="3"/>
  <c r="AG125" i="10"/>
  <c r="AG123" i="10" s="1"/>
  <c r="AG186" i="8" s="1"/>
  <c r="AF123" i="10"/>
  <c r="AF186" i="8" s="1"/>
  <c r="AB149" i="8"/>
  <c r="P63" i="3"/>
  <c r="AD234" i="8"/>
  <c r="AD204" i="8"/>
  <c r="AD286" i="8"/>
  <c r="AD190" i="8"/>
  <c r="AD118" i="8"/>
  <c r="AD5" i="9"/>
  <c r="AD275" i="8"/>
  <c r="AD216" i="8"/>
  <c r="AD73" i="8"/>
  <c r="AD160" i="8"/>
  <c r="Y62" i="9"/>
  <c r="Y78" i="10" s="1"/>
  <c r="I30" i="15"/>
  <c r="Q163" i="7"/>
  <c r="Q89" i="7"/>
  <c r="Q51" i="7"/>
  <c r="E129" i="17"/>
  <c r="Q129" i="17" s="1"/>
  <c r="Q128" i="17"/>
  <c r="F253" i="8"/>
  <c r="F108" i="8"/>
  <c r="F112" i="8" s="1"/>
  <c r="F54" i="8"/>
  <c r="F53" i="8"/>
  <c r="F237" i="8" s="1"/>
  <c r="J45" i="8"/>
  <c r="F51" i="8"/>
  <c r="AD128" i="8"/>
  <c r="X42" i="3" s="1"/>
  <c r="R42" i="3"/>
  <c r="AG140" i="7"/>
  <c r="AG139" i="7" s="1"/>
  <c r="AF139" i="7"/>
  <c r="F70" i="16"/>
  <c r="AB140" i="8"/>
  <c r="Q54" i="3" s="1"/>
  <c r="AC307" i="8"/>
  <c r="AC310" i="8" s="1"/>
  <c r="AB318" i="8"/>
  <c r="AB320" i="8" s="1"/>
  <c r="Y157" i="9"/>
  <c r="Y17" i="10" s="1"/>
  <c r="M71" i="4"/>
  <c r="AD152" i="7"/>
  <c r="AE152" i="7" s="1"/>
  <c r="AA206" i="8"/>
  <c r="Z127" i="8"/>
  <c r="O41" i="3" s="1"/>
  <c r="O30" i="16"/>
  <c r="G50" i="16"/>
  <c r="AB213" i="7"/>
  <c r="AD213" i="7" s="1"/>
  <c r="AC215" i="7"/>
  <c r="AC213" i="7" s="1"/>
  <c r="AC167" i="7"/>
  <c r="AB165" i="7"/>
  <c r="F25" i="4"/>
  <c r="V76" i="3"/>
  <c r="AA193" i="9"/>
  <c r="AA173" i="9"/>
  <c r="AA34" i="9"/>
  <c r="AA16" i="9"/>
  <c r="AA7" i="9"/>
  <c r="AA18" i="9" s="1"/>
  <c r="L25" i="8"/>
  <c r="K24" i="8"/>
  <c r="K25" i="8" s="1"/>
  <c r="AE291" i="8"/>
  <c r="AE92" i="8"/>
  <c r="AB31" i="7" l="1"/>
  <c r="AB37" i="7"/>
  <c r="AB46" i="7"/>
  <c r="AB34" i="7"/>
  <c r="AB40" i="7"/>
  <c r="O57" i="8"/>
  <c r="U23" i="3" s="1"/>
  <c r="O56" i="8"/>
  <c r="Z41" i="9"/>
  <c r="Z45" i="9"/>
  <c r="Z48" i="9"/>
  <c r="Z46" i="9"/>
  <c r="Z44" i="9"/>
  <c r="M51" i="7"/>
  <c r="M163" i="7"/>
  <c r="M89" i="7"/>
  <c r="G70" i="16"/>
  <c r="M286" i="8"/>
  <c r="M234" i="8"/>
  <c r="M275" i="8"/>
  <c r="M216" i="8"/>
  <c r="M204" i="8"/>
  <c r="M118" i="8"/>
  <c r="M190" i="8"/>
  <c r="M160" i="8"/>
  <c r="M73" i="8"/>
  <c r="M5" i="9"/>
  <c r="AC97" i="7"/>
  <c r="AC91" i="7" s="1"/>
  <c r="AB91" i="7"/>
  <c r="AD91" i="7" s="1"/>
  <c r="AD97" i="7" s="1"/>
  <c r="AE97" i="7" s="1"/>
  <c r="M31" i="14"/>
  <c r="X162" i="8"/>
  <c r="X202" i="8"/>
  <c r="X35" i="8"/>
  <c r="Y35" i="8" s="1"/>
  <c r="Y69" i="8" s="1"/>
  <c r="Y50" i="10" s="1"/>
  <c r="X29" i="8"/>
  <c r="X41" i="8"/>
  <c r="Y41" i="8" s="1"/>
  <c r="Y70" i="8" s="1"/>
  <c r="Y57" i="10" s="1"/>
  <c r="X33" i="8"/>
  <c r="Y33" i="8" s="1"/>
  <c r="Y68" i="8" s="1"/>
  <c r="Y45" i="10" s="1"/>
  <c r="N8" i="3"/>
  <c r="X164" i="8"/>
  <c r="Y28" i="8"/>
  <c r="X32" i="8"/>
  <c r="Y32" i="8" s="1"/>
  <c r="Y67" i="8" s="1"/>
  <c r="Y40" i="10" s="1"/>
  <c r="X193" i="8"/>
  <c r="X246" i="8"/>
  <c r="O50" i="16"/>
  <c r="X293" i="8"/>
  <c r="Y172" i="9"/>
  <c r="Y17" i="9"/>
  <c r="Y16" i="9"/>
  <c r="Y18" i="9"/>
  <c r="Y21" i="9"/>
  <c r="Y20" i="9"/>
  <c r="H28" i="3"/>
  <c r="H77" i="3" s="1"/>
  <c r="H89" i="3"/>
  <c r="H88" i="3"/>
  <c r="H92" i="3"/>
  <c r="I34" i="15"/>
  <c r="P30" i="16"/>
  <c r="H50" i="16"/>
  <c r="O184" i="7"/>
  <c r="O180" i="7"/>
  <c r="O178" i="7"/>
  <c r="AC175" i="9"/>
  <c r="AC195" i="9"/>
  <c r="AC36" i="9"/>
  <c r="I275" i="8"/>
  <c r="I190" i="8"/>
  <c r="I216" i="8"/>
  <c r="I5" i="9"/>
  <c r="I234" i="8"/>
  <c r="I160" i="8"/>
  <c r="I204" i="8"/>
  <c r="I73" i="8"/>
  <c r="I286" i="8"/>
  <c r="I118" i="8"/>
  <c r="AF177" i="9"/>
  <c r="AF197" i="9"/>
  <c r="AF38" i="9"/>
  <c r="AE163" i="7"/>
  <c r="AE89" i="7"/>
  <c r="AE51" i="7"/>
  <c r="AB219" i="8"/>
  <c r="AA129" i="8"/>
  <c r="P43" i="3" s="1"/>
  <c r="AA220" i="8"/>
  <c r="AA221" i="8" s="1"/>
  <c r="AA228" i="8" s="1"/>
  <c r="AA79" i="8" s="1"/>
  <c r="AE10" i="9"/>
  <c r="AE39" i="7"/>
  <c r="U115" i="8"/>
  <c r="U116" i="8" s="1"/>
  <c r="U114" i="8"/>
  <c r="AG104" i="7"/>
  <c r="V115" i="8"/>
  <c r="V116" i="8" s="1"/>
  <c r="V114" i="8"/>
  <c r="M21" i="3"/>
  <c r="M20" i="3"/>
  <c r="M79" i="3" s="1"/>
  <c r="M80" i="3"/>
  <c r="M82" i="3"/>
  <c r="M81" i="3"/>
  <c r="Y158" i="9"/>
  <c r="Y22" i="10" s="1"/>
  <c r="Y73" i="9"/>
  <c r="I146" i="9"/>
  <c r="K14" i="15"/>
  <c r="J15" i="15"/>
  <c r="P114" i="8"/>
  <c r="P115" i="8"/>
  <c r="P116" i="8" s="1"/>
  <c r="S208" i="9"/>
  <c r="S146" i="9"/>
  <c r="J27" i="3"/>
  <c r="AD203" i="7"/>
  <c r="AA31" i="7"/>
  <c r="AA37" i="7"/>
  <c r="AA46" i="7"/>
  <c r="AA40" i="7"/>
  <c r="AA34" i="7"/>
  <c r="I31" i="15"/>
  <c r="J253" i="8"/>
  <c r="F255" i="8"/>
  <c r="J255" i="8" s="1"/>
  <c r="K110" i="10"/>
  <c r="K69" i="10"/>
  <c r="K162" i="10"/>
  <c r="K4" i="10"/>
  <c r="K63" i="8"/>
  <c r="K28" i="7"/>
  <c r="AC249" i="8"/>
  <c r="G114" i="8"/>
  <c r="G115" i="8"/>
  <c r="G116" i="8" s="1"/>
  <c r="R73" i="3"/>
  <c r="R32" i="3"/>
  <c r="M57" i="3" a="1"/>
  <c r="M57" i="3" s="1"/>
  <c r="M59" i="3" s="1"/>
  <c r="M70" i="3" s="1"/>
  <c r="H162" i="10"/>
  <c r="H110" i="10"/>
  <c r="H4" i="10"/>
  <c r="H69" i="10"/>
  <c r="H28" i="7"/>
  <c r="H63" i="8"/>
  <c r="I51" i="7"/>
  <c r="I163" i="7"/>
  <c r="I89" i="7"/>
  <c r="AA198" i="9"/>
  <c r="AA178" i="9"/>
  <c r="AA21" i="9"/>
  <c r="AA39" i="9"/>
  <c r="K238" i="8"/>
  <c r="AE234" i="8"/>
  <c r="AE160" i="8"/>
  <c r="AE204" i="8"/>
  <c r="AE5" i="9"/>
  <c r="AE275" i="8"/>
  <c r="AE190" i="8"/>
  <c r="AE286" i="8"/>
  <c r="AE216" i="8"/>
  <c r="AE73" i="8"/>
  <c r="AE118" i="8"/>
  <c r="AE225" i="7"/>
  <c r="AF227" i="7"/>
  <c r="AG65" i="7"/>
  <c r="AG38" i="7" s="1"/>
  <c r="AF38" i="7"/>
  <c r="AB193" i="9"/>
  <c r="AB173" i="9"/>
  <c r="AB34" i="9"/>
  <c r="AD8" i="9"/>
  <c r="W114" i="8"/>
  <c r="W115" i="8"/>
  <c r="W116" i="8" s="1"/>
  <c r="T108" i="8"/>
  <c r="T112" i="8" s="1"/>
  <c r="T54" i="8"/>
  <c r="T53" i="8"/>
  <c r="T237" i="8" s="1"/>
  <c r="T238" i="8" s="1"/>
  <c r="V19" i="3"/>
  <c r="AD133" i="7"/>
  <c r="AE133" i="7" s="1"/>
  <c r="AF133" i="7" s="1"/>
  <c r="AG133" i="7" s="1"/>
  <c r="D50" i="16"/>
  <c r="L30" i="16"/>
  <c r="U215" i="7"/>
  <c r="AC51" i="7"/>
  <c r="AC163" i="7"/>
  <c r="AC89" i="7"/>
  <c r="F24" i="8"/>
  <c r="F25" i="8" s="1"/>
  <c r="T57" i="3" s="1" a="1"/>
  <c r="T57" i="3" s="1"/>
  <c r="T59" i="3" s="1"/>
  <c r="T70" i="3" s="1"/>
  <c r="G25" i="8"/>
  <c r="AF254" i="8"/>
  <c r="AG267" i="8"/>
  <c r="AF290" i="8"/>
  <c r="AF94" i="8"/>
  <c r="AB175" i="9"/>
  <c r="AB195" i="9"/>
  <c r="AB36" i="9"/>
  <c r="AD36" i="9" s="1"/>
  <c r="K61" i="8"/>
  <c r="M59" i="8"/>
  <c r="M61" i="8" s="1"/>
  <c r="M56" i="8"/>
  <c r="M57" i="8"/>
  <c r="AC173" i="9"/>
  <c r="AC193" i="9"/>
  <c r="AC34" i="9"/>
  <c r="K81" i="3"/>
  <c r="K82" i="3"/>
  <c r="K80" i="3"/>
  <c r="K21" i="3"/>
  <c r="K20" i="3"/>
  <c r="K79" i="3" s="1"/>
  <c r="E70" i="16"/>
  <c r="AD225" i="7"/>
  <c r="AF218" i="8"/>
  <c r="AE128" i="8"/>
  <c r="Y42" i="3" s="1"/>
  <c r="Q238" i="8"/>
  <c r="P238" i="8"/>
  <c r="S238" i="8"/>
  <c r="R238" i="8"/>
  <c r="AC225" i="8"/>
  <c r="AC226" i="8" s="1"/>
  <c r="AC141" i="8"/>
  <c r="AD223" i="8"/>
  <c r="U81" i="3"/>
  <c r="E56" i="4" s="1"/>
  <c r="E32" i="4"/>
  <c r="U20" i="3"/>
  <c r="U82" i="3"/>
  <c r="E57" i="4" s="1"/>
  <c r="U80" i="3"/>
  <c r="E55" i="4" s="1"/>
  <c r="AD201" i="7"/>
  <c r="G238" i="8"/>
  <c r="F238" i="8"/>
  <c r="H238" i="8"/>
  <c r="I238" i="8"/>
  <c r="L69" i="10"/>
  <c r="L162" i="10"/>
  <c r="L4" i="10"/>
  <c r="L110" i="10"/>
  <c r="L63" i="8"/>
  <c r="L28" i="7"/>
  <c r="AA208" i="8"/>
  <c r="AE307" i="8"/>
  <c r="AE310" i="8" s="1"/>
  <c r="AC140" i="8"/>
  <c r="AC318" i="8"/>
  <c r="AC320" i="8" s="1"/>
  <c r="F59" i="8"/>
  <c r="F57" i="8"/>
  <c r="F56" i="8"/>
  <c r="J51" i="8"/>
  <c r="AG86" i="7"/>
  <c r="AG84" i="7" s="1"/>
  <c r="AF84" i="7"/>
  <c r="AA192" i="9"/>
  <c r="AA172" i="9"/>
  <c r="AA28" i="8"/>
  <c r="AA17" i="9"/>
  <c r="AA20" i="9"/>
  <c r="AC165" i="7"/>
  <c r="AD165" i="7" s="1"/>
  <c r="AD167" i="7"/>
  <c r="AE167" i="7" s="1"/>
  <c r="AF152" i="7"/>
  <c r="AE151" i="7"/>
  <c r="J108" i="8"/>
  <c r="J112" i="8" s="1"/>
  <c r="J54" i="8"/>
  <c r="J53" i="8"/>
  <c r="J237" i="8" s="1"/>
  <c r="J238" i="8" s="1"/>
  <c r="T19" i="3"/>
  <c r="U21" i="3" s="1"/>
  <c r="E34" i="4" s="1"/>
  <c r="AD10" i="9"/>
  <c r="H57" i="8"/>
  <c r="H56" i="8"/>
  <c r="H59" i="8"/>
  <c r="H61" i="8" s="1"/>
  <c r="E7" i="16"/>
  <c r="U78" i="3"/>
  <c r="AG197" i="9"/>
  <c r="AG177" i="9"/>
  <c r="AG38" i="9"/>
  <c r="AC286" i="8"/>
  <c r="AC234" i="8"/>
  <c r="AC275" i="8"/>
  <c r="AC190" i="8"/>
  <c r="AC118" i="8"/>
  <c r="AC216" i="8"/>
  <c r="AC204" i="8"/>
  <c r="AC160" i="8"/>
  <c r="AC5" i="9"/>
  <c r="AC73" i="8"/>
  <c r="U51" i="7"/>
  <c r="U163" i="7"/>
  <c r="U89" i="7"/>
  <c r="N115" i="8"/>
  <c r="N116" i="8" s="1"/>
  <c r="N114" i="8"/>
  <c r="AD103" i="7"/>
  <c r="AD109" i="7" s="1"/>
  <c r="AE109" i="7" s="1"/>
  <c r="N28" i="14"/>
  <c r="O29" i="14"/>
  <c r="AD71" i="7"/>
  <c r="AE71" i="7" s="1"/>
  <c r="M115" i="8"/>
  <c r="M116" i="8" s="1"/>
  <c r="M114" i="8"/>
  <c r="Z172" i="9"/>
  <c r="Z192" i="9"/>
  <c r="Z28" i="8"/>
  <c r="Z17" i="9"/>
  <c r="Z20" i="9"/>
  <c r="Z16" i="9"/>
  <c r="Z18" i="9"/>
  <c r="U259" i="8"/>
  <c r="U260" i="8" s="1"/>
  <c r="Y260" i="8" s="1"/>
  <c r="Y259" i="8"/>
  <c r="M50" i="16"/>
  <c r="AB166" i="7"/>
  <c r="AC166" i="7" s="1"/>
  <c r="AB214" i="7"/>
  <c r="AC214" i="7" s="1"/>
  <c r="N70" i="16"/>
  <c r="W57" i="8"/>
  <c r="M23" i="3" s="1"/>
  <c r="M24" i="3" s="1"/>
  <c r="W59" i="8"/>
  <c r="W61" i="8" s="1"/>
  <c r="W56" i="8"/>
  <c r="AC277" i="8"/>
  <c r="AC280" i="8" s="1"/>
  <c r="AC282" i="8" s="1"/>
  <c r="AB282" i="8"/>
  <c r="F7" i="16"/>
  <c r="V78" i="3"/>
  <c r="H114" i="8"/>
  <c r="H115" i="8"/>
  <c r="H116" i="8" s="1"/>
  <c r="H57" i="3" a="1"/>
  <c r="H57" i="3" s="1"/>
  <c r="H59" i="3" s="1"/>
  <c r="H70" i="3" s="1"/>
  <c r="AF116" i="7"/>
  <c r="AG25" i="8"/>
  <c r="AA4" i="3"/>
  <c r="K73" i="3"/>
  <c r="K32" i="3"/>
  <c r="K57" i="3" s="1" a="1"/>
  <c r="K57" i="3" s="1"/>
  <c r="K59" i="3" s="1"/>
  <c r="K70" i="3" s="1"/>
  <c r="AA157" i="9"/>
  <c r="AC190" i="7"/>
  <c r="AC179" i="7"/>
  <c r="AC177" i="7" s="1"/>
  <c r="AB177" i="7"/>
  <c r="AB178" i="7" s="1"/>
  <c r="AC178" i="7" s="1"/>
  <c r="N73" i="3"/>
  <c r="N32" i="3"/>
  <c r="AB11" i="9"/>
  <c r="AB7" i="9" s="1"/>
  <c r="AB43" i="7"/>
  <c r="AB42" i="7"/>
  <c r="AD41" i="7"/>
  <c r="L57" i="3" a="1"/>
  <c r="L57" i="3" s="1"/>
  <c r="L59" i="3" s="1"/>
  <c r="L70" i="3" s="1"/>
  <c r="AD159" i="9"/>
  <c r="AD27" i="10" s="1"/>
  <c r="L81" i="3"/>
  <c r="L21" i="3"/>
  <c r="L20" i="3"/>
  <c r="L79" i="3" s="1"/>
  <c r="L82" i="3"/>
  <c r="L80" i="3"/>
  <c r="Y19" i="9"/>
  <c r="AF291" i="8"/>
  <c r="AF92" i="8"/>
  <c r="Z47" i="9"/>
  <c r="Z158" i="9"/>
  <c r="AA284" i="8"/>
  <c r="AA266" i="8"/>
  <c r="AA264" i="8" s="1"/>
  <c r="AA265" i="8" s="1"/>
  <c r="T253" i="8"/>
  <c r="P255" i="8"/>
  <c r="T255" i="8" s="1"/>
  <c r="O115" i="8"/>
  <c r="O116" i="8" s="1"/>
  <c r="O114" i="8"/>
  <c r="E39" i="4"/>
  <c r="AA155" i="9"/>
  <c r="J90" i="16"/>
  <c r="F71" i="16" a="1"/>
  <c r="F71" i="16" s="1"/>
  <c r="Q63" i="3"/>
  <c r="AC149" i="8"/>
  <c r="O76" i="17"/>
  <c r="C92" i="17"/>
  <c r="AF128" i="7"/>
  <c r="AF69" i="10"/>
  <c r="AF4" i="10"/>
  <c r="AF110" i="10"/>
  <c r="AF162" i="10"/>
  <c r="AF28" i="7"/>
  <c r="Z6" i="3"/>
  <c r="AF63" i="8"/>
  <c r="U286" i="8"/>
  <c r="U5" i="9"/>
  <c r="U234" i="8"/>
  <c r="U118" i="8"/>
  <c r="U190" i="8"/>
  <c r="U160" i="8"/>
  <c r="U204" i="8"/>
  <c r="U275" i="8"/>
  <c r="U216" i="8"/>
  <c r="U73" i="8"/>
  <c r="AD226" i="7"/>
  <c r="AE226" i="7" s="1"/>
  <c r="X41" i="9"/>
  <c r="Y33" i="9"/>
  <c r="X69" i="9"/>
  <c r="X45" i="9"/>
  <c r="X44" i="9"/>
  <c r="X46" i="9"/>
  <c r="X48" i="9"/>
  <c r="X49" i="9"/>
  <c r="AA25" i="8"/>
  <c r="Z24" i="8"/>
  <c r="Z25" i="8" s="1"/>
  <c r="X89" i="7"/>
  <c r="X163" i="7"/>
  <c r="X51" i="7"/>
  <c r="AC11" i="9"/>
  <c r="AC42" i="7"/>
  <c r="U238" i="8"/>
  <c r="V238" i="8"/>
  <c r="W238" i="8"/>
  <c r="AA43" i="7"/>
  <c r="L59" i="8"/>
  <c r="L61" i="8" s="1"/>
  <c r="L57" i="8"/>
  <c r="L56" i="8"/>
  <c r="AG92" i="7"/>
  <c r="AE284" i="8"/>
  <c r="AE266" i="8"/>
  <c r="AE264" i="8" s="1"/>
  <c r="AE265" i="8" s="1"/>
  <c r="I40" i="15"/>
  <c r="I37" i="15"/>
  <c r="AB13" i="9"/>
  <c r="AB49" i="7"/>
  <c r="AB48" i="7"/>
  <c r="AD47" i="7"/>
  <c r="N59" i="8"/>
  <c r="N61" i="8" s="1"/>
  <c r="S188" i="9" s="1"/>
  <c r="N57" i="8"/>
  <c r="N56" i="8"/>
  <c r="AC189" i="7"/>
  <c r="AD191" i="7"/>
  <c r="AB110" i="10"/>
  <c r="AB69" i="10"/>
  <c r="AB4" i="10"/>
  <c r="AB162" i="10"/>
  <c r="AB63" i="8"/>
  <c r="AB28" i="7"/>
  <c r="Q6" i="3"/>
  <c r="X204" i="8"/>
  <c r="X275" i="8"/>
  <c r="X190" i="8"/>
  <c r="X216" i="8"/>
  <c r="X5" i="9"/>
  <c r="X234" i="8"/>
  <c r="X286" i="8"/>
  <c r="X73" i="8"/>
  <c r="X118" i="8"/>
  <c r="X160" i="8"/>
  <c r="U57" i="8"/>
  <c r="K23" i="3" s="1"/>
  <c r="U59" i="8"/>
  <c r="U56" i="8"/>
  <c r="AA196" i="9"/>
  <c r="AA176" i="9"/>
  <c r="AA19" i="9"/>
  <c r="AA37" i="9"/>
  <c r="AD33" i="7"/>
  <c r="L115" i="8"/>
  <c r="L116" i="8" s="1"/>
  <c r="L114" i="8"/>
  <c r="D7" i="16"/>
  <c r="T78" i="3"/>
  <c r="V57" i="8"/>
  <c r="L23" i="3" s="1"/>
  <c r="L24" i="3" s="1"/>
  <c r="V59" i="8"/>
  <c r="V61" i="8" s="1"/>
  <c r="V56" i="8"/>
  <c r="AG240" i="8"/>
  <c r="AG279" i="8" s="1"/>
  <c r="AG245" i="8"/>
  <c r="Z19" i="9"/>
  <c r="P59" i="8"/>
  <c r="P57" i="8"/>
  <c r="G23" i="3" s="1"/>
  <c r="P56" i="8"/>
  <c r="T51" i="8"/>
  <c r="G85" i="14"/>
  <c r="G9" i="13"/>
  <c r="G16" i="13"/>
  <c r="G17" i="13" s="1"/>
  <c r="O6" i="13" s="1"/>
  <c r="F47" i="13"/>
  <c r="G47" i="13" s="1"/>
  <c r="AD121" i="7"/>
  <c r="AE121" i="7" s="1"/>
  <c r="AF121" i="7" s="1"/>
  <c r="AG121" i="7" s="1"/>
  <c r="AF280" i="8"/>
  <c r="F115" i="8"/>
  <c r="F116" i="8" s="1"/>
  <c r="F114" i="8"/>
  <c r="G57" i="8"/>
  <c r="G59" i="8"/>
  <c r="G61" i="8" s="1"/>
  <c r="G56" i="8"/>
  <c r="AC47" i="7"/>
  <c r="AD83" i="7"/>
  <c r="AE83" i="7" s="1"/>
  <c r="Z160" i="9"/>
  <c r="Z49" i="9"/>
  <c r="AE159" i="9"/>
  <c r="AD189" i="7"/>
  <c r="I6" i="16"/>
  <c r="I30" i="16" s="1"/>
  <c r="I19" i="4"/>
  <c r="I43" i="4" s="1"/>
  <c r="Y73" i="3"/>
  <c r="Y32" i="3"/>
  <c r="AD39" i="7"/>
  <c r="R188" i="9"/>
  <c r="R146" i="9"/>
  <c r="R208" i="9"/>
  <c r="I27" i="3"/>
  <c r="AC30" i="7"/>
  <c r="AD30" i="7" s="1"/>
  <c r="T172" i="7"/>
  <c r="T168" i="7"/>
  <c r="T166" i="7"/>
  <c r="U255" i="8"/>
  <c r="Y255" i="8" s="1"/>
  <c r="M62" i="4"/>
  <c r="AF53" i="7"/>
  <c r="AE32" i="7"/>
  <c r="BK13" i="15"/>
  <c r="AK13" i="15"/>
  <c r="G82" i="3"/>
  <c r="G80" i="3"/>
  <c r="G81" i="3"/>
  <c r="G20" i="3"/>
  <c r="G79" i="3" s="1"/>
  <c r="AD215" i="7"/>
  <c r="AE215" i="7" s="1"/>
  <c r="AD31" i="7" l="1"/>
  <c r="AD46" i="7"/>
  <c r="AD37" i="7"/>
  <c r="AD34" i="7"/>
  <c r="AD40" i="7"/>
  <c r="AF97" i="7"/>
  <c r="AE91" i="7"/>
  <c r="AD157" i="9"/>
  <c r="AD17" i="10" s="1"/>
  <c r="AB192" i="9"/>
  <c r="AB172" i="9"/>
  <c r="AB28" i="8"/>
  <c r="AB17" i="9"/>
  <c r="AB20" i="9"/>
  <c r="AB18" i="9"/>
  <c r="AB16" i="9"/>
  <c r="X82" i="9"/>
  <c r="X78" i="9"/>
  <c r="X79" i="9"/>
  <c r="X80" i="9"/>
  <c r="X83" i="9"/>
  <c r="AF89" i="7"/>
  <c r="AF51" i="7"/>
  <c r="AF163" i="7"/>
  <c r="AD42" i="7"/>
  <c r="AD43" i="7"/>
  <c r="AG116" i="7"/>
  <c r="AG115" i="7" s="1"/>
  <c r="AF115" i="7"/>
  <c r="AC284" i="8"/>
  <c r="AC266" i="8"/>
  <c r="AC264" i="8" s="1"/>
  <c r="AC265" i="8" s="1"/>
  <c r="AA193" i="8"/>
  <c r="AA33" i="8"/>
  <c r="AA29" i="8"/>
  <c r="AA162" i="8"/>
  <c r="AA41" i="8"/>
  <c r="AA30" i="8"/>
  <c r="P8" i="3"/>
  <c r="AA35" i="8"/>
  <c r="AA32" i="8"/>
  <c r="AA164" i="8"/>
  <c r="AA123" i="8" s="1"/>
  <c r="P37" i="3" s="1"/>
  <c r="AA293" i="8"/>
  <c r="AA246" i="8"/>
  <c r="AA77" i="8" s="1"/>
  <c r="F61" i="8"/>
  <c r="J59" i="8"/>
  <c r="AD141" i="8"/>
  <c r="X55" i="3" s="1"/>
  <c r="R55" i="3"/>
  <c r="K163" i="7"/>
  <c r="K89" i="7"/>
  <c r="K51" i="7"/>
  <c r="J16" i="15"/>
  <c r="K15" i="15"/>
  <c r="Y164" i="8"/>
  <c r="Y186" i="8" s="1"/>
  <c r="Y123" i="10" s="1"/>
  <c r="X123" i="8"/>
  <c r="X121" i="8"/>
  <c r="Y162" i="8"/>
  <c r="P90" i="16"/>
  <c r="K90" i="16"/>
  <c r="E36" i="4"/>
  <c r="Z162" i="8"/>
  <c r="Z193" i="8"/>
  <c r="Z164" i="8"/>
  <c r="Z123" i="8" s="1"/>
  <c r="O37" i="3" s="1"/>
  <c r="Z33" i="8"/>
  <c r="Z29" i="8"/>
  <c r="Z41" i="8"/>
  <c r="Z32" i="8"/>
  <c r="O8" i="3"/>
  <c r="Z35" i="8"/>
  <c r="Z246" i="8"/>
  <c r="Z293" i="8"/>
  <c r="M208" i="9"/>
  <c r="M188" i="9"/>
  <c r="M146" i="9"/>
  <c r="V82" i="3"/>
  <c r="F57" i="4" s="1"/>
  <c r="V20" i="3"/>
  <c r="AC19" i="3"/>
  <c r="M32" i="4" s="1"/>
  <c r="V21" i="3"/>
  <c r="F34" i="4" s="1"/>
  <c r="V80" i="3"/>
  <c r="F55" i="4" s="1"/>
  <c r="F32" i="4"/>
  <c r="V81" i="3"/>
  <c r="F56" i="4" s="1"/>
  <c r="K5" i="9"/>
  <c r="K216" i="8"/>
  <c r="K286" i="8"/>
  <c r="K73" i="8"/>
  <c r="K275" i="8"/>
  <c r="K204" i="8"/>
  <c r="K234" i="8"/>
  <c r="K190" i="8"/>
  <c r="K118" i="8"/>
  <c r="K160" i="8"/>
  <c r="AE203" i="7"/>
  <c r="AD202" i="7"/>
  <c r="BK14" i="15"/>
  <c r="AK14" i="15"/>
  <c r="AC157" i="9"/>
  <c r="H70" i="16"/>
  <c r="N9" i="3"/>
  <c r="AG53" i="7"/>
  <c r="AG32" i="7" s="1"/>
  <c r="AF32" i="7"/>
  <c r="I28" i="3"/>
  <c r="I77" i="3" s="1"/>
  <c r="I89" i="3"/>
  <c r="I88" i="3"/>
  <c r="I92" i="3"/>
  <c r="AE47" i="7"/>
  <c r="AF83" i="7"/>
  <c r="P61" i="8"/>
  <c r="T59" i="8"/>
  <c r="AE191" i="7"/>
  <c r="AD190" i="7"/>
  <c r="AB198" i="9"/>
  <c r="AB178" i="9"/>
  <c r="AB21" i="9"/>
  <c r="AB39" i="9"/>
  <c r="Z162" i="10"/>
  <c r="Z69" i="10"/>
  <c r="Z4" i="10"/>
  <c r="Z110" i="10"/>
  <c r="Z63" i="8"/>
  <c r="O6" i="3"/>
  <c r="Z28" i="7"/>
  <c r="Y41" i="9"/>
  <c r="Y44" i="9"/>
  <c r="Y45" i="9"/>
  <c r="Y46" i="9"/>
  <c r="Y48" i="9"/>
  <c r="Y49" i="9"/>
  <c r="Y69" i="9"/>
  <c r="E40" i="4"/>
  <c r="AE115" i="7"/>
  <c r="J114" i="8"/>
  <c r="J115" i="8"/>
  <c r="J116" i="8" s="1"/>
  <c r="D39" i="4"/>
  <c r="I50" i="16"/>
  <c r="Q30" i="16"/>
  <c r="AC13" i="9"/>
  <c r="AC48" i="7"/>
  <c r="AC49" i="7"/>
  <c r="Q32" i="3"/>
  <c r="Q73" i="3"/>
  <c r="AA162" i="10"/>
  <c r="AA69" i="10"/>
  <c r="AA110" i="10"/>
  <c r="AA4" i="10"/>
  <c r="AA28" i="7"/>
  <c r="AA63" i="8"/>
  <c r="P6" i="3"/>
  <c r="AD149" i="8"/>
  <c r="R63" i="3"/>
  <c r="L32" i="14"/>
  <c r="W188" i="9"/>
  <c r="W208" i="9"/>
  <c r="W146" i="9"/>
  <c r="M27" i="3"/>
  <c r="M70" i="16"/>
  <c r="M71" i="16" s="1" a="1"/>
  <c r="M71" i="16" s="1"/>
  <c r="O28" i="14"/>
  <c r="P29" i="14"/>
  <c r="H146" i="9"/>
  <c r="H208" i="9"/>
  <c r="AD140" i="8"/>
  <c r="X54" i="3" s="1"/>
  <c r="R54" i="3"/>
  <c r="O59" i="8"/>
  <c r="AG254" i="8"/>
  <c r="AG94" i="8"/>
  <c r="AG290" i="8"/>
  <c r="AB155" i="9"/>
  <c r="J28" i="3"/>
  <c r="J77" i="3" s="1"/>
  <c r="J89" i="3"/>
  <c r="J88" i="3"/>
  <c r="J92" i="3"/>
  <c r="P50" i="16"/>
  <c r="O9" i="13"/>
  <c r="O13" i="13"/>
  <c r="AG291" i="8"/>
  <c r="AG92" i="8"/>
  <c r="AB163" i="7"/>
  <c r="AB89" i="7"/>
  <c r="AB51" i="7"/>
  <c r="AC43" i="7"/>
  <c r="AB196" i="9"/>
  <c r="AB37" i="9"/>
  <c r="AB176" i="9"/>
  <c r="AB19" i="9"/>
  <c r="Y261" i="8"/>
  <c r="AG152" i="7"/>
  <c r="AG151" i="7" s="1"/>
  <c r="AF151" i="7"/>
  <c r="AF307" i="8"/>
  <c r="AF310" i="8" s="1"/>
  <c r="AE140" i="8"/>
  <c r="Y54" i="3" s="1"/>
  <c r="AE318" i="8"/>
  <c r="AE320" i="8" s="1"/>
  <c r="AC155" i="9"/>
  <c r="K188" i="9"/>
  <c r="K208" i="9"/>
  <c r="K146" i="9"/>
  <c r="O61" i="8"/>
  <c r="U220" i="7"/>
  <c r="Y220" i="7" s="1"/>
  <c r="Y215" i="7"/>
  <c r="Y214" i="7" s="1"/>
  <c r="AD214" i="7" s="1"/>
  <c r="U216" i="7"/>
  <c r="V216" i="7"/>
  <c r="H5" i="9"/>
  <c r="H204" i="8"/>
  <c r="H275" i="8"/>
  <c r="H190" i="8"/>
  <c r="H234" i="8"/>
  <c r="H160" i="8"/>
  <c r="H216" i="8"/>
  <c r="H73" i="8"/>
  <c r="H286" i="8"/>
  <c r="H118" i="8"/>
  <c r="I208" i="9"/>
  <c r="O70" i="16"/>
  <c r="AE8" i="9"/>
  <c r="AE33" i="7"/>
  <c r="AC31" i="7"/>
  <c r="AC37" i="7"/>
  <c r="AC46" i="7"/>
  <c r="AC40" i="7"/>
  <c r="AC34" i="7"/>
  <c r="G146" i="9"/>
  <c r="G208" i="9"/>
  <c r="U61" i="8"/>
  <c r="AB5" i="9"/>
  <c r="AB286" i="8"/>
  <c r="AB275" i="8"/>
  <c r="AB190" i="8"/>
  <c r="AB118" i="8"/>
  <c r="AB216" i="8"/>
  <c r="AB204" i="8"/>
  <c r="AB234" i="8"/>
  <c r="AB160" i="8"/>
  <c r="AB73" i="8"/>
  <c r="F72" i="16"/>
  <c r="AF109" i="7"/>
  <c r="AE103" i="7"/>
  <c r="AF167" i="7"/>
  <c r="AE165" i="7"/>
  <c r="E9" i="16"/>
  <c r="U79" i="3"/>
  <c r="E33" i="4"/>
  <c r="I90" i="16"/>
  <c r="E71" i="16" a="1"/>
  <c r="E71" i="16" s="1"/>
  <c r="T115" i="8"/>
  <c r="T116" i="8" s="1"/>
  <c r="T114" i="8"/>
  <c r="F39" i="4"/>
  <c r="AA160" i="9"/>
  <c r="H89" i="7"/>
  <c r="H163" i="7"/>
  <c r="H51" i="7"/>
  <c r="Y81" i="9"/>
  <c r="AE195" i="9"/>
  <c r="AE175" i="9"/>
  <c r="AE36" i="9"/>
  <c r="AF159" i="9"/>
  <c r="M39" i="14"/>
  <c r="X77" i="8"/>
  <c r="Y77" i="8" s="1"/>
  <c r="X247" i="8"/>
  <c r="Y246" i="8"/>
  <c r="X169" i="8"/>
  <c r="X168" i="8"/>
  <c r="X163" i="8"/>
  <c r="X176" i="8" s="1"/>
  <c r="X178" i="8" s="1"/>
  <c r="X110" i="8" s="1"/>
  <c r="X167" i="8"/>
  <c r="Y29" i="8"/>
  <c r="AD34" i="9"/>
  <c r="N208" i="9"/>
  <c r="N188" i="9"/>
  <c r="N146" i="9"/>
  <c r="I38" i="15"/>
  <c r="L188" i="9"/>
  <c r="L208" i="9"/>
  <c r="L146" i="9"/>
  <c r="Q188" i="9"/>
  <c r="AC196" i="9"/>
  <c r="AC37" i="9"/>
  <c r="AC176" i="9"/>
  <c r="AF127" i="7"/>
  <c r="AG128" i="7"/>
  <c r="AG127" i="7" s="1"/>
  <c r="O90" i="16"/>
  <c r="N71" i="16" a="1"/>
  <c r="N71" i="16" s="1"/>
  <c r="N72" i="16" s="1"/>
  <c r="AG159" i="9"/>
  <c r="AD175" i="9"/>
  <c r="J57" i="8"/>
  <c r="T23" i="3" s="1"/>
  <c r="D36" i="4" s="1"/>
  <c r="J56" i="8"/>
  <c r="AA210" i="8"/>
  <c r="AB157" i="9"/>
  <c r="AF10" i="9"/>
  <c r="AF39" i="7"/>
  <c r="Y47" i="9"/>
  <c r="P179" i="7"/>
  <c r="I35" i="15"/>
  <c r="M40" i="14"/>
  <c r="X111" i="8"/>
  <c r="Y111" i="8" s="1"/>
  <c r="X82" i="8"/>
  <c r="N86" i="3"/>
  <c r="X196" i="8"/>
  <c r="Y193" i="8"/>
  <c r="T56" i="8"/>
  <c r="T57" i="8"/>
  <c r="V23" i="3" s="1"/>
  <c r="K24" i="3"/>
  <c r="AD48" i="7"/>
  <c r="AD49" i="7"/>
  <c r="I41" i="15"/>
  <c r="I44" i="15"/>
  <c r="AF204" i="8"/>
  <c r="AF5" i="9"/>
  <c r="AF275" i="8"/>
  <c r="AF190" i="8"/>
  <c r="AF286" i="8"/>
  <c r="AF234" i="8"/>
  <c r="AF160" i="8"/>
  <c r="AF118" i="8"/>
  <c r="AF216" i="8"/>
  <c r="AF73" i="8"/>
  <c r="AE127" i="7"/>
  <c r="AD179" i="7"/>
  <c r="AE179" i="7" s="1"/>
  <c r="T81" i="3"/>
  <c r="D56" i="4" s="1"/>
  <c r="M56" i="4" s="1"/>
  <c r="T80" i="3"/>
  <c r="D55" i="4" s="1"/>
  <c r="M55" i="4" s="1"/>
  <c r="D32" i="4"/>
  <c r="T20" i="3"/>
  <c r="T82" i="3"/>
  <c r="D57" i="4" s="1"/>
  <c r="M57" i="4" s="1"/>
  <c r="L89" i="7"/>
  <c r="L51" i="7"/>
  <c r="L163" i="7"/>
  <c r="G110" i="10"/>
  <c r="G162" i="10"/>
  <c r="G4" i="10"/>
  <c r="G69" i="10"/>
  <c r="G63" i="8"/>
  <c r="G28" i="7"/>
  <c r="L50" i="16"/>
  <c r="AG10" i="9"/>
  <c r="AJ38" i="7"/>
  <c r="AG39" i="7"/>
  <c r="X30" i="8"/>
  <c r="H13" i="18" s="1" a="1"/>
  <c r="H13" i="18" s="1"/>
  <c r="AD11" i="9"/>
  <c r="AF282" i="8"/>
  <c r="AG277" i="8"/>
  <c r="AG280" i="8" s="1"/>
  <c r="AG282" i="8" s="1"/>
  <c r="U167" i="7"/>
  <c r="AE213" i="7"/>
  <c r="AF215" i="7"/>
  <c r="X81" i="9"/>
  <c r="K32" i="14"/>
  <c r="V188" i="9"/>
  <c r="V208" i="9"/>
  <c r="V146" i="9"/>
  <c r="L27" i="3"/>
  <c r="AA158" i="9"/>
  <c r="AA47" i="9"/>
  <c r="Z73" i="3"/>
  <c r="Z32" i="3"/>
  <c r="J19" i="4"/>
  <c r="J43" i="4" s="1"/>
  <c r="O92" i="17"/>
  <c r="C108" i="17"/>
  <c r="AA33" i="9"/>
  <c r="AA49" i="9" s="1"/>
  <c r="AD177" i="7"/>
  <c r="AG162" i="10"/>
  <c r="AG4" i="10"/>
  <c r="AG69" i="10"/>
  <c r="AG110" i="10"/>
  <c r="AG63" i="8"/>
  <c r="AG28" i="7"/>
  <c r="AA6" i="3"/>
  <c r="AB284" i="8"/>
  <c r="AD284" i="8" s="1"/>
  <c r="AD283" i="8" s="1"/>
  <c r="AB266" i="8"/>
  <c r="AB264" i="8" s="1"/>
  <c r="AB265" i="8" s="1"/>
  <c r="AD282" i="8"/>
  <c r="AD266" i="8" s="1"/>
  <c r="AD264" i="8" s="1"/>
  <c r="AD265" i="8" s="1"/>
  <c r="AF71" i="7"/>
  <c r="AE41" i="7"/>
  <c r="L5" i="9"/>
  <c r="L286" i="8"/>
  <c r="L275" i="8"/>
  <c r="L216" i="8"/>
  <c r="L204" i="8"/>
  <c r="L118" i="8"/>
  <c r="L160" i="8"/>
  <c r="L73" i="8"/>
  <c r="L190" i="8"/>
  <c r="L234" i="8"/>
  <c r="AE223" i="8"/>
  <c r="AD225" i="8"/>
  <c r="AD226" i="8" s="1"/>
  <c r="AF128" i="8"/>
  <c r="Z42" i="3" s="1"/>
  <c r="AG218" i="8"/>
  <c r="J15" i="18" a="1"/>
  <c r="J15" i="18" s="1"/>
  <c r="F162" i="10"/>
  <c r="F4" i="10"/>
  <c r="F69" i="10"/>
  <c r="F110" i="10"/>
  <c r="F234" i="8"/>
  <c r="F204" i="8"/>
  <c r="F286" i="8"/>
  <c r="F118" i="8"/>
  <c r="F160" i="8"/>
  <c r="F216" i="8"/>
  <c r="F275" i="8"/>
  <c r="F190" i="8"/>
  <c r="F73" i="8"/>
  <c r="F63" i="8"/>
  <c r="F5" i="9" s="1"/>
  <c r="F28" i="7"/>
  <c r="H51" i="16" s="1" a="1"/>
  <c r="H51" i="16" s="1"/>
  <c r="J14" i="18" a="1"/>
  <c r="J14" i="18" s="1"/>
  <c r="K36" i="19" a="1"/>
  <c r="K36" i="19" s="1"/>
  <c r="K35" i="19" a="1"/>
  <c r="K35" i="19" s="1"/>
  <c r="J21" i="18" a="1"/>
  <c r="J21" i="18" s="1"/>
  <c r="K14" i="19" a="1"/>
  <c r="K14" i="19" s="1"/>
  <c r="K12" i="19" a="1"/>
  <c r="K12" i="19" s="1"/>
  <c r="J12" i="18" a="1"/>
  <c r="J12" i="18" s="1"/>
  <c r="K21" i="19" a="1"/>
  <c r="K21" i="19" s="1"/>
  <c r="J19" i="18" a="1"/>
  <c r="J19" i="18" s="1"/>
  <c r="J20" i="18" s="1"/>
  <c r="K44" i="19" a="1"/>
  <c r="K44" i="19" s="1"/>
  <c r="J35" i="18" a="1"/>
  <c r="J35" i="18" s="1"/>
  <c r="J17" i="18" a="1"/>
  <c r="J17" i="18" s="1"/>
  <c r="J18" i="18" s="1"/>
  <c r="J37" i="18" a="1"/>
  <c r="J37" i="18" s="1"/>
  <c r="K33" i="19" a="1"/>
  <c r="K33" i="19" s="1"/>
  <c r="K13" i="19" a="1"/>
  <c r="K13" i="19" s="1"/>
  <c r="K37" i="19" a="1"/>
  <c r="K37" i="19" s="1"/>
  <c r="K17" i="19" a="1"/>
  <c r="K17" i="19" s="1"/>
  <c r="K42" i="19" a="1"/>
  <c r="K42" i="19" s="1"/>
  <c r="J13" i="18" a="1"/>
  <c r="J13" i="18" s="1"/>
  <c r="K43" i="19" a="1"/>
  <c r="K43" i="19" s="1"/>
  <c r="K32" i="19" a="1"/>
  <c r="K32" i="19" s="1"/>
  <c r="K19" i="19" a="1"/>
  <c r="K19" i="19" s="1"/>
  <c r="K20" i="19" s="1"/>
  <c r="K15" i="19" a="1"/>
  <c r="K15" i="19" s="1"/>
  <c r="K26" i="19" a="1"/>
  <c r="K26" i="19" s="1"/>
  <c r="K29" i="19" a="1"/>
  <c r="K29" i="19" s="1"/>
  <c r="J30" i="18" a="1"/>
  <c r="J30" i="18" s="1"/>
  <c r="J34" i="18" a="1"/>
  <c r="J34" i="18" s="1"/>
  <c r="I29" i="19" a="1"/>
  <c r="I29" i="19" s="1"/>
  <c r="J44" i="18" a="1"/>
  <c r="J44" i="18" s="1"/>
  <c r="J29" i="18" a="1"/>
  <c r="J29" i="18" s="1"/>
  <c r="J33" i="18" a="1"/>
  <c r="J33" i="18" s="1"/>
  <c r="K27" i="19" a="1"/>
  <c r="K27" i="19" s="1"/>
  <c r="J36" i="18" a="1"/>
  <c r="J36" i="18" s="1"/>
  <c r="H28" i="19" a="1"/>
  <c r="H28" i="19" s="1"/>
  <c r="H29" i="19" a="1"/>
  <c r="H29" i="19" s="1"/>
  <c r="J43" i="18" a="1"/>
  <c r="J43" i="18" s="1"/>
  <c r="J31" i="18" a="1"/>
  <c r="J31" i="18" s="1"/>
  <c r="K31" i="19" a="1"/>
  <c r="K31" i="19" s="1"/>
  <c r="K28" i="19" a="1"/>
  <c r="K28" i="19" s="1"/>
  <c r="H26" i="19" a="1"/>
  <c r="H26" i="19" s="1"/>
  <c r="J42" i="18" a="1"/>
  <c r="J42" i="18" s="1"/>
  <c r="J26" i="18" a="1"/>
  <c r="J26" i="18" s="1"/>
  <c r="J32" i="18" a="1"/>
  <c r="J32" i="18" s="1"/>
  <c r="J27" i="18" a="1"/>
  <c r="J27" i="18" s="1"/>
  <c r="H26" i="18" a="1"/>
  <c r="H26" i="18" s="1"/>
  <c r="J28" i="18" a="1"/>
  <c r="J28" i="18" s="1"/>
  <c r="K34" i="19" a="1"/>
  <c r="K34" i="19" s="1"/>
  <c r="K30" i="19" a="1"/>
  <c r="K30" i="19" s="1"/>
  <c r="H12" i="18" a="1"/>
  <c r="H12" i="18" s="1"/>
  <c r="H34" i="19" a="1"/>
  <c r="H34" i="19" s="1"/>
  <c r="H36" i="19" a="1"/>
  <c r="H36" i="19" s="1"/>
  <c r="K14" i="18" a="1"/>
  <c r="K14" i="18" s="1"/>
  <c r="I27" i="19" a="1"/>
  <c r="I27" i="19" s="1"/>
  <c r="H30" i="18" a="1"/>
  <c r="H30" i="18" s="1"/>
  <c r="H33" i="18" a="1"/>
  <c r="H33" i="18" s="1"/>
  <c r="L12" i="19" a="1"/>
  <c r="L12" i="19" s="1"/>
  <c r="H37" i="19" a="1"/>
  <c r="H37" i="19" s="1"/>
  <c r="H32" i="18" a="1"/>
  <c r="H32" i="18" s="1"/>
  <c r="H37" i="18" a="1"/>
  <c r="H37" i="18" s="1"/>
  <c r="L21" i="19" a="1"/>
  <c r="L21" i="19" s="1"/>
  <c r="H14" i="19" a="1"/>
  <c r="H14" i="19" s="1"/>
  <c r="I32" i="19" a="1"/>
  <c r="I32" i="19" s="1"/>
  <c r="I33" i="19" a="1"/>
  <c r="I33" i="19" s="1"/>
  <c r="K12" i="18" a="1"/>
  <c r="K12" i="18" s="1"/>
  <c r="H31" i="18" a="1"/>
  <c r="H31" i="18" s="1"/>
  <c r="H30" i="19" a="1"/>
  <c r="H30" i="19" s="1"/>
  <c r="H14" i="18" a="1"/>
  <c r="H14" i="18" s="1"/>
  <c r="H43" i="18" a="1"/>
  <c r="H43" i="18" s="1"/>
  <c r="H31" i="19" a="1"/>
  <c r="H31" i="19" s="1"/>
  <c r="H27" i="18" a="1"/>
  <c r="H27" i="18" s="1"/>
  <c r="L15" i="19" a="1"/>
  <c r="L15" i="19" s="1"/>
  <c r="H28" i="18" a="1"/>
  <c r="H28" i="18" s="1"/>
  <c r="I37" i="19" a="1"/>
  <c r="I37" i="19" s="1"/>
  <c r="I26" i="19" a="1"/>
  <c r="I26" i="19" s="1"/>
  <c r="I31" i="19" a="1"/>
  <c r="I31" i="19" s="1"/>
  <c r="L13" i="19" a="1"/>
  <c r="L13" i="19" s="1"/>
  <c r="I36" i="19" a="1"/>
  <c r="I36" i="19" s="1"/>
  <c r="I34" i="19" a="1"/>
  <c r="I34" i="19" s="1"/>
  <c r="K19" i="18" a="1"/>
  <c r="K19" i="18" s="1"/>
  <c r="K20" i="18" s="1"/>
  <c r="K21" i="18" a="1"/>
  <c r="K21" i="18" s="1"/>
  <c r="H35" i="18" a="1"/>
  <c r="H35" i="18" s="1"/>
  <c r="L17" i="19" a="1"/>
  <c r="L17" i="19" s="1"/>
  <c r="L18" i="19" s="1"/>
  <c r="I13" i="19" a="1"/>
  <c r="I13" i="19" s="1"/>
  <c r="H43" i="19" a="1"/>
  <c r="H43" i="19" s="1"/>
  <c r="H32" i="19" a="1"/>
  <c r="H32" i="19" s="1"/>
  <c r="H29" i="18" a="1"/>
  <c r="H29" i="18" s="1"/>
  <c r="I31" i="18" a="1"/>
  <c r="I31" i="18" s="1"/>
  <c r="L14" i="19" a="1"/>
  <c r="L14" i="19" s="1"/>
  <c r="I12" i="19" a="1"/>
  <c r="I12" i="19" s="1"/>
  <c r="H33" i="19" a="1"/>
  <c r="H33" i="19" s="1"/>
  <c r="I35" i="19" a="1"/>
  <c r="I35" i="19" s="1"/>
  <c r="J31" i="19" a="1"/>
  <c r="J31" i="19" s="1"/>
  <c r="K17" i="18" a="1"/>
  <c r="K17" i="18" s="1"/>
  <c r="I30" i="19" a="1"/>
  <c r="I30" i="19" s="1"/>
  <c r="H34" i="18" a="1"/>
  <c r="H34" i="18" s="1"/>
  <c r="H36" i="18" a="1"/>
  <c r="H36" i="18" s="1"/>
  <c r="L19" i="19" a="1"/>
  <c r="L19" i="19" s="1"/>
  <c r="L20" i="19" s="1"/>
  <c r="I14" i="19" a="1"/>
  <c r="I14" i="19" s="1"/>
  <c r="H12" i="19" a="1"/>
  <c r="H12" i="19" s="1"/>
  <c r="H35" i="19" a="1"/>
  <c r="H35" i="19" s="1"/>
  <c r="I43" i="19" a="1"/>
  <c r="I43" i="19" s="1"/>
  <c r="I28" i="19" a="1"/>
  <c r="I28" i="19" s="1"/>
  <c r="K15" i="18" a="1"/>
  <c r="K15" i="18" s="1"/>
  <c r="K13" i="18" a="1"/>
  <c r="K13" i="18" s="1"/>
  <c r="H27" i="19" a="1"/>
  <c r="H27" i="19" s="1"/>
  <c r="L32" i="19" a="1"/>
  <c r="L32" i="19" s="1"/>
  <c r="L26" i="19" a="1"/>
  <c r="L26" i="19" s="1"/>
  <c r="K33" i="18" a="1"/>
  <c r="K33" i="18" s="1"/>
  <c r="K28" i="18" a="1"/>
  <c r="K28" i="18" s="1"/>
  <c r="L33" i="19" a="1"/>
  <c r="L33" i="19" s="1"/>
  <c r="K44" i="18" a="1"/>
  <c r="K44" i="18" s="1"/>
  <c r="K32" i="18" a="1"/>
  <c r="K32" i="18" s="1"/>
  <c r="K27" i="18" a="1"/>
  <c r="K27" i="18" s="1"/>
  <c r="L36" i="19" a="1"/>
  <c r="L36" i="19" s="1"/>
  <c r="K43" i="18" a="1"/>
  <c r="K43" i="18" s="1"/>
  <c r="K34" i="18" a="1"/>
  <c r="K34" i="18" s="1"/>
  <c r="K29" i="18" a="1"/>
  <c r="K29" i="18" s="1"/>
  <c r="L30" i="19" a="1"/>
  <c r="L30" i="19" s="1"/>
  <c r="K42" i="18" a="1"/>
  <c r="K42" i="18" s="1"/>
  <c r="K37" i="18" a="1"/>
  <c r="K37" i="18" s="1"/>
  <c r="K26" i="18" a="1"/>
  <c r="K26" i="18" s="1"/>
  <c r="K35" i="18" a="1"/>
  <c r="K35" i="18" s="1"/>
  <c r="L27" i="19" a="1"/>
  <c r="L27" i="19" s="1"/>
  <c r="L42" i="19" a="1"/>
  <c r="L42" i="19" s="1"/>
  <c r="L34" i="19" a="1"/>
  <c r="L34" i="19" s="1"/>
  <c r="L28" i="19" a="1"/>
  <c r="L28" i="19" s="1"/>
  <c r="V57" i="3" a="1"/>
  <c r="V57" i="3" s="1"/>
  <c r="V59" i="3" s="1"/>
  <c r="V70" i="3" s="1"/>
  <c r="L43" i="19" a="1"/>
  <c r="L43" i="19" s="1"/>
  <c r="K36" i="18" a="1"/>
  <c r="K36" i="18" s="1"/>
  <c r="J57" i="3" a="1"/>
  <c r="J57" i="3" s="1"/>
  <c r="J59" i="3" s="1"/>
  <c r="J70" i="3" s="1"/>
  <c r="K30" i="18" a="1"/>
  <c r="K30" i="18" s="1"/>
  <c r="L37" i="19" a="1"/>
  <c r="L37" i="19" s="1"/>
  <c r="L29" i="19" a="1"/>
  <c r="L29" i="19" s="1"/>
  <c r="L44" i="19" a="1"/>
  <c r="L44" i="19" s="1"/>
  <c r="K31" i="18" a="1"/>
  <c r="K31" i="18" s="1"/>
  <c r="L35" i="19" a="1"/>
  <c r="L35" i="19" s="1"/>
  <c r="L31" i="19" a="1"/>
  <c r="L31" i="19" s="1"/>
  <c r="I57" i="3" a="1"/>
  <c r="I57" i="3" s="1"/>
  <c r="I59" i="3" s="1"/>
  <c r="I70" i="3" s="1"/>
  <c r="U57" i="3" a="1"/>
  <c r="U57" i="3" s="1"/>
  <c r="U59" i="3" s="1"/>
  <c r="U70" i="3" s="1"/>
  <c r="D70" i="16"/>
  <c r="D51" i="16" a="1"/>
  <c r="D51" i="16" s="1"/>
  <c r="AD173" i="9"/>
  <c r="AF225" i="7"/>
  <c r="AF226" i="7" s="1"/>
  <c r="AG226" i="7" s="1"/>
  <c r="AG227" i="7"/>
  <c r="AG225" i="7" s="1"/>
  <c r="AE249" i="8"/>
  <c r="AC219" i="8"/>
  <c r="AB129" i="8"/>
  <c r="Q43" i="3" s="1"/>
  <c r="AB220" i="8"/>
  <c r="AB221" i="8" s="1"/>
  <c r="AB228" i="8" s="1"/>
  <c r="AB79" i="8" s="1"/>
  <c r="N31" i="14"/>
  <c r="Y182" i="8"/>
  <c r="W8" i="3"/>
  <c r="Y202" i="8"/>
  <c r="M42" i="14" l="1"/>
  <c r="Y110" i="8"/>
  <c r="N42" i="14" s="1"/>
  <c r="M13" i="18"/>
  <c r="L13" i="18"/>
  <c r="N13" i="18"/>
  <c r="N27" i="19"/>
  <c r="M27" i="19"/>
  <c r="N43" i="19"/>
  <c r="M43" i="19"/>
  <c r="P34" i="19"/>
  <c r="O34" i="19"/>
  <c r="P26" i="19"/>
  <c r="O26" i="19"/>
  <c r="N31" i="19"/>
  <c r="M31" i="19"/>
  <c r="M37" i="19"/>
  <c r="N37" i="19"/>
  <c r="M26" i="18"/>
  <c r="L26" i="18"/>
  <c r="N26" i="18"/>
  <c r="AG215" i="7"/>
  <c r="AG213" i="7" s="1"/>
  <c r="AF213" i="7"/>
  <c r="D9" i="16"/>
  <c r="T79" i="3"/>
  <c r="I48" i="15"/>
  <c r="I45" i="15"/>
  <c r="AC158" i="9"/>
  <c r="Y168" i="8"/>
  <c r="Y187" i="8" s="1"/>
  <c r="Y140" i="10" s="1"/>
  <c r="X135" i="8"/>
  <c r="AE157" i="9"/>
  <c r="O51" i="16" a="1"/>
  <c r="O51" i="16" s="1"/>
  <c r="AB158" i="9"/>
  <c r="P28" i="14"/>
  <c r="Q29" i="14"/>
  <c r="AC178" i="9"/>
  <c r="AC198" i="9"/>
  <c r="AC39" i="9"/>
  <c r="AF8" i="9"/>
  <c r="AF33" i="7"/>
  <c r="P11" i="3"/>
  <c r="P12" i="19"/>
  <c r="O12" i="19"/>
  <c r="L36" i="18"/>
  <c r="N36" i="18"/>
  <c r="M36" i="18"/>
  <c r="P37" i="19"/>
  <c r="O37" i="19"/>
  <c r="M43" i="18"/>
  <c r="L43" i="18"/>
  <c r="N43" i="18"/>
  <c r="M14" i="19"/>
  <c r="P14" i="19"/>
  <c r="O14" i="19"/>
  <c r="N14" i="19"/>
  <c r="N36" i="19"/>
  <c r="M36" i="19"/>
  <c r="O29" i="19"/>
  <c r="P29" i="19"/>
  <c r="AE141" i="8"/>
  <c r="Y55" i="3" s="1"/>
  <c r="AF223" i="8"/>
  <c r="AE225" i="8"/>
  <c r="AE226" i="8" s="1"/>
  <c r="AA73" i="3"/>
  <c r="AA32" i="3"/>
  <c r="R26" i="4"/>
  <c r="K19" i="4"/>
  <c r="K43" i="4" s="1"/>
  <c r="AA41" i="9"/>
  <c r="AA45" i="9"/>
  <c r="AA48" i="9"/>
  <c r="AA44" i="9"/>
  <c r="AA46" i="9"/>
  <c r="L29" i="3"/>
  <c r="L28" i="3"/>
  <c r="L77" i="3" s="1"/>
  <c r="L88" i="3"/>
  <c r="L89" i="3"/>
  <c r="L92" i="3"/>
  <c r="N40" i="14"/>
  <c r="Y200" i="8"/>
  <c r="Y92" i="10" s="1"/>
  <c r="W86" i="3"/>
  <c r="G61" i="4" s="1"/>
  <c r="X136" i="8"/>
  <c r="Y169" i="8"/>
  <c r="Y188" i="8" s="1"/>
  <c r="Y145" i="10" s="1"/>
  <c r="H32" i="14"/>
  <c r="O146" i="9"/>
  <c r="O188" i="9"/>
  <c r="U27" i="3"/>
  <c r="G84" i="14"/>
  <c r="K23" i="13"/>
  <c r="Q20" i="13"/>
  <c r="D14" i="6" s="1"/>
  <c r="I31" i="16" a="1"/>
  <c r="I31" i="16" s="1"/>
  <c r="Z163" i="7"/>
  <c r="Z51" i="7"/>
  <c r="Z89" i="7"/>
  <c r="AD13" i="9"/>
  <c r="P208" i="9"/>
  <c r="P188" i="9"/>
  <c r="P146" i="9"/>
  <c r="T61" i="8"/>
  <c r="G27" i="3"/>
  <c r="Q208" i="9"/>
  <c r="AG8" i="9"/>
  <c r="AG33" i="7"/>
  <c r="AJ32" i="7"/>
  <c r="Z167" i="8"/>
  <c r="Z168" i="8"/>
  <c r="Z135" i="8" s="1"/>
  <c r="O49" i="3" s="1"/>
  <c r="Z169" i="8"/>
  <c r="Z136" i="8" s="1"/>
  <c r="O50" i="3" s="1"/>
  <c r="Z163" i="8"/>
  <c r="Z122" i="8" s="1"/>
  <c r="O36" i="3" s="1"/>
  <c r="K91" i="16" a="1"/>
  <c r="K91" i="16" s="1"/>
  <c r="BK15" i="15"/>
  <c r="AK15" i="15"/>
  <c r="F146" i="9"/>
  <c r="J61" i="8"/>
  <c r="AB29" i="8"/>
  <c r="AB162" i="8"/>
  <c r="AB41" i="8"/>
  <c r="AB32" i="8"/>
  <c r="Q8" i="3"/>
  <c r="AB30" i="8"/>
  <c r="AB35" i="8"/>
  <c r="AB193" i="8"/>
  <c r="AB33" i="8"/>
  <c r="AB164" i="8"/>
  <c r="AB123" i="8" s="1"/>
  <c r="Q37" i="3" s="1"/>
  <c r="AB293" i="8"/>
  <c r="AB246" i="8"/>
  <c r="AB77" i="8" s="1"/>
  <c r="AG97" i="7"/>
  <c r="AG91" i="7" s="1"/>
  <c r="AF91" i="7"/>
  <c r="K16" i="18"/>
  <c r="M34" i="18"/>
  <c r="L34" i="18"/>
  <c r="N34" i="18"/>
  <c r="H13" i="19" a="1"/>
  <c r="H13" i="19" s="1"/>
  <c r="M14" i="18"/>
  <c r="N14" i="18"/>
  <c r="L14" i="18"/>
  <c r="N34" i="19"/>
  <c r="M34" i="19"/>
  <c r="N29" i="19"/>
  <c r="M29" i="19"/>
  <c r="AG163" i="7"/>
  <c r="AG89" i="7"/>
  <c r="AG51" i="7"/>
  <c r="O108" i="17"/>
  <c r="C124" i="17"/>
  <c r="U172" i="7"/>
  <c r="Y172" i="7" s="1"/>
  <c r="Y167" i="7"/>
  <c r="Y166" i="7" s="1"/>
  <c r="AD166" i="7" s="1"/>
  <c r="AE166" i="7" s="1"/>
  <c r="U168" i="7"/>
  <c r="V168" i="7"/>
  <c r="I42" i="15"/>
  <c r="Y196" i="8"/>
  <c r="X126" i="8"/>
  <c r="P180" i="7"/>
  <c r="T179" i="7"/>
  <c r="P184" i="7"/>
  <c r="Q180" i="7"/>
  <c r="AB206" i="8"/>
  <c r="AA127" i="8"/>
  <c r="P41" i="3" s="1"/>
  <c r="J91" i="16" a="1"/>
  <c r="J91" i="16" s="1"/>
  <c r="N39" i="14"/>
  <c r="Y249" i="8"/>
  <c r="M39" i="4"/>
  <c r="F40" i="4"/>
  <c r="AG307" i="8"/>
  <c r="AG310" i="8" s="1"/>
  <c r="AF318" i="8"/>
  <c r="AF320" i="8" s="1"/>
  <c r="AF140" i="8"/>
  <c r="Z54" i="3" s="1"/>
  <c r="M51" i="16" a="1"/>
  <c r="M51" i="16" s="1"/>
  <c r="Q50" i="16"/>
  <c r="Y79" i="9"/>
  <c r="Y80" i="9"/>
  <c r="Y78" i="9"/>
  <c r="Y83" i="9"/>
  <c r="Y82" i="9"/>
  <c r="O73" i="3"/>
  <c r="O32" i="3"/>
  <c r="AB160" i="9"/>
  <c r="AD39" i="9"/>
  <c r="AG83" i="7"/>
  <c r="AG47" i="7" s="1"/>
  <c r="AF47" i="7"/>
  <c r="Z77" i="8"/>
  <c r="K16" i="15"/>
  <c r="J17" i="15"/>
  <c r="AA121" i="8"/>
  <c r="P35" i="3" s="1"/>
  <c r="AD37" i="9"/>
  <c r="AD219" i="8"/>
  <c r="AC129" i="8"/>
  <c r="AC220" i="8"/>
  <c r="AC221" i="8" s="1"/>
  <c r="AC228" i="8" s="1"/>
  <c r="AC79" i="8" s="1"/>
  <c r="AD79" i="8" s="1"/>
  <c r="O43" i="14" s="1"/>
  <c r="P28" i="19"/>
  <c r="O28" i="19"/>
  <c r="P30" i="19"/>
  <c r="O30" i="19"/>
  <c r="P36" i="19"/>
  <c r="O36" i="19"/>
  <c r="N30" i="19"/>
  <c r="M30" i="19"/>
  <c r="M37" i="18"/>
  <c r="L37" i="18"/>
  <c r="N37" i="18"/>
  <c r="N33" i="18"/>
  <c r="M33" i="18"/>
  <c r="L33" i="18"/>
  <c r="N12" i="18"/>
  <c r="M12" i="18"/>
  <c r="L12" i="18"/>
  <c r="N28" i="19"/>
  <c r="M28" i="19"/>
  <c r="AG5" i="9"/>
  <c r="AG275" i="8"/>
  <c r="AG190" i="8"/>
  <c r="AG216" i="8"/>
  <c r="AG286" i="8"/>
  <c r="AG234" i="8"/>
  <c r="AG160" i="8"/>
  <c r="AG73" i="8"/>
  <c r="AG204" i="8"/>
  <c r="AG118" i="8"/>
  <c r="AG175" i="9"/>
  <c r="AG195" i="9"/>
  <c r="AG36" i="9"/>
  <c r="X147" i="8"/>
  <c r="Y247" i="8"/>
  <c r="J32" i="14"/>
  <c r="U208" i="9"/>
  <c r="U146" i="9"/>
  <c r="U188" i="9"/>
  <c r="K27" i="3"/>
  <c r="P31" i="16" a="1"/>
  <c r="P31" i="16" s="1"/>
  <c r="X63" i="3"/>
  <c r="AE149" i="8"/>
  <c r="I70" i="16"/>
  <c r="I51" i="16" a="1"/>
  <c r="I51" i="16" s="1"/>
  <c r="I52" i="16" s="1"/>
  <c r="Z5" i="9"/>
  <c r="Z216" i="8"/>
  <c r="Z275" i="8"/>
  <c r="Z204" i="8"/>
  <c r="Z160" i="8"/>
  <c r="Z286" i="8"/>
  <c r="Z234" i="8"/>
  <c r="Z73" i="8"/>
  <c r="Z190" i="8"/>
  <c r="Z118" i="8"/>
  <c r="AE13" i="9"/>
  <c r="AE48" i="7"/>
  <c r="AF203" i="7"/>
  <c r="AE201" i="7"/>
  <c r="AE202" i="7" s="1"/>
  <c r="F9" i="16"/>
  <c r="F33" i="4"/>
  <c r="V79" i="3"/>
  <c r="AA169" i="8"/>
  <c r="AA136" i="8" s="1"/>
  <c r="P50" i="3" s="1"/>
  <c r="AA163" i="8"/>
  <c r="AA122" i="8" s="1"/>
  <c r="P36" i="3" s="1"/>
  <c r="AA168" i="8"/>
  <c r="AA135" i="8" s="1"/>
  <c r="P49" i="3" s="1"/>
  <c r="AA167" i="8"/>
  <c r="H90" i="16"/>
  <c r="D71" i="16" a="1"/>
  <c r="D71" i="16" s="1"/>
  <c r="P43" i="19"/>
  <c r="O43" i="19"/>
  <c r="K18" i="18"/>
  <c r="N31" i="18"/>
  <c r="L31" i="18"/>
  <c r="M31" i="18"/>
  <c r="L32" i="18"/>
  <c r="N32" i="18"/>
  <c r="M32" i="18"/>
  <c r="N30" i="18"/>
  <c r="L30" i="18"/>
  <c r="M30" i="18"/>
  <c r="K18" i="19"/>
  <c r="J16" i="18"/>
  <c r="AE11" i="9"/>
  <c r="AE43" i="7"/>
  <c r="AE42" i="7"/>
  <c r="AG284" i="8"/>
  <c r="AG266" i="8"/>
  <c r="AG264" i="8" s="1"/>
  <c r="AG265" i="8" s="1"/>
  <c r="L31" i="16" a="1"/>
  <c r="L31" i="16" s="1"/>
  <c r="AF179" i="7"/>
  <c r="AE177" i="7"/>
  <c r="X85" i="8"/>
  <c r="Y85" i="8" s="1"/>
  <c r="Y82" i="8"/>
  <c r="AD155" i="9"/>
  <c r="AG167" i="7"/>
  <c r="AG165" i="7" s="1"/>
  <c r="AF165" i="7"/>
  <c r="AE30" i="7"/>
  <c r="AE49" i="7" s="1"/>
  <c r="P70" i="16"/>
  <c r="P51" i="16" a="1"/>
  <c r="P51" i="16" s="1"/>
  <c r="P52" i="16" s="1"/>
  <c r="M88" i="3"/>
  <c r="M29" i="3"/>
  <c r="M28" i="3"/>
  <c r="M77" i="3" s="1"/>
  <c r="M89" i="3"/>
  <c r="M92" i="3"/>
  <c r="P73" i="3"/>
  <c r="P32" i="3"/>
  <c r="O9" i="3"/>
  <c r="Z111" i="8"/>
  <c r="Z82" i="8"/>
  <c r="O86" i="3"/>
  <c r="Y121" i="8"/>
  <c r="W35" i="3" s="1"/>
  <c r="N35" i="3"/>
  <c r="N35" i="19"/>
  <c r="M35" i="19"/>
  <c r="N35" i="18"/>
  <c r="L35" i="18"/>
  <c r="M35" i="18"/>
  <c r="N28" i="18"/>
  <c r="M28" i="18"/>
  <c r="L28" i="18"/>
  <c r="P27" i="19"/>
  <c r="O27" i="19"/>
  <c r="N26" i="19"/>
  <c r="M26" i="19"/>
  <c r="F51" i="7"/>
  <c r="F163" i="7"/>
  <c r="F89" i="7"/>
  <c r="F31" i="16" a="1"/>
  <c r="F31" i="16" s="1"/>
  <c r="F32" i="16" s="1"/>
  <c r="G31" i="16" a="1"/>
  <c r="G31" i="16" s="1"/>
  <c r="F51" i="16" a="1"/>
  <c r="F51" i="16" s="1"/>
  <c r="N31" i="16" a="1"/>
  <c r="N31" i="16" s="1"/>
  <c r="E31" i="16" a="1"/>
  <c r="E31" i="16" s="1"/>
  <c r="G51" i="16" a="1"/>
  <c r="G51" i="16" s="1"/>
  <c r="G52" i="16" s="1"/>
  <c r="D31" i="16" a="1"/>
  <c r="D31" i="16" s="1"/>
  <c r="N51" i="16" a="1"/>
  <c r="N51" i="16" s="1"/>
  <c r="N52" i="16" s="1"/>
  <c r="E51" i="16" a="1"/>
  <c r="E51" i="16" s="1"/>
  <c r="E52" i="16" s="1"/>
  <c r="O31" i="16" a="1"/>
  <c r="O31" i="16" s="1"/>
  <c r="O32" i="16" s="1"/>
  <c r="M31" i="16" a="1"/>
  <c r="M31" i="16" s="1"/>
  <c r="M32" i="16" s="1"/>
  <c r="H31" i="16" a="1"/>
  <c r="H31" i="16" s="1"/>
  <c r="AG128" i="8"/>
  <c r="AA42" i="3" s="1"/>
  <c r="AG71" i="7"/>
  <c r="AG41" i="7" s="1"/>
  <c r="AG30" i="7" s="1"/>
  <c r="AF41" i="7"/>
  <c r="AF284" i="8"/>
  <c r="AF266" i="8"/>
  <c r="AF264" i="8" s="1"/>
  <c r="AF265" i="8" s="1"/>
  <c r="L70" i="16"/>
  <c r="L71" i="16" s="1" a="1"/>
  <c r="L71" i="16" s="1"/>
  <c r="M72" i="16" s="1"/>
  <c r="L51" i="16" a="1"/>
  <c r="L51" i="16" s="1"/>
  <c r="E72" i="16"/>
  <c r="AD259" i="8"/>
  <c r="AD261" i="8" s="1"/>
  <c r="AE259" i="8" s="1"/>
  <c r="AE261" i="8" s="1"/>
  <c r="Z259" i="8"/>
  <c r="Z261" i="8" s="1"/>
  <c r="AA5" i="9"/>
  <c r="AA216" i="8"/>
  <c r="AA286" i="8"/>
  <c r="AA204" i="8"/>
  <c r="AA160" i="8"/>
  <c r="AA73" i="8"/>
  <c r="AA275" i="8"/>
  <c r="AA118" i="8"/>
  <c r="AA234" i="8"/>
  <c r="AA190" i="8"/>
  <c r="Q90" i="16"/>
  <c r="L90" i="16"/>
  <c r="L91" i="16" s="1" a="1"/>
  <c r="L91" i="16" s="1"/>
  <c r="L92" i="16" s="1"/>
  <c r="Z165" i="8"/>
  <c r="Z121" i="8"/>
  <c r="O35" i="3" s="1"/>
  <c r="Z176" i="8"/>
  <c r="X165" i="8"/>
  <c r="AA82" i="8"/>
  <c r="AA85" i="8" s="1"/>
  <c r="AA111" i="8"/>
  <c r="P86" i="3"/>
  <c r="G21" i="4"/>
  <c r="W9" i="3"/>
  <c r="G22" i="4" s="1"/>
  <c r="AF249" i="8"/>
  <c r="N12" i="19"/>
  <c r="M12" i="19"/>
  <c r="O35" i="19"/>
  <c r="P35" i="19"/>
  <c r="L29" i="18"/>
  <c r="M29" i="18"/>
  <c r="N29" i="18"/>
  <c r="L16" i="19"/>
  <c r="P33" i="19"/>
  <c r="O33" i="19"/>
  <c r="K16" i="19"/>
  <c r="AD176" i="9"/>
  <c r="G163" i="7"/>
  <c r="G89" i="7"/>
  <c r="G51" i="7"/>
  <c r="X134" i="8"/>
  <c r="Y167" i="8"/>
  <c r="Y170" i="8" s="1"/>
  <c r="X170" i="8"/>
  <c r="I91" i="16" a="1"/>
  <c r="I91" i="16" s="1"/>
  <c r="AG109" i="7"/>
  <c r="AG103" i="7" s="1"/>
  <c r="AF103" i="7"/>
  <c r="AB33" i="9"/>
  <c r="AB47" i="9" s="1"/>
  <c r="AA51" i="7"/>
  <c r="AA89" i="7"/>
  <c r="AA163" i="7"/>
  <c r="Y113" i="10"/>
  <c r="W98" i="3"/>
  <c r="N33" i="19"/>
  <c r="M33" i="19"/>
  <c r="N32" i="19"/>
  <c r="M32" i="19"/>
  <c r="P31" i="19"/>
  <c r="O31" i="19"/>
  <c r="L27" i="18"/>
  <c r="N27" i="18"/>
  <c r="M27" i="18"/>
  <c r="P32" i="19"/>
  <c r="O32" i="19"/>
  <c r="X36" i="8"/>
  <c r="N11" i="3"/>
  <c r="Y30" i="8"/>
  <c r="G234" i="8"/>
  <c r="G160" i="8"/>
  <c r="G5" i="9"/>
  <c r="G204" i="8"/>
  <c r="G275" i="8"/>
  <c r="G190" i="8"/>
  <c r="G286" i="8"/>
  <c r="G118" i="8"/>
  <c r="G73" i="8"/>
  <c r="G216" i="8"/>
  <c r="V24" i="3"/>
  <c r="F37" i="4" s="1"/>
  <c r="F36" i="4"/>
  <c r="AC23" i="3"/>
  <c r="M36" i="4" s="1"/>
  <c r="AF175" i="9"/>
  <c r="AF195" i="9"/>
  <c r="AF36" i="9"/>
  <c r="I39" i="15"/>
  <c r="Y163" i="8"/>
  <c r="Y183" i="8" s="1"/>
  <c r="X122" i="8"/>
  <c r="AE173" i="9"/>
  <c r="AE34" i="9"/>
  <c r="AE16" i="9"/>
  <c r="AE7" i="9"/>
  <c r="AE193" i="9"/>
  <c r="AE214" i="7"/>
  <c r="AF214" i="7" s="1"/>
  <c r="AG214" i="7" s="1"/>
  <c r="AC33" i="9"/>
  <c r="AF191" i="7"/>
  <c r="AE189" i="7"/>
  <c r="AE190" i="7" s="1"/>
  <c r="Z30" i="8"/>
  <c r="U24" i="3"/>
  <c r="E37" i="4" s="1"/>
  <c r="Y123" i="8"/>
  <c r="W37" i="3" s="1"/>
  <c r="N37" i="3"/>
  <c r="P9" i="3"/>
  <c r="AC7" i="9"/>
  <c r="Y118" i="10" l="1"/>
  <c r="W99" i="3"/>
  <c r="G69" i="4" s="1"/>
  <c r="AJ30" i="7"/>
  <c r="AG37" i="7"/>
  <c r="AG46" i="7"/>
  <c r="AG40" i="7"/>
  <c r="AG34" i="7"/>
  <c r="AF157" i="9"/>
  <c r="N13" i="3"/>
  <c r="N12" i="3"/>
  <c r="N76" i="3" s="1"/>
  <c r="AC192" i="9"/>
  <c r="AC172" i="9"/>
  <c r="AC28" i="8"/>
  <c r="AC20" i="9"/>
  <c r="AC17" i="9"/>
  <c r="AC18" i="9"/>
  <c r="AC16" i="9"/>
  <c r="AC19" i="9"/>
  <c r="AD7" i="9"/>
  <c r="AF189" i="7"/>
  <c r="AF190" i="7" s="1"/>
  <c r="AG190" i="7" s="1"/>
  <c r="AG191" i="7"/>
  <c r="AG189" i="7" s="1"/>
  <c r="AC41" i="9"/>
  <c r="AC45" i="9"/>
  <c r="AC48" i="9"/>
  <c r="AC46" i="9"/>
  <c r="AC44" i="9"/>
  <c r="X137" i="8"/>
  <c r="Y134" i="8"/>
  <c r="W48" i="3" s="1"/>
  <c r="N48" i="3"/>
  <c r="E32" i="16"/>
  <c r="Y176" i="8"/>
  <c r="Y178" i="8" s="1"/>
  <c r="Q11" i="3"/>
  <c r="AC47" i="9"/>
  <c r="X172" i="8"/>
  <c r="X174" i="8" s="1"/>
  <c r="X78" i="8" s="1"/>
  <c r="Y78" i="8" s="1"/>
  <c r="H32" i="16"/>
  <c r="N32" i="16"/>
  <c r="Y165" i="8"/>
  <c r="Y172" i="8" s="1"/>
  <c r="Y174" i="8" s="1"/>
  <c r="Z244" i="8"/>
  <c r="Z247" i="8" s="1"/>
  <c r="AD244" i="8"/>
  <c r="AA176" i="8"/>
  <c r="AA178" i="8" s="1"/>
  <c r="AA110" i="8" s="1"/>
  <c r="AF13" i="9"/>
  <c r="AF48" i="7"/>
  <c r="AB208" i="8"/>
  <c r="AB210" i="8"/>
  <c r="Q9" i="3"/>
  <c r="Y136" i="8"/>
  <c r="W50" i="3" s="1"/>
  <c r="N50" i="3"/>
  <c r="AB41" i="9"/>
  <c r="AB45" i="9"/>
  <c r="AB48" i="9"/>
  <c r="AB44" i="9"/>
  <c r="AB46" i="9"/>
  <c r="AG249" i="8"/>
  <c r="Z178" i="8"/>
  <c r="Z110" i="8" s="1"/>
  <c r="F52" i="16"/>
  <c r="AE198" i="9"/>
  <c r="AE178" i="9"/>
  <c r="AE39" i="9"/>
  <c r="AE21" i="9"/>
  <c r="P32" i="16"/>
  <c r="Y147" i="8"/>
  <c r="W61" i="3" s="1"/>
  <c r="N61" i="3"/>
  <c r="AA165" i="8"/>
  <c r="AG13" i="9"/>
  <c r="AG49" i="7"/>
  <c r="AJ47" i="7"/>
  <c r="AG48" i="7"/>
  <c r="AG318" i="8"/>
  <c r="AG320" i="8" s="1"/>
  <c r="AG140" i="8"/>
  <c r="AA54" i="3" s="1"/>
  <c r="I43" i="15"/>
  <c r="K92" i="16"/>
  <c r="R52" i="14"/>
  <c r="O92" i="14"/>
  <c r="P92" i="14" s="1"/>
  <c r="D13" i="6" s="1"/>
  <c r="P52" i="14"/>
  <c r="O52" i="14"/>
  <c r="N52" i="14"/>
  <c r="Q52" i="14"/>
  <c r="AF173" i="9"/>
  <c r="AF34" i="9"/>
  <c r="AF193" i="9"/>
  <c r="AE192" i="9"/>
  <c r="AE172" i="9"/>
  <c r="AE28" i="8"/>
  <c r="AE17" i="9"/>
  <c r="AE20" i="9"/>
  <c r="AE18" i="9"/>
  <c r="G68" i="4"/>
  <c r="AA259" i="8"/>
  <c r="AA261" i="8" s="1"/>
  <c r="Z150" i="8"/>
  <c r="O64" i="3" s="1"/>
  <c r="G32" i="16"/>
  <c r="AE176" i="9"/>
  <c r="AE196" i="9"/>
  <c r="AE19" i="9"/>
  <c r="AE37" i="9"/>
  <c r="G90" i="16"/>
  <c r="F90" i="16" s="1"/>
  <c r="E90" i="16" s="1"/>
  <c r="D90" i="16" s="1"/>
  <c r="N90" i="16"/>
  <c r="H91" i="16" a="1"/>
  <c r="H91" i="16" s="1"/>
  <c r="H92" i="16" s="1"/>
  <c r="K89" i="3"/>
  <c r="K28" i="3"/>
  <c r="K77" i="3" s="1"/>
  <c r="K88" i="3"/>
  <c r="K29" i="3"/>
  <c r="K92" i="3"/>
  <c r="AG157" i="9"/>
  <c r="K17" i="15"/>
  <c r="J18" i="15"/>
  <c r="AD160" i="9"/>
  <c r="AD32" i="10" s="1"/>
  <c r="N13" i="19"/>
  <c r="P13" i="19"/>
  <c r="O13" i="19"/>
  <c r="M13" i="19"/>
  <c r="AD178" i="9"/>
  <c r="AD21" i="9"/>
  <c r="U28" i="3"/>
  <c r="E28" i="4"/>
  <c r="U88" i="3"/>
  <c r="E63" i="4" s="1"/>
  <c r="U89" i="3"/>
  <c r="E64" i="4" s="1"/>
  <c r="U92" i="3"/>
  <c r="E45" i="4" s="1"/>
  <c r="AC160" i="9"/>
  <c r="AC49" i="9"/>
  <c r="O52" i="16"/>
  <c r="I46" i="15"/>
  <c r="AA170" i="8"/>
  <c r="AA134" i="8"/>
  <c r="AK16" i="15"/>
  <c r="BK16" i="15"/>
  <c r="AB49" i="9"/>
  <c r="T184" i="7"/>
  <c r="T180" i="7"/>
  <c r="T178" i="7"/>
  <c r="AB165" i="8"/>
  <c r="AB121" i="8"/>
  <c r="Q35" i="3" s="1"/>
  <c r="AG193" i="9"/>
  <c r="AG173" i="9"/>
  <c r="AG7" i="9"/>
  <c r="AG16" i="9" s="1"/>
  <c r="AG34" i="9"/>
  <c r="P13" i="3"/>
  <c r="P12" i="3"/>
  <c r="P76" i="3" s="1"/>
  <c r="AC21" i="9"/>
  <c r="AF259" i="8"/>
  <c r="AF261" i="8" s="1"/>
  <c r="AE150" i="8"/>
  <c r="Y64" i="3" s="1"/>
  <c r="O11" i="3"/>
  <c r="AE155" i="9"/>
  <c r="AE33" i="9"/>
  <c r="Y66" i="8"/>
  <c r="Y7" i="10" s="1"/>
  <c r="W11" i="3"/>
  <c r="I92" i="16"/>
  <c r="AF11" i="9"/>
  <c r="AF7" i="9" s="1"/>
  <c r="AF42" i="7"/>
  <c r="AE31" i="7"/>
  <c r="AE37" i="7"/>
  <c r="AE46" i="7"/>
  <c r="AE40" i="7"/>
  <c r="AE34" i="7"/>
  <c r="AG179" i="7"/>
  <c r="AG177" i="7" s="1"/>
  <c r="AF177" i="7"/>
  <c r="AD129" i="8"/>
  <c r="X43" i="3" s="1"/>
  <c r="R43" i="3"/>
  <c r="Q31" i="16" a="1"/>
  <c r="Q31" i="16" s="1"/>
  <c r="Q32" i="16" s="1"/>
  <c r="AF166" i="7"/>
  <c r="AG166" i="7" s="1"/>
  <c r="AB167" i="8"/>
  <c r="AB169" i="8"/>
  <c r="AB136" i="8" s="1"/>
  <c r="Q50" i="3" s="1"/>
  <c r="AB168" i="8"/>
  <c r="AB135" i="8" s="1"/>
  <c r="Q49" i="3" s="1"/>
  <c r="AB163" i="8"/>
  <c r="AB122" i="8" s="1"/>
  <c r="Q36" i="3" s="1"/>
  <c r="AD33" i="9"/>
  <c r="AD49" i="9" s="1"/>
  <c r="I52" i="15"/>
  <c r="I49" i="15"/>
  <c r="Z172" i="8"/>
  <c r="Z174" i="8" s="1"/>
  <c r="Z78" i="8" s="1"/>
  <c r="Y184" i="8"/>
  <c r="AG11" i="9"/>
  <c r="AG42" i="7"/>
  <c r="AJ41" i="7"/>
  <c r="AG43" i="7"/>
  <c r="M90" i="16"/>
  <c r="M91" i="16" s="1" a="1"/>
  <c r="M91" i="16" s="1"/>
  <c r="M92" i="16" s="1"/>
  <c r="AD232" i="8"/>
  <c r="AD128" i="10" s="1"/>
  <c r="AE219" i="8"/>
  <c r="AD220" i="8"/>
  <c r="AD221" i="8" s="1"/>
  <c r="AD228" i="8" s="1"/>
  <c r="Q70" i="16"/>
  <c r="Q51" i="16" a="1"/>
  <c r="Q51" i="16" s="1"/>
  <c r="Q52" i="16" s="1"/>
  <c r="X130" i="8"/>
  <c r="Y130" i="8" s="1"/>
  <c r="Y126" i="8"/>
  <c r="W40" i="3" s="1"/>
  <c r="W44" i="3" s="1"/>
  <c r="N40" i="3"/>
  <c r="N44" i="3" s="1"/>
  <c r="AB111" i="8"/>
  <c r="AB82" i="8"/>
  <c r="AB85" i="8" s="1"/>
  <c r="Q86" i="3"/>
  <c r="G32" i="14"/>
  <c r="J146" i="9"/>
  <c r="T27" i="3"/>
  <c r="G88" i="3"/>
  <c r="G28" i="3"/>
  <c r="G77" i="3" s="1"/>
  <c r="G89" i="3"/>
  <c r="G92" i="3"/>
  <c r="Y135" i="8"/>
  <c r="W49" i="3" s="1"/>
  <c r="N49" i="3"/>
  <c r="Y122" i="8"/>
  <c r="W36" i="3" s="1"/>
  <c r="N36" i="3"/>
  <c r="M33" i="14"/>
  <c r="X154" i="9"/>
  <c r="X162" i="9"/>
  <c r="X206" i="9"/>
  <c r="X186" i="9"/>
  <c r="N15" i="3"/>
  <c r="Y36" i="8"/>
  <c r="H17" i="18" a="1"/>
  <c r="H17" i="18" s="1"/>
  <c r="I17" i="19" a="1"/>
  <c r="I17" i="19" s="1"/>
  <c r="I18" i="19" s="1"/>
  <c r="H17" i="19" a="1"/>
  <c r="H17" i="19" s="1"/>
  <c r="Z85" i="8"/>
  <c r="AG203" i="7"/>
  <c r="AG201" i="7" s="1"/>
  <c r="AF201" i="7"/>
  <c r="AF202" i="7" s="1"/>
  <c r="AG202" i="7" s="1"/>
  <c r="Y63" i="3"/>
  <c r="AF149" i="8"/>
  <c r="AD158" i="9"/>
  <c r="AD22" i="10" s="1"/>
  <c r="AD47" i="9"/>
  <c r="J92" i="16"/>
  <c r="AD192" i="8"/>
  <c r="Z192" i="8"/>
  <c r="Y201" i="8"/>
  <c r="Y72" i="10" s="1"/>
  <c r="O124" i="17"/>
  <c r="C140" i="17"/>
  <c r="Z170" i="8"/>
  <c r="Z134" i="8"/>
  <c r="I32" i="14"/>
  <c r="T188" i="9"/>
  <c r="T146" i="9"/>
  <c r="V27" i="3"/>
  <c r="I32" i="16"/>
  <c r="AG223" i="8"/>
  <c r="AF225" i="8"/>
  <c r="AF226" i="8" s="1"/>
  <c r="AF141" i="8"/>
  <c r="Z55" i="3" s="1"/>
  <c r="AF30" i="7"/>
  <c r="Q28" i="14"/>
  <c r="R29" i="14"/>
  <c r="R28" i="14" s="1"/>
  <c r="H52" i="16"/>
  <c r="AF192" i="9" l="1"/>
  <c r="AF172" i="9"/>
  <c r="AF28" i="8"/>
  <c r="AF17" i="9"/>
  <c r="AF20" i="9"/>
  <c r="AF18" i="9"/>
  <c r="AF16" i="9"/>
  <c r="Z194" i="8"/>
  <c r="I56" i="15"/>
  <c r="I53" i="15"/>
  <c r="I47" i="15"/>
  <c r="AE158" i="9"/>
  <c r="AE47" i="9"/>
  <c r="AF178" i="9"/>
  <c r="AF39" i="9"/>
  <c r="AF198" i="9"/>
  <c r="AF21" i="9"/>
  <c r="Y137" i="8"/>
  <c r="AD172" i="9"/>
  <c r="AD20" i="9"/>
  <c r="AD17" i="9"/>
  <c r="AD18" i="9"/>
  <c r="AD16" i="9"/>
  <c r="AD19" i="9"/>
  <c r="AG192" i="9"/>
  <c r="AG172" i="9"/>
  <c r="AG28" i="8"/>
  <c r="AG17" i="9"/>
  <c r="AG20" i="9"/>
  <c r="AG18" i="9"/>
  <c r="Q13" i="3"/>
  <c r="Q12" i="3"/>
  <c r="Q76" i="3" s="1"/>
  <c r="AE41" i="9"/>
  <c r="AE45" i="9"/>
  <c r="AE48" i="9"/>
  <c r="AE46" i="9"/>
  <c r="AF150" i="8"/>
  <c r="Z64" i="3" s="1"/>
  <c r="AG259" i="8"/>
  <c r="AG261" i="8" s="1"/>
  <c r="AG150" i="8" s="1"/>
  <c r="AA64" i="3" s="1"/>
  <c r="AF31" i="7"/>
  <c r="AF37" i="7"/>
  <c r="AF46" i="7"/>
  <c r="AF40" i="7"/>
  <c r="AF34" i="7"/>
  <c r="AE44" i="9"/>
  <c r="AF155" i="9"/>
  <c r="AE160" i="9"/>
  <c r="AE49" i="9"/>
  <c r="Z137" i="8"/>
  <c r="O48" i="3"/>
  <c r="O51" i="3" s="1"/>
  <c r="AD41" i="9"/>
  <c r="AD45" i="9"/>
  <c r="AD48" i="9"/>
  <c r="AD46" i="9"/>
  <c r="AD44" i="9"/>
  <c r="AF43" i="7"/>
  <c r="E8" i="16"/>
  <c r="U77" i="3"/>
  <c r="E29" i="4"/>
  <c r="AG39" i="9"/>
  <c r="AG178" i="9"/>
  <c r="AG21" i="9"/>
  <c r="AG198" i="9"/>
  <c r="Z147" i="8"/>
  <c r="AA244" i="8"/>
  <c r="AA247" i="8" s="1"/>
  <c r="H18" i="19"/>
  <c r="P17" i="19"/>
  <c r="O17" i="19"/>
  <c r="N17" i="19"/>
  <c r="M17" i="19"/>
  <c r="AG196" i="9"/>
  <c r="AG176" i="9"/>
  <c r="AG37" i="9"/>
  <c r="AG19" i="9"/>
  <c r="AB176" i="8"/>
  <c r="AB178" i="8" s="1"/>
  <c r="AB110" i="8" s="1"/>
  <c r="K18" i="15"/>
  <c r="J19" i="15"/>
  <c r="P31" i="14"/>
  <c r="AE162" i="8"/>
  <c r="AE35" i="8"/>
  <c r="AE32" i="8"/>
  <c r="AE41" i="8"/>
  <c r="Y8" i="3"/>
  <c r="AE29" i="8"/>
  <c r="AE33" i="8"/>
  <c r="AE193" i="8"/>
  <c r="AE293" i="8"/>
  <c r="AE164" i="8"/>
  <c r="AE123" i="8" s="1"/>
  <c r="Y37" i="3" s="1"/>
  <c r="AE246" i="8"/>
  <c r="AA172" i="8"/>
  <c r="AA174" i="8" s="1"/>
  <c r="AA78" i="8" s="1"/>
  <c r="AB127" i="8"/>
  <c r="Q41" i="3" s="1"/>
  <c r="AC206" i="8"/>
  <c r="AG31" i="7"/>
  <c r="AG225" i="8"/>
  <c r="AG226" i="8" s="1"/>
  <c r="AG141" i="8"/>
  <c r="AA55" i="3" s="1"/>
  <c r="C156" i="17"/>
  <c r="O156" i="17" s="1"/>
  <c r="O140" i="17"/>
  <c r="Z63" i="3"/>
  <c r="AG149" i="8"/>
  <c r="AA63" i="3" s="1"/>
  <c r="H18" i="18"/>
  <c r="M17" i="18"/>
  <c r="L17" i="18"/>
  <c r="N17" i="18"/>
  <c r="AF219" i="8"/>
  <c r="AE129" i="8"/>
  <c r="Y43" i="3" s="1"/>
  <c r="AE220" i="8"/>
  <c r="AE221" i="8" s="1"/>
  <c r="AE228" i="8" s="1"/>
  <c r="AE79" i="8" s="1"/>
  <c r="P43" i="14" s="1"/>
  <c r="Y135" i="10"/>
  <c r="Y185" i="8"/>
  <c r="W100" i="3"/>
  <c r="AF196" i="9"/>
  <c r="AF37" i="9"/>
  <c r="AF33" i="9" s="1"/>
  <c r="AF19" i="9"/>
  <c r="AF176" i="9"/>
  <c r="O12" i="3"/>
  <c r="O76" i="3" s="1"/>
  <c r="O13" i="3"/>
  <c r="P48" i="3"/>
  <c r="P51" i="3" s="1"/>
  <c r="AA137" i="8"/>
  <c r="AK17" i="15"/>
  <c r="BK17" i="15"/>
  <c r="N33" i="14"/>
  <c r="Y186" i="9"/>
  <c r="Y154" i="9"/>
  <c r="W15" i="3"/>
  <c r="AB259" i="8"/>
  <c r="AB261" i="8" s="1"/>
  <c r="AA150" i="8"/>
  <c r="P64" i="3" s="1"/>
  <c r="N51" i="3"/>
  <c r="AC35" i="8"/>
  <c r="AD35" i="8" s="1"/>
  <c r="AD69" i="8" s="1"/>
  <c r="AD50" i="10" s="1"/>
  <c r="AC29" i="8"/>
  <c r="R8" i="3"/>
  <c r="AC30" i="8"/>
  <c r="AC162" i="8"/>
  <c r="AC193" i="8"/>
  <c r="AC32" i="8"/>
  <c r="AD32" i="8" s="1"/>
  <c r="AD67" i="8" s="1"/>
  <c r="AD40" i="10" s="1"/>
  <c r="AC33" i="8"/>
  <c r="AD33" i="8" s="1"/>
  <c r="AD68" i="8" s="1"/>
  <c r="AD45" i="10" s="1"/>
  <c r="AC41" i="8"/>
  <c r="AD41" i="8" s="1"/>
  <c r="AD70" i="8" s="1"/>
  <c r="AD57" i="10" s="1"/>
  <c r="AC164" i="8"/>
  <c r="AC293" i="8"/>
  <c r="AD28" i="8"/>
  <c r="AC246" i="8"/>
  <c r="V88" i="3"/>
  <c r="F63" i="4" s="1"/>
  <c r="V28" i="3"/>
  <c r="AC27" i="3"/>
  <c r="M28" i="4" s="1"/>
  <c r="V89" i="3"/>
  <c r="F64" i="4" s="1"/>
  <c r="V29" i="3"/>
  <c r="F28" i="4"/>
  <c r="V92" i="3"/>
  <c r="F45" i="4" s="1"/>
  <c r="N17" i="3"/>
  <c r="N16" i="3"/>
  <c r="N78" i="3" s="1"/>
  <c r="T89" i="3"/>
  <c r="D64" i="4" s="1"/>
  <c r="D28" i="4"/>
  <c r="T28" i="3"/>
  <c r="T88" i="3"/>
  <c r="D63" i="4" s="1"/>
  <c r="T92" i="3"/>
  <c r="D45" i="4" s="1"/>
  <c r="I50" i="15"/>
  <c r="AB170" i="8"/>
  <c r="AB172" i="8" s="1"/>
  <c r="AB174" i="8" s="1"/>
  <c r="AB78" i="8" s="1"/>
  <c r="AB134" i="8"/>
  <c r="W12" i="3"/>
  <c r="W13" i="3"/>
  <c r="G26" i="4" s="1"/>
  <c r="G24" i="4"/>
  <c r="AG155" i="9"/>
  <c r="AG33" i="9"/>
  <c r="AG44" i="9" s="1"/>
  <c r="U179" i="7"/>
  <c r="U29" i="3"/>
  <c r="AG246" i="8"/>
  <c r="AF49" i="7"/>
  <c r="W51" i="3"/>
  <c r="AF41" i="9" l="1"/>
  <c r="AF45" i="9"/>
  <c r="AF48" i="9"/>
  <c r="AF46" i="9"/>
  <c r="AF44" i="9"/>
  <c r="G70" i="4"/>
  <c r="W101" i="3"/>
  <c r="G71" i="4" s="1"/>
  <c r="P40" i="14"/>
  <c r="AE111" i="8"/>
  <c r="AE82" i="8"/>
  <c r="AE85" i="8" s="1"/>
  <c r="Y86" i="3"/>
  <c r="I61" i="4" s="1"/>
  <c r="AE176" i="8"/>
  <c r="AE121" i="8"/>
  <c r="Y35" i="3" s="1"/>
  <c r="O61" i="3"/>
  <c r="AB137" i="8"/>
  <c r="Q48" i="3"/>
  <c r="Q51" i="3" s="1"/>
  <c r="M64" i="4"/>
  <c r="F8" i="16"/>
  <c r="F29" i="4"/>
  <c r="V77" i="3"/>
  <c r="L18" i="18"/>
  <c r="N18" i="18"/>
  <c r="M18" i="18"/>
  <c r="AC208" i="8"/>
  <c r="AD208" i="8" s="1"/>
  <c r="AE169" i="8"/>
  <c r="AE136" i="8" s="1"/>
  <c r="Y50" i="3" s="1"/>
  <c r="AE168" i="8"/>
  <c r="AE135" i="8" s="1"/>
  <c r="Y49" i="3" s="1"/>
  <c r="AE163" i="8"/>
  <c r="AE122" i="8" s="1"/>
  <c r="Y36" i="3" s="1"/>
  <c r="AE167" i="8"/>
  <c r="J20" i="15"/>
  <c r="K19" i="15"/>
  <c r="AF160" i="9"/>
  <c r="AF49" i="9"/>
  <c r="Y9" i="3"/>
  <c r="I22" i="4" s="1"/>
  <c r="I21" i="4"/>
  <c r="AK18" i="15"/>
  <c r="BK18" i="15"/>
  <c r="I54" i="15"/>
  <c r="I51" i="15"/>
  <c r="AG49" i="9"/>
  <c r="AG160" i="9"/>
  <c r="R31" i="14"/>
  <c r="AG162" i="8"/>
  <c r="AG193" i="8"/>
  <c r="AG35" i="8"/>
  <c r="AG29" i="8"/>
  <c r="AG30" i="8" s="1"/>
  <c r="AA8" i="3"/>
  <c r="AG41" i="8"/>
  <c r="AG33" i="8"/>
  <c r="AG32" i="8"/>
  <c r="AG293" i="8"/>
  <c r="AG164" i="8"/>
  <c r="AG123" i="8" s="1"/>
  <c r="AA37" i="3" s="1"/>
  <c r="O31" i="14"/>
  <c r="X8" i="3"/>
  <c r="R11" i="3"/>
  <c r="AD30" i="8"/>
  <c r="AG219" i="8"/>
  <c r="AF129" i="8"/>
  <c r="Z43" i="3" s="1"/>
  <c r="AF220" i="8"/>
  <c r="AF221" i="8" s="1"/>
  <c r="AF228" i="8" s="1"/>
  <c r="AF79" i="8" s="1"/>
  <c r="Q43" i="14" s="1"/>
  <c r="P39" i="14"/>
  <c r="AE77" i="8"/>
  <c r="I60" i="15"/>
  <c r="I57" i="15"/>
  <c r="Q31" i="14"/>
  <c r="AF162" i="8"/>
  <c r="AF35" i="8"/>
  <c r="AF41" i="8"/>
  <c r="AF33" i="8"/>
  <c r="Z8" i="3"/>
  <c r="AF29" i="8"/>
  <c r="AF32" i="8"/>
  <c r="AF193" i="8"/>
  <c r="AF293" i="8"/>
  <c r="AF164" i="8"/>
  <c r="AF123" i="8" s="1"/>
  <c r="Z37" i="3" s="1"/>
  <c r="AF246" i="8"/>
  <c r="U184" i="7"/>
  <c r="Y184" i="7" s="1"/>
  <c r="Y179" i="7"/>
  <c r="Y178" i="7" s="1"/>
  <c r="AD178" i="7" s="1"/>
  <c r="AE178" i="7" s="1"/>
  <c r="AF178" i="7" s="1"/>
  <c r="AG178" i="7" s="1"/>
  <c r="U180" i="7"/>
  <c r="V180" i="7"/>
  <c r="AG41" i="9"/>
  <c r="AG45" i="9"/>
  <c r="AG48" i="9"/>
  <c r="AG46" i="9"/>
  <c r="AC77" i="8"/>
  <c r="AD77" i="8" s="1"/>
  <c r="AD246" i="8"/>
  <c r="AC176" i="8"/>
  <c r="AC178" i="8" s="1"/>
  <c r="AC110" i="8" s="1"/>
  <c r="AD110" i="8" s="1"/>
  <c r="O42" i="14" s="1"/>
  <c r="AD162" i="8"/>
  <c r="AC121" i="8"/>
  <c r="R39" i="14"/>
  <c r="AG77" i="8"/>
  <c r="M45" i="4"/>
  <c r="M63" i="4"/>
  <c r="R9" i="3"/>
  <c r="AF158" i="9"/>
  <c r="AF47" i="9"/>
  <c r="AG158" i="9"/>
  <c r="AG47" i="9"/>
  <c r="O18" i="19"/>
  <c r="N18" i="19"/>
  <c r="M18" i="19"/>
  <c r="P18" i="19"/>
  <c r="Z202" i="8"/>
  <c r="Z76" i="8"/>
  <c r="Z109" i="8"/>
  <c r="AC82" i="8"/>
  <c r="AC111" i="8"/>
  <c r="AD111" i="8" s="1"/>
  <c r="R86" i="3"/>
  <c r="AD193" i="8"/>
  <c r="AC259" i="8"/>
  <c r="AC261" i="8" s="1"/>
  <c r="AC150" i="8" s="1"/>
  <c r="AB150" i="8"/>
  <c r="Q64" i="3" s="1"/>
  <c r="W76" i="3"/>
  <c r="G25" i="4"/>
  <c r="D8" i="16"/>
  <c r="T77" i="3"/>
  <c r="AC123" i="8"/>
  <c r="AD164" i="8"/>
  <c r="AD186" i="8" s="1"/>
  <c r="AD123" i="10" s="1"/>
  <c r="AC169" i="8"/>
  <c r="AC168" i="8"/>
  <c r="AC167" i="8"/>
  <c r="AC163" i="8"/>
  <c r="AC165" i="8" s="1"/>
  <c r="AD29" i="8"/>
  <c r="W16" i="3"/>
  <c r="W17" i="3"/>
  <c r="AE30" i="8"/>
  <c r="AB244" i="8"/>
  <c r="AB247" i="8" s="1"/>
  <c r="AA147" i="8"/>
  <c r="Z196" i="8"/>
  <c r="AA11" i="3" l="1"/>
  <c r="Q40" i="14"/>
  <c r="AF111" i="8"/>
  <c r="AF82" i="8"/>
  <c r="AF85" i="8" s="1"/>
  <c r="Z86" i="3"/>
  <c r="J61" i="4" s="1"/>
  <c r="AF121" i="8"/>
  <c r="Z35" i="3" s="1"/>
  <c r="AE165" i="8"/>
  <c r="AD165" i="8"/>
  <c r="AD150" i="8"/>
  <c r="X64" i="3" s="1"/>
  <c r="R64" i="3"/>
  <c r="AF169" i="8"/>
  <c r="AF136" i="8" s="1"/>
  <c r="Z50" i="3" s="1"/>
  <c r="AF168" i="8"/>
  <c r="AF135" i="8" s="1"/>
  <c r="Z49" i="3" s="1"/>
  <c r="AF167" i="8"/>
  <c r="AF163" i="8"/>
  <c r="AF122" i="8" s="1"/>
  <c r="Z36" i="3" s="1"/>
  <c r="I58" i="15"/>
  <c r="AG129" i="8"/>
  <c r="AA43" i="3" s="1"/>
  <c r="AG220" i="8"/>
  <c r="AG221" i="8" s="1"/>
  <c r="AG228" i="8" s="1"/>
  <c r="AG79" i="8" s="1"/>
  <c r="R43" i="14" s="1"/>
  <c r="R40" i="14"/>
  <c r="AG111" i="8"/>
  <c r="AG82" i="8"/>
  <c r="AG85" i="8" s="1"/>
  <c r="AA86" i="3"/>
  <c r="K61" i="4" s="1"/>
  <c r="O39" i="14"/>
  <c r="AD249" i="8"/>
  <c r="AD247" i="8"/>
  <c r="AE244" i="8" s="1"/>
  <c r="AE247" i="8" s="1"/>
  <c r="Z9" i="3"/>
  <c r="J22" i="4" s="1"/>
  <c r="J21" i="4"/>
  <c r="I64" i="15"/>
  <c r="I61" i="15"/>
  <c r="AD66" i="8"/>
  <c r="AD7" i="10" s="1"/>
  <c r="X11" i="3"/>
  <c r="AG121" i="8"/>
  <c r="AA35" i="3" s="1"/>
  <c r="Z126" i="8"/>
  <c r="AA192" i="8"/>
  <c r="AD183" i="8"/>
  <c r="AC85" i="8"/>
  <c r="AD85" i="8" s="1"/>
  <c r="AD82" i="8"/>
  <c r="R12" i="3"/>
  <c r="R76" i="3" s="1"/>
  <c r="R13" i="3"/>
  <c r="I55" i="15"/>
  <c r="AC210" i="8"/>
  <c r="AD214" i="8" s="1"/>
  <c r="AD85" i="10" s="1"/>
  <c r="AK19" i="15"/>
  <c r="BK19" i="15"/>
  <c r="Y11" i="3"/>
  <c r="O40" i="14"/>
  <c r="AD200" i="8"/>
  <c r="AD92" i="10" s="1"/>
  <c r="X86" i="3"/>
  <c r="H61" i="4" s="1"/>
  <c r="O61" i="4" s="1"/>
  <c r="AD123" i="8"/>
  <c r="X37" i="3" s="1"/>
  <c r="R37" i="3"/>
  <c r="Q39" i="14"/>
  <c r="AF77" i="8"/>
  <c r="P61" i="3"/>
  <c r="AD167" i="8"/>
  <c r="AD184" i="8" s="1"/>
  <c r="AC170" i="8"/>
  <c r="AC172" i="8" s="1"/>
  <c r="AC174" i="8" s="1"/>
  <c r="AC78" i="8" s="1"/>
  <c r="AD78" i="8" s="1"/>
  <c r="AC134" i="8"/>
  <c r="Z51" i="9"/>
  <c r="Z34" i="8"/>
  <c r="X9" i="3"/>
  <c r="H22" i="4" s="1"/>
  <c r="H21" i="4"/>
  <c r="K21" i="4"/>
  <c r="AE8" i="3"/>
  <c r="O21" i="4" s="1"/>
  <c r="AA9" i="3"/>
  <c r="K22" i="4" s="1"/>
  <c r="K20" i="15"/>
  <c r="J21" i="15"/>
  <c r="AD169" i="8"/>
  <c r="AD188" i="8" s="1"/>
  <c r="AD145" i="10" s="1"/>
  <c r="AC136" i="8"/>
  <c r="G7" i="16"/>
  <c r="W78" i="3"/>
  <c r="AC122" i="8"/>
  <c r="AD163" i="8"/>
  <c r="AD176" i="8" s="1"/>
  <c r="AB147" i="8"/>
  <c r="AC244" i="8"/>
  <c r="AC247" i="8" s="1"/>
  <c r="AC147" i="8" s="1"/>
  <c r="AC135" i="8"/>
  <c r="AD168" i="8"/>
  <c r="AD187" i="8" s="1"/>
  <c r="AD140" i="10" s="1"/>
  <c r="AD121" i="8"/>
  <c r="X35" i="3" s="1"/>
  <c r="R35" i="3"/>
  <c r="AF30" i="8"/>
  <c r="AD182" i="8"/>
  <c r="AG169" i="8"/>
  <c r="AG136" i="8" s="1"/>
  <c r="AA50" i="3" s="1"/>
  <c r="AG168" i="8"/>
  <c r="AG135" i="8" s="1"/>
  <c r="AA49" i="3" s="1"/>
  <c r="AG163" i="8"/>
  <c r="AG122" i="8" s="1"/>
  <c r="AA36" i="3" s="1"/>
  <c r="AG167" i="8"/>
  <c r="AE170" i="8"/>
  <c r="AE134" i="8"/>
  <c r="AD178" i="8" l="1"/>
  <c r="AE178" i="8"/>
  <c r="AE110" i="8" s="1"/>
  <c r="P42" i="14" s="1"/>
  <c r="AD135" i="10"/>
  <c r="AD185" i="8"/>
  <c r="X100" i="3"/>
  <c r="H70" i="4" s="1"/>
  <c r="O70" i="4" s="1"/>
  <c r="AD135" i="8"/>
  <c r="X49" i="3" s="1"/>
  <c r="R49" i="3"/>
  <c r="AC137" i="8"/>
  <c r="AD134" i="8"/>
  <c r="X48" i="3" s="1"/>
  <c r="R48" i="3"/>
  <c r="AG176" i="8"/>
  <c r="AF170" i="8"/>
  <c r="AF134" i="8"/>
  <c r="AF176" i="8"/>
  <c r="AF178" i="8" s="1"/>
  <c r="AF110" i="8" s="1"/>
  <c r="Q42" i="14" s="1"/>
  <c r="AD147" i="8"/>
  <c r="X61" i="3" s="1"/>
  <c r="R61" i="3"/>
  <c r="I62" i="15"/>
  <c r="AG170" i="8"/>
  <c r="AG134" i="8"/>
  <c r="X13" i="3"/>
  <c r="H26" i="4" s="1"/>
  <c r="H24" i="4"/>
  <c r="X12" i="3"/>
  <c r="AD118" i="10"/>
  <c r="X99" i="3"/>
  <c r="H69" i="4" s="1"/>
  <c r="O69" i="4" s="1"/>
  <c r="AE172" i="8"/>
  <c r="Q61" i="3"/>
  <c r="I65" i="15"/>
  <c r="I68" i="15"/>
  <c r="AD113" i="10"/>
  <c r="X98" i="3"/>
  <c r="BK20" i="15"/>
  <c r="AK20" i="15"/>
  <c r="I24" i="4"/>
  <c r="Y12" i="3"/>
  <c r="Y13" i="3"/>
  <c r="I26" i="4" s="1"/>
  <c r="Z130" i="8"/>
  <c r="O40" i="3"/>
  <c r="O44" i="3" s="1"/>
  <c r="I59" i="15"/>
  <c r="AE11" i="3"/>
  <c r="O24" i="4" s="1"/>
  <c r="K24" i="4"/>
  <c r="AA12" i="3"/>
  <c r="AD210" i="8"/>
  <c r="AE206" i="8" s="1"/>
  <c r="AC127" i="8"/>
  <c r="AF244" i="8"/>
  <c r="AF247" i="8" s="1"/>
  <c r="AE147" i="8"/>
  <c r="K21" i="15"/>
  <c r="J22" i="15"/>
  <c r="AA196" i="8"/>
  <c r="AA194" i="8"/>
  <c r="Z11" i="3"/>
  <c r="Z60" i="8"/>
  <c r="Z36" i="8"/>
  <c r="AD136" i="8"/>
  <c r="X50" i="3" s="1"/>
  <c r="R50" i="3"/>
  <c r="AD170" i="8"/>
  <c r="AD172" i="8" s="1"/>
  <c r="AD174" i="8" s="1"/>
  <c r="AE137" i="8"/>
  <c r="Y48" i="3"/>
  <c r="Y51" i="3" s="1"/>
  <c r="AD122" i="8"/>
  <c r="X36" i="3" s="1"/>
  <c r="R36" i="3"/>
  <c r="Z59" i="9"/>
  <c r="Z52" i="9"/>
  <c r="Z69" i="9"/>
  <c r="Z57" i="9"/>
  <c r="Z56" i="9"/>
  <c r="Z55" i="9"/>
  <c r="Z54" i="9"/>
  <c r="Z53" i="9"/>
  <c r="AG165" i="8"/>
  <c r="AG172" i="8" s="1"/>
  <c r="AG174" i="8" s="1"/>
  <c r="AG78" i="8" s="1"/>
  <c r="AF165" i="8"/>
  <c r="AF172" i="8" s="1"/>
  <c r="AF174" i="8" s="1"/>
  <c r="AF78" i="8" s="1"/>
  <c r="Z73" i="9" l="1"/>
  <c r="J24" i="4"/>
  <c r="Z12" i="3"/>
  <c r="Z13" i="3"/>
  <c r="J26" i="4" s="1"/>
  <c r="AD127" i="8"/>
  <c r="X41" i="3" s="1"/>
  <c r="R41" i="3"/>
  <c r="H68" i="4"/>
  <c r="O68" i="4" s="1"/>
  <c r="X101" i="3"/>
  <c r="H71" i="4" s="1"/>
  <c r="O71" i="4" s="1"/>
  <c r="AE174" i="8"/>
  <c r="AE78" i="8" s="1"/>
  <c r="AD137" i="8"/>
  <c r="Z71" i="9"/>
  <c r="Z72" i="9"/>
  <c r="AG244" i="8"/>
  <c r="AG247" i="8" s="1"/>
  <c r="AG147" i="8" s="1"/>
  <c r="AF147" i="8"/>
  <c r="Z74" i="9"/>
  <c r="AE210" i="8"/>
  <c r="AE208" i="8"/>
  <c r="Z75" i="9"/>
  <c r="AA202" i="8"/>
  <c r="AA109" i="8"/>
  <c r="AA76" i="8"/>
  <c r="K25" i="4"/>
  <c r="AA76" i="3"/>
  <c r="I69" i="15"/>
  <c r="I72" i="15"/>
  <c r="I63" i="15"/>
  <c r="X76" i="3"/>
  <c r="H25" i="4"/>
  <c r="AF137" i="8"/>
  <c r="Z48" i="3"/>
  <c r="Z51" i="3" s="1"/>
  <c r="AB192" i="8"/>
  <c r="AA126" i="8"/>
  <c r="I66" i="15"/>
  <c r="Z70" i="9"/>
  <c r="K22" i="15"/>
  <c r="J23" i="15"/>
  <c r="AA13" i="3"/>
  <c r="K26" i="4" s="1"/>
  <c r="Y76" i="3"/>
  <c r="I25" i="4"/>
  <c r="Z186" i="9"/>
  <c r="Z154" i="9"/>
  <c r="Z206" i="9"/>
  <c r="Z162" i="9"/>
  <c r="O15" i="3"/>
  <c r="AK21" i="15"/>
  <c r="BK21" i="15"/>
  <c r="AG178" i="8"/>
  <c r="AG110" i="8" s="1"/>
  <c r="R42" i="14" s="1"/>
  <c r="Y61" i="3"/>
  <c r="AG137" i="8"/>
  <c r="AA48" i="3"/>
  <c r="AA51" i="3" s="1"/>
  <c r="R51" i="3"/>
  <c r="X51" i="3"/>
  <c r="AA130" i="8" l="1"/>
  <c r="P40" i="3"/>
  <c r="P44" i="3" s="1"/>
  <c r="AA51" i="9"/>
  <c r="AA34" i="8"/>
  <c r="J24" i="15"/>
  <c r="K23" i="15"/>
  <c r="I73" i="15"/>
  <c r="I76" i="15"/>
  <c r="I67" i="15"/>
  <c r="AF206" i="8"/>
  <c r="AE127" i="8"/>
  <c r="Y41" i="3" s="1"/>
  <c r="Z79" i="9"/>
  <c r="O17" i="3"/>
  <c r="O16" i="3"/>
  <c r="O78" i="3" s="1"/>
  <c r="Z82" i="9"/>
  <c r="AB196" i="8"/>
  <c r="AB194" i="8"/>
  <c r="Z78" i="9"/>
  <c r="I70" i="15"/>
  <c r="AA61" i="3"/>
  <c r="J25" i="4"/>
  <c r="Z76" i="3"/>
  <c r="Z83" i="9"/>
  <c r="Z80" i="9"/>
  <c r="Z81" i="9"/>
  <c r="BK22" i="15"/>
  <c r="AK22" i="15"/>
  <c r="Z61" i="3"/>
  <c r="AB202" i="8" l="1"/>
  <c r="AB109" i="8"/>
  <c r="AB76" i="8"/>
  <c r="AC192" i="8"/>
  <c r="AB126" i="8"/>
  <c r="AA60" i="8"/>
  <c r="AA36" i="8"/>
  <c r="I71" i="15"/>
  <c r="AA59" i="9"/>
  <c r="AA55" i="9"/>
  <c r="AA52" i="9"/>
  <c r="AA69" i="9"/>
  <c r="AA57" i="9"/>
  <c r="AA56" i="9"/>
  <c r="AA53" i="9"/>
  <c r="AA54" i="9"/>
  <c r="I77" i="15"/>
  <c r="I80" i="15"/>
  <c r="I74" i="15"/>
  <c r="AF208" i="8"/>
  <c r="AF210" i="8" s="1"/>
  <c r="AK23" i="15"/>
  <c r="BK23" i="15"/>
  <c r="K24" i="15"/>
  <c r="J25" i="15"/>
  <c r="AG206" i="8" l="1"/>
  <c r="AF127" i="8"/>
  <c r="Z41" i="3" s="1"/>
  <c r="AA70" i="9"/>
  <c r="AA73" i="9"/>
  <c r="AA162" i="9"/>
  <c r="AA186" i="9"/>
  <c r="AA154" i="9"/>
  <c r="AA206" i="9"/>
  <c r="P15" i="3"/>
  <c r="I75" i="15"/>
  <c r="I78" i="15"/>
  <c r="AA71" i="9"/>
  <c r="AA74" i="9"/>
  <c r="AB51" i="9"/>
  <c r="AB34" i="8"/>
  <c r="I84" i="15"/>
  <c r="I81" i="15"/>
  <c r="AB130" i="8"/>
  <c r="Q40" i="3"/>
  <c r="Q44" i="3" s="1"/>
  <c r="K25" i="15"/>
  <c r="J26" i="15"/>
  <c r="AA72" i="9"/>
  <c r="AC196" i="8"/>
  <c r="AC126" i="8" s="1"/>
  <c r="AC194" i="8"/>
  <c r="AA75" i="9"/>
  <c r="AK24" i="15"/>
  <c r="BK24" i="15"/>
  <c r="AA79" i="9" l="1"/>
  <c r="E273" i="14"/>
  <c r="M273" i="14" s="1"/>
  <c r="AB55" i="9"/>
  <c r="AB56" i="9"/>
  <c r="AB69" i="9"/>
  <c r="AB52" i="9"/>
  <c r="AB53" i="9"/>
  <c r="AB54" i="9"/>
  <c r="AB57" i="9"/>
  <c r="AA78" i="9"/>
  <c r="E272" i="14"/>
  <c r="M272" i="14" s="1"/>
  <c r="AA80" i="9"/>
  <c r="E274" i="14"/>
  <c r="M274" i="14" s="1"/>
  <c r="P16" i="3"/>
  <c r="P78" i="3" s="1"/>
  <c r="P17" i="3"/>
  <c r="AA81" i="9"/>
  <c r="E275" i="14"/>
  <c r="M275" i="14" s="1"/>
  <c r="AB60" i="8"/>
  <c r="AB36" i="8"/>
  <c r="I79" i="15"/>
  <c r="AD126" i="8"/>
  <c r="X40" i="3" s="1"/>
  <c r="X44" i="3" s="1"/>
  <c r="AC130" i="8"/>
  <c r="AD130" i="8" s="1"/>
  <c r="R40" i="3"/>
  <c r="R44" i="3" s="1"/>
  <c r="I85" i="15"/>
  <c r="K26" i="15"/>
  <c r="J27" i="15"/>
  <c r="BK25" i="15"/>
  <c r="AK25" i="15"/>
  <c r="AA83" i="9"/>
  <c r="E277" i="14"/>
  <c r="M277" i="14" s="1"/>
  <c r="AC202" i="8"/>
  <c r="AC109" i="8"/>
  <c r="AD109" i="8" s="1"/>
  <c r="AC76" i="8"/>
  <c r="AD194" i="8"/>
  <c r="I82" i="15"/>
  <c r="AA82" i="9"/>
  <c r="E276" i="14"/>
  <c r="M276" i="14" s="1"/>
  <c r="AG208" i="8"/>
  <c r="AG210" i="8" s="1"/>
  <c r="AG127" i="8" s="1"/>
  <c r="AA41" i="3" s="1"/>
  <c r="AB71" i="9" l="1"/>
  <c r="AB79" i="9" s="1"/>
  <c r="AB206" i="9"/>
  <c r="AB154" i="9"/>
  <c r="AB162" i="9"/>
  <c r="AB186" i="9"/>
  <c r="Q15" i="3"/>
  <c r="AB70" i="9"/>
  <c r="AB78" i="9" s="1"/>
  <c r="AB74" i="9"/>
  <c r="AB82" i="9" s="1"/>
  <c r="I83" i="15"/>
  <c r="AD202" i="8"/>
  <c r="AD196" i="8"/>
  <c r="AE192" i="8" s="1"/>
  <c r="J28" i="15"/>
  <c r="K27" i="15"/>
  <c r="AB59" i="9"/>
  <c r="R272" i="14"/>
  <c r="R281" i="14" s="1"/>
  <c r="R284" i="14" s="1"/>
  <c r="AC51" i="9"/>
  <c r="AC34" i="8"/>
  <c r="AD76" i="8"/>
  <c r="AB75" i="9"/>
  <c r="AB83" i="9" s="1"/>
  <c r="AB73" i="9"/>
  <c r="AB81" i="9" s="1"/>
  <c r="BK26" i="15"/>
  <c r="AK26" i="15"/>
  <c r="AB72" i="9"/>
  <c r="AB80" i="9" s="1"/>
  <c r="K28" i="15" l="1"/>
  <c r="J29" i="15"/>
  <c r="AK27" i="15"/>
  <c r="BK27" i="15"/>
  <c r="AD201" i="8"/>
  <c r="AD72" i="10" s="1"/>
  <c r="AC60" i="8"/>
  <c r="AD60" i="8" s="1"/>
  <c r="AC36" i="8"/>
  <c r="AD34" i="8"/>
  <c r="O38" i="14" s="1"/>
  <c r="AC69" i="9"/>
  <c r="AC52" i="9"/>
  <c r="AC55" i="9"/>
  <c r="AC53" i="9"/>
  <c r="AC57" i="9"/>
  <c r="AC54" i="9"/>
  <c r="AC56" i="9"/>
  <c r="R285" i="14"/>
  <c r="Q22" i="14"/>
  <c r="R22" i="14" s="1"/>
  <c r="Q16" i="3"/>
  <c r="Q78" i="3" s="1"/>
  <c r="Q17" i="3"/>
  <c r="AE194" i="8"/>
  <c r="AE196" i="8" s="1"/>
  <c r="AF192" i="8" l="1"/>
  <c r="AE126" i="8"/>
  <c r="AC74" i="9"/>
  <c r="AC82" i="9" s="1"/>
  <c r="AD56" i="9"/>
  <c r="AC206" i="9"/>
  <c r="AC162" i="9"/>
  <c r="AC186" i="9"/>
  <c r="AC154" i="9"/>
  <c r="R15" i="3"/>
  <c r="AD36" i="8"/>
  <c r="AC72" i="9"/>
  <c r="AC80" i="9" s="1"/>
  <c r="AD54" i="9"/>
  <c r="AC75" i="9"/>
  <c r="AC83" i="9" s="1"/>
  <c r="AD57" i="9"/>
  <c r="AC70" i="9"/>
  <c r="AC78" i="9" s="1"/>
  <c r="AD52" i="9"/>
  <c r="AE76" i="8"/>
  <c r="AE202" i="8"/>
  <c r="AE109" i="8"/>
  <c r="AC71" i="9"/>
  <c r="AC79" i="9" s="1"/>
  <c r="AD53" i="9"/>
  <c r="AC59" i="9"/>
  <c r="K29" i="15"/>
  <c r="J30" i="15"/>
  <c r="AC73" i="9"/>
  <c r="AC81" i="9" s="1"/>
  <c r="AD55" i="9"/>
  <c r="AK28" i="15"/>
  <c r="BK28" i="15"/>
  <c r="AD71" i="9" l="1"/>
  <c r="BK29" i="15"/>
  <c r="AK29" i="15"/>
  <c r="AD72" i="9"/>
  <c r="AD64" i="9"/>
  <c r="AD80" i="10" s="1"/>
  <c r="R17" i="3"/>
  <c r="R16" i="3"/>
  <c r="R78" i="3" s="1"/>
  <c r="AE130" i="8"/>
  <c r="Y40" i="3"/>
  <c r="Y44" i="3" s="1"/>
  <c r="AD75" i="9"/>
  <c r="AD67" i="9"/>
  <c r="AD83" i="10" s="1"/>
  <c r="AD66" i="9"/>
  <c r="AD82" i="10" s="1"/>
  <c r="AD74" i="9"/>
  <c r="AD65" i="9"/>
  <c r="AD81" i="10" s="1"/>
  <c r="AD73" i="9"/>
  <c r="O33" i="14"/>
  <c r="AD186" i="9"/>
  <c r="AD154" i="9"/>
  <c r="X15" i="3"/>
  <c r="AE51" i="9"/>
  <c r="AE34" i="8"/>
  <c r="K30" i="15"/>
  <c r="J31" i="15"/>
  <c r="AD62" i="9"/>
  <c r="AD78" i="10" s="1"/>
  <c r="AD51" i="9"/>
  <c r="AD70" i="9"/>
  <c r="AF194" i="8"/>
  <c r="AF196" i="8"/>
  <c r="AK30" i="15" l="1"/>
  <c r="BK30" i="15"/>
  <c r="P38" i="14"/>
  <c r="AE60" i="8"/>
  <c r="AE36" i="8"/>
  <c r="AD82" i="9"/>
  <c r="AD80" i="9"/>
  <c r="X16" i="3"/>
  <c r="X17" i="3"/>
  <c r="AD69" i="9"/>
  <c r="AD83" i="9" s="1"/>
  <c r="AD59" i="9"/>
  <c r="AD78" i="9"/>
  <c r="AD79" i="9"/>
  <c r="AG192" i="8"/>
  <c r="AF126" i="8"/>
  <c r="AE56" i="9"/>
  <c r="AE74" i="9" s="1"/>
  <c r="AE57" i="9"/>
  <c r="AE75" i="9" s="1"/>
  <c r="AE54" i="9"/>
  <c r="AE72" i="9" s="1"/>
  <c r="AE52" i="9"/>
  <c r="AE70" i="9" s="1"/>
  <c r="AE69" i="9"/>
  <c r="AE53" i="9"/>
  <c r="AE71" i="9" s="1"/>
  <c r="AE79" i="9" s="1"/>
  <c r="AE55" i="9"/>
  <c r="AE73" i="9" s="1"/>
  <c r="AE81" i="9" s="1"/>
  <c r="AF109" i="8"/>
  <c r="AF202" i="8"/>
  <c r="AF76" i="8"/>
  <c r="J32" i="15"/>
  <c r="K31" i="15"/>
  <c r="AD81" i="9"/>
  <c r="AD63" i="9"/>
  <c r="AD79" i="10" s="1"/>
  <c r="AK31" i="15" l="1"/>
  <c r="BK31" i="15"/>
  <c r="AG194" i="8"/>
  <c r="P33" i="14"/>
  <c r="AE206" i="9"/>
  <c r="AE186" i="9"/>
  <c r="AE154" i="9"/>
  <c r="AE162" i="9"/>
  <c r="Y15" i="3"/>
  <c r="AE83" i="9"/>
  <c r="K32" i="15"/>
  <c r="J33" i="15"/>
  <c r="AF51" i="9"/>
  <c r="AF34" i="8"/>
  <c r="AE82" i="9"/>
  <c r="H7" i="16"/>
  <c r="X78" i="3"/>
  <c r="AE78" i="9"/>
  <c r="AE80" i="9"/>
  <c r="AE59" i="9"/>
  <c r="AF130" i="8"/>
  <c r="Z40" i="3"/>
  <c r="Z44" i="3" s="1"/>
  <c r="Q38" i="14" l="1"/>
  <c r="AF60" i="8"/>
  <c r="AF36" i="8"/>
  <c r="AG109" i="8"/>
  <c r="AG76" i="8"/>
  <c r="AG202" i="8"/>
  <c r="AG196" i="8"/>
  <c r="AG126" i="8" s="1"/>
  <c r="BK32" i="15"/>
  <c r="AK32" i="15"/>
  <c r="AF69" i="9"/>
  <c r="AF57" i="9"/>
  <c r="AF75" i="9" s="1"/>
  <c r="AF83" i="9" s="1"/>
  <c r="AF56" i="9"/>
  <c r="AF74" i="9" s="1"/>
  <c r="AF82" i="9" s="1"/>
  <c r="AF54" i="9"/>
  <c r="AF72" i="9" s="1"/>
  <c r="AF80" i="9" s="1"/>
  <c r="AF52" i="9"/>
  <c r="AF70" i="9" s="1"/>
  <c r="AF78" i="9" s="1"/>
  <c r="AF53" i="9"/>
  <c r="AF71" i="9" s="1"/>
  <c r="AF79" i="9" s="1"/>
  <c r="AF55" i="9"/>
  <c r="AF73" i="9" s="1"/>
  <c r="K33" i="15"/>
  <c r="J34" i="15"/>
  <c r="Y17" i="3"/>
  <c r="Y16" i="3"/>
  <c r="AG130" i="8" l="1"/>
  <c r="AA40" i="3"/>
  <c r="AA44" i="3" s="1"/>
  <c r="AG51" i="9"/>
  <c r="AG34" i="8"/>
  <c r="Q33" i="14"/>
  <c r="AF154" i="9"/>
  <c r="AF206" i="9"/>
  <c r="AF186" i="9"/>
  <c r="AF162" i="9"/>
  <c r="Z15" i="3"/>
  <c r="K34" i="15"/>
  <c r="J35" i="15"/>
  <c r="AF59" i="9"/>
  <c r="I7" i="16"/>
  <c r="Y78" i="3"/>
  <c r="BK33" i="15"/>
  <c r="AK33" i="15"/>
  <c r="AF81" i="9"/>
  <c r="Z17" i="3" l="1"/>
  <c r="Z16" i="3"/>
  <c r="Z78" i="3" s="1"/>
  <c r="J36" i="15"/>
  <c r="K35" i="15"/>
  <c r="R38" i="14"/>
  <c r="AG60" i="8"/>
  <c r="AG36" i="8"/>
  <c r="BK34" i="15"/>
  <c r="AK34" i="15"/>
  <c r="AG57" i="9"/>
  <c r="AG75" i="9" s="1"/>
  <c r="AG69" i="9"/>
  <c r="AG54" i="9"/>
  <c r="AG72" i="9" s="1"/>
  <c r="AG80" i="9" s="1"/>
  <c r="AG52" i="9"/>
  <c r="AG70" i="9" s="1"/>
  <c r="AG78" i="9" s="1"/>
  <c r="AG55" i="9"/>
  <c r="AG73" i="9" s="1"/>
  <c r="AG56" i="9"/>
  <c r="AG74" i="9" s="1"/>
  <c r="AG53" i="9"/>
  <c r="AG71" i="9" s="1"/>
  <c r="AG59" i="9" l="1"/>
  <c r="K36" i="15"/>
  <c r="J37" i="15"/>
  <c r="AG79" i="9"/>
  <c r="AK35" i="15"/>
  <c r="BK35" i="15"/>
  <c r="AG83" i="9"/>
  <c r="AG82" i="9"/>
  <c r="AG81" i="9"/>
  <c r="AG206" i="9"/>
  <c r="AG186" i="9"/>
  <c r="R33" i="14"/>
  <c r="AG162" i="9"/>
  <c r="AG154" i="9"/>
  <c r="AA15" i="3"/>
  <c r="AA16" i="3" l="1"/>
  <c r="AA78" i="3" s="1"/>
  <c r="AE15" i="3"/>
  <c r="AA17" i="3"/>
  <c r="AK36" i="15"/>
  <c r="BK36" i="15"/>
  <c r="K37" i="15"/>
  <c r="J38" i="15"/>
  <c r="AK37" i="15" l="1"/>
  <c r="BK37" i="15"/>
  <c r="K38" i="15"/>
  <c r="J39" i="15"/>
  <c r="J40" i="15" l="1"/>
  <c r="K39" i="15"/>
  <c r="AK38" i="15"/>
  <c r="BK38" i="15"/>
  <c r="AK39" i="15" l="1"/>
  <c r="BK39" i="15"/>
  <c r="K40" i="15"/>
  <c r="J41" i="15"/>
  <c r="K41" i="15" l="1"/>
  <c r="J42" i="15"/>
  <c r="BK40" i="15"/>
  <c r="AK40" i="15"/>
  <c r="K42" i="15" l="1"/>
  <c r="J43" i="15"/>
  <c r="BK41" i="15"/>
  <c r="AK41" i="15"/>
  <c r="J44" i="15" l="1"/>
  <c r="K43" i="15"/>
  <c r="BK42" i="15"/>
  <c r="AK42" i="15"/>
  <c r="BK43" i="15" l="1"/>
  <c r="AK43" i="15"/>
  <c r="K44" i="15"/>
  <c r="J45" i="15"/>
  <c r="K45" i="15" l="1"/>
  <c r="J46" i="15"/>
  <c r="AK44" i="15"/>
  <c r="BK44" i="15"/>
  <c r="K46" i="15" l="1"/>
  <c r="J47" i="15"/>
  <c r="AK45" i="15"/>
  <c r="BK45" i="15"/>
  <c r="J48" i="15" l="1"/>
  <c r="K47" i="15"/>
  <c r="AK46" i="15"/>
  <c r="BK46" i="15"/>
  <c r="AK47" i="15" l="1"/>
  <c r="BK47" i="15"/>
  <c r="K48" i="15"/>
  <c r="J49" i="15"/>
  <c r="K49" i="15" l="1"/>
  <c r="J50" i="15"/>
  <c r="BK48" i="15"/>
  <c r="AK48" i="15"/>
  <c r="K50" i="15" l="1"/>
  <c r="J51" i="15"/>
  <c r="AK49" i="15"/>
  <c r="BK49" i="15"/>
  <c r="J52" i="15" l="1"/>
  <c r="K51" i="15"/>
  <c r="BK50" i="15"/>
  <c r="AK50" i="15"/>
  <c r="BK51" i="15" l="1"/>
  <c r="AK51" i="15"/>
  <c r="K52" i="15"/>
  <c r="J53" i="15"/>
  <c r="K53" i="15" l="1"/>
  <c r="J54" i="15"/>
  <c r="AK52" i="15"/>
  <c r="BK52" i="15"/>
  <c r="K54" i="15" l="1"/>
  <c r="J55" i="15"/>
  <c r="AK53" i="15"/>
  <c r="BK53" i="15"/>
  <c r="J56" i="15" l="1"/>
  <c r="K55" i="15"/>
  <c r="BK54" i="15"/>
  <c r="AK54" i="15"/>
  <c r="AK55" i="15" l="1"/>
  <c r="BK55" i="15"/>
  <c r="K56" i="15"/>
  <c r="J57" i="15"/>
  <c r="K57" i="15" l="1"/>
  <c r="J58" i="15"/>
  <c r="BK56" i="15"/>
  <c r="AK56" i="15"/>
  <c r="K58" i="15" l="1"/>
  <c r="J59" i="15"/>
  <c r="AK57" i="15"/>
  <c r="BK57" i="15"/>
  <c r="J60" i="15" l="1"/>
  <c r="K59" i="15"/>
  <c r="BK58" i="15"/>
  <c r="AK58" i="15"/>
  <c r="AK59" i="15" l="1"/>
  <c r="BK59" i="15"/>
  <c r="K60" i="15"/>
  <c r="J61" i="15"/>
  <c r="K61" i="15" l="1"/>
  <c r="J62" i="15"/>
  <c r="AK60" i="15"/>
  <c r="BK60" i="15"/>
  <c r="K62" i="15" l="1"/>
  <c r="J63" i="15"/>
  <c r="AK61" i="15"/>
  <c r="BK61" i="15"/>
  <c r="J64" i="15" l="1"/>
  <c r="K63" i="15"/>
  <c r="BK62" i="15"/>
  <c r="AK62" i="15"/>
  <c r="AK63" i="15" l="1"/>
  <c r="BK63" i="15"/>
  <c r="K64" i="15"/>
  <c r="J65" i="15"/>
  <c r="K65" i="15" l="1"/>
  <c r="J66" i="15"/>
  <c r="AK64" i="15"/>
  <c r="BK64" i="15"/>
  <c r="K66" i="15" l="1"/>
  <c r="J67" i="15"/>
  <c r="AK65" i="15"/>
  <c r="BK65" i="15"/>
  <c r="J68" i="15" l="1"/>
  <c r="K67" i="15"/>
  <c r="AK66" i="15"/>
  <c r="BK66" i="15"/>
  <c r="AK67" i="15" l="1"/>
  <c r="BK67" i="15"/>
  <c r="K68" i="15"/>
  <c r="J69" i="15"/>
  <c r="K69" i="15" l="1"/>
  <c r="J70" i="15"/>
  <c r="AK68" i="15"/>
  <c r="BK68" i="15"/>
  <c r="K70" i="15" l="1"/>
  <c r="J71" i="15"/>
  <c r="BK69" i="15"/>
  <c r="AK69" i="15"/>
  <c r="J72" i="15" l="1"/>
  <c r="K71" i="15"/>
  <c r="BK70" i="15"/>
  <c r="AK70" i="15"/>
  <c r="AK71" i="15" l="1"/>
  <c r="BK71" i="15"/>
  <c r="K72" i="15"/>
  <c r="J73" i="15"/>
  <c r="K73" i="15" l="1"/>
  <c r="J74" i="15"/>
  <c r="AK72" i="15"/>
  <c r="BK72" i="15"/>
  <c r="K74" i="15" l="1"/>
  <c r="J75" i="15"/>
  <c r="BK73" i="15"/>
  <c r="AK73" i="15"/>
  <c r="J76" i="15" l="1"/>
  <c r="K75" i="15"/>
  <c r="AK74" i="15"/>
  <c r="BK74" i="15"/>
  <c r="AK75" i="15" l="1"/>
  <c r="BK75" i="15"/>
  <c r="K76" i="15"/>
  <c r="J77" i="15"/>
  <c r="K77" i="15" l="1"/>
  <c r="J78" i="15"/>
  <c r="BK76" i="15"/>
  <c r="AK76" i="15"/>
  <c r="K78" i="15" l="1"/>
  <c r="J79" i="15"/>
  <c r="BK77" i="15"/>
  <c r="AK77" i="15"/>
  <c r="J80" i="15" l="1"/>
  <c r="K79" i="15"/>
  <c r="BK78" i="15"/>
  <c r="AK78" i="15"/>
  <c r="AK79" i="15" l="1"/>
  <c r="BK79" i="15"/>
  <c r="K80" i="15"/>
  <c r="J81" i="15"/>
  <c r="K81" i="15" l="1"/>
  <c r="J82" i="15"/>
  <c r="BK80" i="15"/>
  <c r="AK80" i="15"/>
  <c r="K82" i="15" l="1"/>
  <c r="J83" i="15"/>
  <c r="AK81" i="15"/>
  <c r="BK81" i="15"/>
  <c r="J84" i="15" l="1"/>
  <c r="K83" i="15"/>
  <c r="AK82" i="15"/>
  <c r="BK82" i="15"/>
  <c r="AK83" i="15" l="1"/>
  <c r="BK83" i="15"/>
  <c r="K84" i="15"/>
  <c r="J85" i="15"/>
  <c r="K85" i="15" s="1"/>
  <c r="BK84" i="15" l="1"/>
  <c r="AK84" i="15"/>
  <c r="O64" i="4" l="1"/>
  <c r="G64" i="4"/>
  <c r="W89" i="3"/>
  <c r="R12" i="14"/>
  <c r="Q12" i="14"/>
  <c r="R55" i="14"/>
  <c r="R54" i="14"/>
  <c r="AE292" i="8"/>
  <c r="J52" i="4"/>
  <c r="Z106" i="3"/>
  <c r="O72" i="16"/>
  <c r="O71" i="16"/>
  <c r="O77" i="3"/>
  <c r="O28" i="3"/>
  <c r="O56" i="4"/>
  <c r="G56" i="4"/>
  <c r="W81" i="3"/>
  <c r="U26" i="4"/>
  <c r="T26" i="4"/>
  <c r="AC114" i="8"/>
  <c r="AC108" i="8"/>
  <c r="AC112" i="8"/>
  <c r="AC115" i="8"/>
  <c r="AC116" i="8"/>
  <c r="I55" i="4"/>
  <c r="Y80" i="3"/>
  <c r="AF103" i="8"/>
  <c r="R24" i="3"/>
  <c r="R23" i="3"/>
  <c r="AC57" i="8"/>
  <c r="J64" i="4"/>
  <c r="Z89" i="3"/>
  <c r="P79" i="3"/>
  <c r="P20" i="3"/>
  <c r="AE238" i="8"/>
  <c r="AE237" i="8"/>
  <c r="AE53" i="8"/>
  <c r="Q13" i="2"/>
  <c r="N216" i="14"/>
  <c r="Z154" i="8"/>
  <c r="Z151" i="8"/>
  <c r="AA158" i="8"/>
  <c r="AA132" i="8"/>
  <c r="AA124" i="8"/>
  <c r="Y154" i="8"/>
  <c r="X154" i="8"/>
  <c r="AF96" i="8"/>
  <c r="AF89" i="8"/>
  <c r="AF75" i="8"/>
  <c r="AF80" i="8"/>
  <c r="AF87" i="8"/>
  <c r="AF288" i="8"/>
  <c r="AF294" i="8"/>
  <c r="AF297" i="8"/>
  <c r="AF303" i="8"/>
  <c r="AB237" i="8"/>
  <c r="AB53" i="8"/>
  <c r="H56" i="4"/>
  <c r="X81" i="3"/>
  <c r="Y87" i="8"/>
  <c r="U25" i="4"/>
  <c r="T25" i="4"/>
  <c r="H62" i="4"/>
  <c r="X87" i="3"/>
  <c r="X151" i="8"/>
  <c r="Y151" i="8"/>
  <c r="AD39" i="8"/>
  <c r="X85" i="3"/>
  <c r="H60" i="4"/>
  <c r="K50" i="4"/>
  <c r="AA104" i="3"/>
  <c r="N13" i="4"/>
  <c r="L16" i="2"/>
  <c r="I57" i="4"/>
  <c r="Y82" i="3"/>
  <c r="I45" i="4"/>
  <c r="Y92" i="3"/>
  <c r="J47" i="4"/>
  <c r="Z94" i="3"/>
  <c r="R18" i="14"/>
  <c r="Q18" i="14"/>
  <c r="R152" i="14"/>
  <c r="Q151" i="14"/>
  <c r="R151" i="14"/>
  <c r="AD156" i="8"/>
  <c r="AD145" i="8"/>
  <c r="AG292" i="8"/>
  <c r="O67" i="4"/>
  <c r="G67" i="4"/>
  <c r="W97" i="3"/>
  <c r="W46" i="3"/>
  <c r="J57" i="4"/>
  <c r="Z82" i="3"/>
  <c r="M42" i="19"/>
  <c r="H42" i="19"/>
  <c r="N42" i="19"/>
  <c r="Y62" i="3"/>
  <c r="Y65" i="3"/>
  <c r="Y68" i="3"/>
  <c r="O29" i="3"/>
  <c r="O89" i="3"/>
  <c r="O27" i="3"/>
  <c r="O88" i="3"/>
  <c r="N87" i="3"/>
  <c r="N85" i="3"/>
  <c r="N16" i="4"/>
  <c r="L20" i="2"/>
  <c r="R77" i="14"/>
  <c r="I20" i="19"/>
  <c r="I19" i="19"/>
  <c r="H52" i="4"/>
  <c r="X106" i="3"/>
  <c r="E185" i="14"/>
  <c r="R138" i="14"/>
  <c r="AB313" i="8"/>
  <c r="AB315" i="8"/>
  <c r="AB322" i="8"/>
  <c r="AB39" i="8"/>
  <c r="Q85" i="3"/>
  <c r="Q87" i="3"/>
  <c r="G30" i="4"/>
  <c r="W29" i="3"/>
  <c r="R124" i="14"/>
  <c r="R125" i="14"/>
  <c r="R134" i="14"/>
  <c r="R137" i="14"/>
  <c r="Q15" i="14"/>
  <c r="R15" i="14"/>
  <c r="J56" i="4"/>
  <c r="Z81" i="3"/>
  <c r="AG158" i="8"/>
  <c r="AG132" i="8"/>
  <c r="AG124" i="8"/>
  <c r="AD89" i="8"/>
  <c r="AG154" i="8"/>
  <c r="AG151" i="8"/>
  <c r="I60" i="4"/>
  <c r="P82" i="3"/>
  <c r="P21" i="3"/>
  <c r="P80" i="3"/>
  <c r="P19" i="3"/>
  <c r="P81" i="3"/>
  <c r="R14" i="14"/>
  <c r="Q14" i="14"/>
  <c r="P72" i="16"/>
  <c r="P71" i="16"/>
  <c r="R70" i="3"/>
  <c r="R59" i="3"/>
  <c r="R57" i="3"/>
  <c r="Z288" i="8"/>
  <c r="Z294" i="8"/>
  <c r="Z297" i="8"/>
  <c r="Z303" i="8"/>
  <c r="Z89" i="8"/>
  <c r="Z96" i="8"/>
  <c r="AD96" i="8"/>
  <c r="AE313" i="8"/>
  <c r="AE315" i="8"/>
  <c r="AE322" i="8"/>
  <c r="AE39" i="8"/>
  <c r="Y85" i="3"/>
  <c r="Y87" i="3"/>
  <c r="I62" i="4"/>
  <c r="AG103" i="8"/>
  <c r="P42" i="19"/>
  <c r="I42" i="19"/>
  <c r="O42" i="19"/>
  <c r="AG96" i="8"/>
  <c r="AG75" i="8"/>
  <c r="AG80" i="8"/>
  <c r="AG87" i="8"/>
  <c r="AG288" i="8"/>
  <c r="AG294" i="8"/>
  <c r="AG297" i="8"/>
  <c r="AG303" i="8"/>
  <c r="AG89" i="8"/>
  <c r="AG53" i="8"/>
  <c r="AG237" i="8"/>
  <c r="AG238" i="8"/>
  <c r="O46" i="14"/>
  <c r="O45" i="14"/>
  <c r="AF238" i="8"/>
  <c r="AF237" i="8"/>
  <c r="AF53" i="8"/>
  <c r="AD116" i="8"/>
  <c r="AD115" i="8"/>
  <c r="Z146" i="9"/>
  <c r="Z188" i="9"/>
  <c r="Z208" i="9"/>
  <c r="J62" i="4"/>
  <c r="Z87" i="3"/>
  <c r="J36" i="4"/>
  <c r="H46" i="4"/>
  <c r="X93" i="3"/>
  <c r="K52" i="4"/>
  <c r="AA106" i="3"/>
  <c r="N9" i="4"/>
  <c r="L12" i="2"/>
  <c r="I64" i="4"/>
  <c r="Y89" i="3"/>
  <c r="I63" i="4"/>
  <c r="Y88" i="3"/>
  <c r="K30" i="4"/>
  <c r="AA29" i="3"/>
  <c r="P13" i="2"/>
  <c r="E253" i="14"/>
  <c r="J63" i="4"/>
  <c r="Z88" i="3"/>
  <c r="U27" i="4"/>
  <c r="T27" i="4"/>
  <c r="AG116" i="8"/>
  <c r="AG115" i="8"/>
  <c r="K37" i="4"/>
  <c r="AA24" i="3"/>
  <c r="K45" i="4"/>
  <c r="AA92" i="3"/>
  <c r="O62" i="4"/>
  <c r="G62" i="4"/>
  <c r="W87" i="3"/>
  <c r="N203" i="14"/>
  <c r="N212" i="14"/>
  <c r="N215" i="14"/>
  <c r="Q19" i="14"/>
  <c r="R19" i="14"/>
  <c r="O57" i="4"/>
  <c r="G57" i="4"/>
  <c r="W82" i="3"/>
  <c r="R77" i="3"/>
  <c r="R28" i="3"/>
  <c r="K64" i="4"/>
  <c r="AA89" i="3"/>
  <c r="H47" i="4"/>
  <c r="X94" i="3"/>
  <c r="AB79" i="14"/>
  <c r="K63" i="4"/>
  <c r="AA88" i="3"/>
  <c r="P57" i="3"/>
  <c r="P59" i="3"/>
  <c r="P70" i="3"/>
  <c r="R20" i="14"/>
  <c r="Q20" i="14"/>
  <c r="R17" i="14"/>
  <c r="Q17" i="14"/>
  <c r="AF313" i="8"/>
  <c r="AF315" i="8"/>
  <c r="AF322" i="8"/>
  <c r="AF39" i="8"/>
  <c r="Z85" i="3"/>
  <c r="J60" i="4"/>
  <c r="Y59" i="8"/>
  <c r="AD54" i="8"/>
  <c r="K79" i="14"/>
  <c r="S28" i="4"/>
  <c r="AB57" i="8"/>
  <c r="Q23" i="3"/>
  <c r="Q24" i="3"/>
  <c r="AD75" i="8"/>
  <c r="AE124" i="8"/>
  <c r="AE132" i="8"/>
  <c r="AE158" i="8"/>
  <c r="AF57" i="8"/>
  <c r="Z23" i="3"/>
  <c r="Z24" i="3"/>
  <c r="J37" i="4"/>
  <c r="N62" i="3"/>
  <c r="N65" i="3"/>
  <c r="N68" i="3"/>
  <c r="M44" i="19"/>
  <c r="H44" i="19"/>
  <c r="N44" i="19"/>
  <c r="AA237" i="8"/>
  <c r="AA53" i="8"/>
  <c r="I37" i="4"/>
  <c r="Y24" i="3"/>
  <c r="M44" i="18"/>
  <c r="L44" i="18"/>
  <c r="H44" i="18"/>
  <c r="N44" i="18"/>
  <c r="I51" i="4"/>
  <c r="Y105" i="3"/>
  <c r="H64" i="4"/>
  <c r="X89" i="3"/>
  <c r="R79" i="14"/>
  <c r="H45" i="4"/>
  <c r="AD139" i="8"/>
  <c r="X53" i="3"/>
  <c r="X92" i="3"/>
  <c r="N14" i="4"/>
  <c r="L17" i="2"/>
  <c r="AD53" i="8"/>
  <c r="AD237" i="8"/>
  <c r="AD238" i="8"/>
  <c r="L21" i="18"/>
  <c r="N21" i="18"/>
  <c r="H21" i="18"/>
  <c r="M21" i="18"/>
  <c r="W38" i="3"/>
  <c r="W104" i="3"/>
  <c r="G50" i="4"/>
  <c r="O50" i="4"/>
  <c r="Y23" i="3"/>
  <c r="I36" i="4"/>
  <c r="Y158" i="8"/>
  <c r="Y132" i="8"/>
  <c r="Y124" i="8"/>
  <c r="AA313" i="8"/>
  <c r="AA315" i="8"/>
  <c r="AA322" i="8"/>
  <c r="AA39" i="8"/>
  <c r="P85" i="3"/>
  <c r="P87" i="3"/>
  <c r="AG56" i="8"/>
  <c r="R97" i="3"/>
  <c r="R46" i="3"/>
  <c r="Y116" i="8"/>
  <c r="Y115" i="8"/>
  <c r="AC56" i="8"/>
  <c r="Y42" i="8"/>
  <c r="P62" i="3"/>
  <c r="P65" i="3"/>
  <c r="P68" i="3"/>
  <c r="W79" i="3"/>
  <c r="G33" i="4"/>
  <c r="W20" i="3"/>
  <c r="G9" i="16"/>
  <c r="R36" i="14"/>
  <c r="AC158" i="8"/>
  <c r="AC132" i="8"/>
  <c r="R228" i="14"/>
  <c r="Q227" i="14"/>
  <c r="R227" i="14"/>
  <c r="AG54" i="8"/>
  <c r="AG253" i="8"/>
  <c r="I34" i="4"/>
  <c r="Y21" i="3"/>
  <c r="AF56" i="8"/>
  <c r="R38" i="3"/>
  <c r="R104" i="3"/>
  <c r="AA292" i="8"/>
  <c r="J205" i="14"/>
  <c r="J202" i="14"/>
  <c r="J204" i="14"/>
  <c r="E245" i="14"/>
  <c r="R105" i="3"/>
  <c r="R34" i="3"/>
  <c r="R106" i="3"/>
  <c r="R63" i="14"/>
  <c r="AB63" i="14"/>
  <c r="M34" i="14"/>
  <c r="M35" i="14"/>
  <c r="M45" i="14"/>
  <c r="M48" i="14"/>
  <c r="N48" i="14"/>
  <c r="N54" i="14"/>
  <c r="K63" i="14"/>
  <c r="K29" i="4"/>
  <c r="AA28" i="3"/>
  <c r="AA77" i="3"/>
  <c r="H63" i="4"/>
  <c r="X88" i="3"/>
  <c r="R88" i="3"/>
  <c r="R89" i="3"/>
  <c r="R27" i="3"/>
  <c r="R29" i="3"/>
  <c r="R45" i="14"/>
  <c r="R46" i="14"/>
  <c r="AC146" i="9"/>
  <c r="AC188" i="9"/>
  <c r="AC51" i="8"/>
  <c r="AC59" i="8"/>
  <c r="AC61" i="8"/>
  <c r="AC208" i="9"/>
  <c r="R10" i="14"/>
  <c r="Q10" i="14"/>
  <c r="X156" i="8"/>
  <c r="X145" i="8"/>
  <c r="AF154" i="8"/>
  <c r="AF151" i="8"/>
  <c r="AE146" i="9"/>
  <c r="AE208" i="9"/>
  <c r="P32" i="14"/>
  <c r="AE188" i="9"/>
  <c r="AE156" i="8"/>
  <c r="AE145" i="8"/>
  <c r="G28" i="4"/>
  <c r="AD87" i="8"/>
  <c r="X313" i="8"/>
  <c r="X315" i="8"/>
  <c r="X322" i="8"/>
  <c r="X39" i="8"/>
  <c r="Y39" i="8"/>
  <c r="W85" i="3"/>
  <c r="G60" i="4"/>
  <c r="O60" i="4"/>
  <c r="K67" i="4"/>
  <c r="AA97" i="3"/>
  <c r="AA38" i="3"/>
  <c r="AA46" i="3"/>
  <c r="Y56" i="8"/>
  <c r="T28" i="4"/>
  <c r="U28" i="4"/>
  <c r="O32" i="4"/>
  <c r="AE19" i="3"/>
  <c r="AD42" i="8"/>
  <c r="K40" i="4"/>
  <c r="K39" i="4"/>
  <c r="O39" i="4"/>
  <c r="Z87" i="8"/>
  <c r="Z103" i="8"/>
  <c r="AD103" i="8"/>
  <c r="W105" i="3"/>
  <c r="G51" i="4"/>
  <c r="O51" i="4"/>
  <c r="X46" i="3"/>
  <c r="X97" i="3"/>
  <c r="H67" i="4"/>
  <c r="P20" i="2"/>
  <c r="E237" i="14"/>
  <c r="E161" i="14"/>
  <c r="P18" i="2"/>
  <c r="Q48" i="14"/>
  <c r="Q54" i="14"/>
  <c r="Q55" i="14"/>
  <c r="J50" i="4"/>
  <c r="Z104" i="3"/>
  <c r="E106" i="14"/>
  <c r="O32" i="14"/>
  <c r="AD188" i="9"/>
  <c r="AD146" i="9"/>
  <c r="Y146" i="9"/>
  <c r="N32" i="14"/>
  <c r="S25" i="4"/>
  <c r="Y188" i="9"/>
  <c r="G8" i="16"/>
  <c r="W77" i="3"/>
  <c r="W28" i="3"/>
  <c r="G29" i="4"/>
  <c r="AB156" i="8"/>
  <c r="AB145" i="8"/>
  <c r="H40" i="4"/>
  <c r="H39" i="4"/>
  <c r="F202" i="14"/>
  <c r="F204" i="14"/>
  <c r="F205" i="14"/>
  <c r="Q20" i="2"/>
  <c r="AB44" i="8"/>
  <c r="AA148" i="8"/>
  <c r="AA151" i="8"/>
  <c r="AA154" i="8"/>
  <c r="AE56" i="8"/>
  <c r="F126" i="14"/>
  <c r="F127" i="14"/>
  <c r="Q18" i="2"/>
  <c r="N81" i="3"/>
  <c r="N82" i="3"/>
  <c r="N80" i="3"/>
  <c r="N21" i="3"/>
  <c r="AG44" i="8"/>
  <c r="R34" i="14"/>
  <c r="R35" i="14"/>
  <c r="R48" i="14"/>
  <c r="R59" i="14"/>
  <c r="R61" i="14"/>
  <c r="R62" i="14"/>
  <c r="R65" i="14"/>
  <c r="R72" i="14"/>
  <c r="R76" i="14"/>
  <c r="L19" i="2"/>
  <c r="N15" i="4"/>
  <c r="O47" i="4"/>
  <c r="G47" i="4"/>
  <c r="W94" i="3"/>
  <c r="Y80" i="8"/>
  <c r="Y77" i="3"/>
  <c r="I8" i="16"/>
  <c r="Y28" i="3"/>
  <c r="I29" i="4"/>
  <c r="H57" i="4"/>
  <c r="X82" i="3"/>
  <c r="K60" i="4"/>
  <c r="AF156" i="8"/>
  <c r="AF145" i="8"/>
  <c r="O92" i="3"/>
  <c r="O94" i="3"/>
  <c r="O53" i="3"/>
  <c r="O93" i="3"/>
  <c r="K34" i="4"/>
  <c r="AA21" i="3"/>
  <c r="K47" i="4"/>
  <c r="AA94" i="3"/>
  <c r="N19" i="3"/>
  <c r="N20" i="3"/>
  <c r="N79" i="3"/>
  <c r="AD253" i="8"/>
  <c r="Z253" i="8"/>
  <c r="O68" i="3"/>
  <c r="Z148" i="8"/>
  <c r="O62" i="3"/>
  <c r="O65" i="3"/>
  <c r="Q104" i="3"/>
  <c r="AE116" i="8"/>
  <c r="AE115" i="8"/>
  <c r="O79" i="3"/>
  <c r="O20" i="3"/>
  <c r="J33" i="4"/>
  <c r="Z20" i="3"/>
  <c r="Z79" i="3"/>
  <c r="AB238" i="8"/>
  <c r="AC238" i="8"/>
  <c r="AA238" i="8"/>
  <c r="Z53" i="8"/>
  <c r="Z237" i="8"/>
  <c r="Z238" i="8"/>
  <c r="R13" i="14"/>
  <c r="Q13" i="14"/>
  <c r="K56" i="4"/>
  <c r="AA81" i="3"/>
  <c r="O55" i="14"/>
  <c r="O54" i="14"/>
  <c r="O48" i="14"/>
  <c r="M42" i="18"/>
  <c r="N42" i="18"/>
  <c r="H42" i="18"/>
  <c r="L42" i="18"/>
  <c r="N70" i="3"/>
  <c r="N59" i="3"/>
  <c r="N57" i="3"/>
  <c r="K36" i="4"/>
  <c r="K46" i="4"/>
  <c r="AA53" i="3"/>
  <c r="AA93" i="3"/>
  <c r="O82" i="3"/>
  <c r="O80" i="3"/>
  <c r="O81" i="3"/>
  <c r="O19" i="3"/>
  <c r="O21" i="3"/>
  <c r="Q38" i="3"/>
  <c r="Q46" i="3"/>
  <c r="Q97" i="3"/>
  <c r="P16" i="19"/>
  <c r="O16" i="19"/>
  <c r="M16" i="19"/>
  <c r="H16" i="19"/>
  <c r="N16" i="19"/>
  <c r="R216" i="14"/>
  <c r="R202" i="14"/>
  <c r="R203" i="14"/>
  <c r="R212" i="14"/>
  <c r="R215" i="14"/>
  <c r="E261" i="14"/>
  <c r="E169" i="14"/>
  <c r="X56" i="8"/>
  <c r="F131" i="14"/>
  <c r="F124" i="14"/>
  <c r="J124" i="14"/>
  <c r="J126" i="14"/>
  <c r="J127" i="14"/>
  <c r="Z156" i="8"/>
  <c r="Z145" i="8"/>
  <c r="O63" i="4"/>
  <c r="Y61" i="8"/>
  <c r="W27" i="3"/>
  <c r="W88" i="3"/>
  <c r="G63" i="4"/>
  <c r="N15" i="19"/>
  <c r="M15" i="19"/>
  <c r="O15" i="19"/>
  <c r="H15" i="19"/>
  <c r="P15" i="19"/>
  <c r="Q105" i="3"/>
  <c r="Q34" i="3"/>
  <c r="Q106" i="3"/>
  <c r="AD38" i="8"/>
  <c r="R229" i="14"/>
  <c r="N202" i="14"/>
  <c r="Q229" i="14"/>
  <c r="R230" i="14"/>
  <c r="M21" i="19"/>
  <c r="P21" i="19"/>
  <c r="N21" i="19"/>
  <c r="H21" i="19"/>
  <c r="O21" i="19"/>
  <c r="R94" i="3"/>
  <c r="R92" i="3"/>
  <c r="R53" i="3"/>
  <c r="R93" i="3"/>
  <c r="O34" i="14"/>
  <c r="O35" i="14"/>
  <c r="O36" i="14"/>
  <c r="P93" i="3"/>
  <c r="P94" i="3"/>
  <c r="P53" i="3"/>
  <c r="P92" i="3"/>
  <c r="R23" i="14"/>
  <c r="Q23" i="14"/>
  <c r="N20" i="18"/>
  <c r="L20" i="18"/>
  <c r="H20" i="18"/>
  <c r="M20" i="18"/>
  <c r="O105" i="3"/>
  <c r="O106" i="3"/>
  <c r="AB154" i="8"/>
  <c r="AB151" i="8"/>
  <c r="E98" i="14"/>
  <c r="Z75" i="8"/>
  <c r="Z80" i="8"/>
  <c r="AD80" i="8"/>
  <c r="O97" i="3"/>
  <c r="O46" i="3"/>
  <c r="AB77" i="14"/>
  <c r="Z70" i="3"/>
  <c r="Z59" i="3"/>
  <c r="AF143" i="8"/>
  <c r="Z57" i="3"/>
  <c r="I67" i="4"/>
  <c r="Y97" i="3"/>
  <c r="Y46" i="3"/>
  <c r="AG108" i="8"/>
  <c r="AG112" i="8"/>
  <c r="AG114" i="8"/>
  <c r="K33" i="4"/>
  <c r="AA20" i="3"/>
  <c r="AA79" i="3"/>
  <c r="AG57" i="8"/>
  <c r="AA23" i="3"/>
  <c r="AE23" i="3"/>
  <c r="O36" i="4"/>
  <c r="K76" i="14"/>
  <c r="K77" i="14"/>
  <c r="L13" i="2"/>
  <c r="N10" i="4"/>
  <c r="P24" i="3"/>
  <c r="P23" i="3"/>
  <c r="AA57" i="8"/>
  <c r="K57" i="4"/>
  <c r="AA82" i="3"/>
  <c r="I56" i="4"/>
  <c r="Y81" i="3"/>
  <c r="M19" i="18"/>
  <c r="N19" i="18"/>
  <c r="H19" i="18"/>
  <c r="L19" i="18"/>
  <c r="AA139" i="8"/>
  <c r="AA143" i="8"/>
  <c r="AA145" i="8"/>
  <c r="AA156" i="8"/>
  <c r="G34" i="4"/>
  <c r="W21" i="3"/>
  <c r="AE148" i="8"/>
  <c r="AE151" i="8"/>
  <c r="AE154" i="8"/>
  <c r="P46" i="14"/>
  <c r="P45" i="14"/>
  <c r="N16" i="18"/>
  <c r="M16" i="18"/>
  <c r="H16" i="18"/>
  <c r="L16" i="18"/>
  <c r="AA114" i="8"/>
  <c r="AG313" i="8"/>
  <c r="AG315" i="8"/>
  <c r="AG322" i="8"/>
  <c r="AG39" i="8"/>
  <c r="AA85" i="3"/>
  <c r="AA87" i="3"/>
  <c r="K62" i="4"/>
  <c r="O70" i="3"/>
  <c r="Z139" i="8"/>
  <c r="Z143" i="8"/>
  <c r="O57" i="3"/>
  <c r="O59" i="3"/>
  <c r="N94" i="3"/>
  <c r="N93" i="3"/>
  <c r="N53" i="3"/>
  <c r="N92" i="3"/>
  <c r="R87" i="3"/>
  <c r="R85" i="3"/>
  <c r="AC313" i="8"/>
  <c r="AC315" i="8"/>
  <c r="AC322" i="8"/>
  <c r="AC39" i="8"/>
  <c r="K72" i="14"/>
  <c r="L10" i="2"/>
  <c r="N8" i="4"/>
  <c r="K55" i="4"/>
  <c r="AA80" i="3"/>
  <c r="AA54" i="8"/>
  <c r="AA253" i="8"/>
  <c r="O34" i="3"/>
  <c r="O38" i="3"/>
  <c r="O104" i="3"/>
  <c r="AD56" i="8"/>
  <c r="X208" i="9"/>
  <c r="M32" i="14"/>
  <c r="X188" i="9"/>
  <c r="X146" i="9"/>
  <c r="G72" i="16"/>
  <c r="G71" i="16"/>
  <c r="AA70" i="3"/>
  <c r="AA59" i="3"/>
  <c r="AA57" i="3"/>
  <c r="G37" i="4"/>
  <c r="W24" i="3"/>
  <c r="K28" i="4"/>
  <c r="AC96" i="8"/>
  <c r="AC89" i="8"/>
  <c r="AC303" i="8"/>
  <c r="AC297" i="8"/>
  <c r="AC294" i="8"/>
  <c r="AC288" i="8"/>
  <c r="AC292" i="8"/>
  <c r="Z313" i="8"/>
  <c r="Z315" i="8"/>
  <c r="Z322" i="8"/>
  <c r="Z39" i="8"/>
  <c r="O85" i="3"/>
  <c r="O87" i="3"/>
  <c r="R62" i="3"/>
  <c r="R65" i="3"/>
  <c r="R68" i="3"/>
  <c r="Y70" i="3"/>
  <c r="Y59" i="3"/>
  <c r="AE143" i="8"/>
  <c r="Y57" i="3"/>
  <c r="N106" i="3"/>
  <c r="N105" i="3"/>
  <c r="I9" i="16"/>
  <c r="Y79" i="3"/>
  <c r="Y20" i="3"/>
  <c r="I33" i="4"/>
  <c r="Y19" i="3"/>
  <c r="I32" i="4"/>
  <c r="AD59" i="8"/>
  <c r="AF148" i="8"/>
  <c r="Z62" i="3"/>
  <c r="Z65" i="3"/>
  <c r="Z68" i="3"/>
  <c r="J46" i="4"/>
  <c r="Z93" i="3"/>
  <c r="I40" i="4"/>
  <c r="I39" i="4"/>
  <c r="AE114" i="8"/>
  <c r="AA103" i="8"/>
  <c r="Q36" i="14"/>
  <c r="AE108" i="8"/>
  <c r="AE112" i="8"/>
  <c r="I71" i="16"/>
  <c r="I72" i="16"/>
  <c r="O45" i="4"/>
  <c r="G45" i="4"/>
  <c r="W92" i="3"/>
  <c r="AF44" i="8"/>
  <c r="Q34" i="14"/>
  <c r="Q35" i="14"/>
  <c r="Q45" i="14"/>
  <c r="Q46" i="14"/>
  <c r="Q93" i="3"/>
  <c r="Q92" i="3"/>
  <c r="Q53" i="3"/>
  <c r="Q94" i="3"/>
  <c r="G32" i="4"/>
  <c r="P36" i="14"/>
  <c r="Y114" i="8"/>
  <c r="AA75" i="8"/>
  <c r="AA80" i="8"/>
  <c r="AA87" i="8"/>
  <c r="AA288" i="8"/>
  <c r="AA294" i="8"/>
  <c r="AA297" i="8"/>
  <c r="AA303" i="8"/>
  <c r="AA89" i="8"/>
  <c r="AA96" i="8"/>
  <c r="Y108" i="8"/>
  <c r="Y112" i="8"/>
  <c r="G39" i="4"/>
  <c r="G40" i="4"/>
  <c r="L15" i="18"/>
  <c r="N15" i="18"/>
  <c r="H15" i="18"/>
  <c r="M15" i="18"/>
  <c r="AA108" i="8"/>
  <c r="AA112" i="8"/>
  <c r="AA115" i="8"/>
  <c r="AA116" i="8"/>
  <c r="P11" i="2"/>
  <c r="E177" i="14"/>
  <c r="I15" i="19"/>
  <c r="I16" i="19"/>
  <c r="N97" i="3"/>
  <c r="N46" i="3"/>
  <c r="R153" i="14"/>
  <c r="Q153" i="14"/>
  <c r="R154" i="14"/>
  <c r="AC44" i="8"/>
  <c r="Z292" i="8"/>
  <c r="J67" i="4"/>
  <c r="Z97" i="3"/>
  <c r="Z38" i="3"/>
  <c r="Z46" i="3"/>
  <c r="F132" i="14"/>
  <c r="N124" i="14"/>
  <c r="N125" i="14"/>
  <c r="N134" i="14"/>
  <c r="N137" i="14"/>
  <c r="N138" i="14"/>
  <c r="Q11" i="2"/>
  <c r="AG188" i="9"/>
  <c r="AG146" i="9"/>
  <c r="S26" i="4"/>
  <c r="AG208" i="9"/>
  <c r="AA19" i="3"/>
  <c r="K32" i="4"/>
  <c r="N34" i="3"/>
  <c r="N38" i="3"/>
  <c r="N104" i="3"/>
  <c r="Y54" i="8"/>
  <c r="Y75" i="8"/>
  <c r="P104" i="3"/>
  <c r="Y139" i="8"/>
  <c r="W53" i="3"/>
  <c r="W93" i="3"/>
  <c r="G46" i="4"/>
  <c r="O46" i="4"/>
  <c r="Y53" i="8"/>
  <c r="Y237" i="8"/>
  <c r="Y238" i="8"/>
  <c r="N24" i="3"/>
  <c r="N23" i="3"/>
  <c r="AB158" i="8"/>
  <c r="AB132" i="8"/>
  <c r="AB124" i="8"/>
  <c r="AD64" i="10"/>
  <c r="Z44" i="8"/>
  <c r="AD44" i="8"/>
  <c r="AD71" i="8"/>
  <c r="AC75" i="8"/>
  <c r="AC80" i="8"/>
  <c r="AC87" i="8"/>
  <c r="AC103" i="8"/>
  <c r="AF158" i="8"/>
  <c r="AF132" i="8"/>
  <c r="AF124" i="8"/>
  <c r="J55" i="4"/>
  <c r="Z80" i="3"/>
  <c r="Q68" i="3"/>
  <c r="Q65" i="3"/>
  <c r="AB148" i="8"/>
  <c r="Q62" i="3"/>
  <c r="AD114" i="8"/>
  <c r="AG302" i="8"/>
  <c r="AG304" i="8"/>
  <c r="AG139" i="8"/>
  <c r="AG143" i="8"/>
  <c r="AG145" i="8"/>
  <c r="AG156" i="8"/>
  <c r="AA27" i="3"/>
  <c r="AE27" i="3"/>
  <c r="O28" i="4"/>
  <c r="O44" i="19"/>
  <c r="I44" i="19"/>
  <c r="P44" i="19"/>
  <c r="Y94" i="3"/>
  <c r="I47" i="4"/>
  <c r="AD108" i="8"/>
  <c r="AD112" i="8"/>
  <c r="H71" i="16"/>
  <c r="H72" i="16"/>
  <c r="AF116" i="8"/>
  <c r="AF115" i="8"/>
  <c r="X54" i="8"/>
  <c r="H34" i="4"/>
  <c r="X21" i="3"/>
  <c r="AB292" i="8"/>
  <c r="R79" i="3"/>
  <c r="R20" i="3"/>
  <c r="AF253" i="8"/>
  <c r="AF54" i="8"/>
  <c r="H28" i="4"/>
  <c r="AE139" i="8"/>
  <c r="Y53" i="3"/>
  <c r="Y93" i="3"/>
  <c r="I46" i="4"/>
  <c r="O55" i="4"/>
  <c r="Y45" i="8"/>
  <c r="W19" i="3"/>
  <c r="W80" i="3"/>
  <c r="G55" i="4"/>
  <c r="J28" i="4"/>
  <c r="N36" i="14"/>
  <c r="N34" i="14"/>
  <c r="N35" i="14"/>
  <c r="N45" i="14"/>
  <c r="N77" i="3"/>
  <c r="N28" i="3"/>
  <c r="X29" i="3"/>
  <c r="H30" i="4"/>
  <c r="AE44" i="8"/>
  <c r="P34" i="14"/>
  <c r="P35" i="14"/>
  <c r="P48" i="14"/>
  <c r="P54" i="14"/>
  <c r="P55" i="14"/>
  <c r="Q70" i="3"/>
  <c r="AB139" i="8"/>
  <c r="AB143" i="8"/>
  <c r="Q57" i="3"/>
  <c r="Q59" i="3"/>
  <c r="Y38" i="3"/>
  <c r="Y104" i="3"/>
  <c r="I50" i="4"/>
  <c r="Y51" i="8"/>
  <c r="Y57" i="8"/>
  <c r="W23" i="3"/>
  <c r="G36" i="4"/>
  <c r="AC54" i="8"/>
  <c r="AC253" i="8"/>
  <c r="D7" i="6"/>
  <c r="X158" i="8"/>
  <c r="X124" i="8"/>
  <c r="X132" i="8"/>
  <c r="O52" i="4"/>
  <c r="G52" i="4"/>
  <c r="Y120" i="8"/>
  <c r="W34" i="3"/>
  <c r="W106" i="3"/>
  <c r="I28" i="4"/>
  <c r="Y34" i="3"/>
  <c r="Y106" i="3"/>
  <c r="I52" i="4"/>
  <c r="Q79" i="3"/>
  <c r="Q20" i="3"/>
  <c r="AD151" i="8"/>
  <c r="H8" i="16"/>
  <c r="X77" i="3"/>
  <c r="Z59" i="8"/>
  <c r="Z61" i="8"/>
  <c r="AD61" i="8"/>
  <c r="X27" i="3"/>
  <c r="X28" i="3"/>
  <c r="H29" i="4"/>
  <c r="AF208" i="9"/>
  <c r="AF188" i="9"/>
  <c r="Q32" i="14"/>
  <c r="AF146" i="9"/>
  <c r="P38" i="3"/>
  <c r="P46" i="3"/>
  <c r="P97" i="3"/>
  <c r="P106" i="3"/>
  <c r="P34" i="3"/>
  <c r="P105" i="3"/>
  <c r="AA34" i="3"/>
  <c r="AA105" i="3"/>
  <c r="K51" i="4"/>
  <c r="J29" i="4"/>
  <c r="Z28" i="3"/>
  <c r="Z77" i="3"/>
  <c r="N89" i="3"/>
  <c r="N88" i="3"/>
  <c r="X59" i="8"/>
  <c r="X61" i="8"/>
  <c r="N27" i="3"/>
  <c r="N29" i="3"/>
  <c r="Q21" i="3"/>
  <c r="Q80" i="3"/>
  <c r="Q82" i="3"/>
  <c r="Q19" i="3"/>
  <c r="Q81" i="3"/>
  <c r="H9" i="16"/>
  <c r="X79" i="3"/>
  <c r="X20" i="3"/>
  <c r="H33" i="4"/>
  <c r="W57" i="3"/>
  <c r="W59" i="3"/>
  <c r="W70" i="3"/>
  <c r="AC53" i="8"/>
  <c r="AC237" i="8"/>
  <c r="AD143" i="8"/>
  <c r="X57" i="3"/>
  <c r="X59" i="3"/>
  <c r="X70" i="3"/>
  <c r="X53" i="8"/>
  <c r="X237" i="8"/>
  <c r="X238" i="8"/>
  <c r="AE59" i="8"/>
  <c r="AE61" i="8"/>
  <c r="Y27" i="3"/>
  <c r="Y29" i="3"/>
  <c r="I30" i="4"/>
  <c r="AC151" i="8"/>
  <c r="AC154" i="8"/>
  <c r="AD154" i="8"/>
  <c r="X44" i="8"/>
  <c r="Y44" i="8"/>
  <c r="Y71" i="8"/>
  <c r="Y64" i="10"/>
  <c r="AE54" i="8"/>
  <c r="AE253" i="8"/>
  <c r="P20" i="19"/>
  <c r="O20" i="19"/>
  <c r="N20" i="19"/>
  <c r="H20" i="19"/>
  <c r="M20" i="19"/>
  <c r="R24" i="14"/>
  <c r="Q24" i="14"/>
  <c r="X51" i="8"/>
  <c r="X57" i="8"/>
  <c r="I21" i="19"/>
  <c r="X256" i="8"/>
  <c r="X148" i="8"/>
  <c r="Y148" i="8"/>
  <c r="W62" i="3"/>
  <c r="W65" i="3"/>
  <c r="W68" i="3"/>
  <c r="R82" i="3"/>
  <c r="R80" i="3"/>
  <c r="R81" i="3"/>
  <c r="AC325" i="8"/>
  <c r="AC327" i="8"/>
  <c r="AC329" i="8"/>
  <c r="AC38" i="8"/>
  <c r="AC42" i="8"/>
  <c r="AC45" i="8"/>
  <c r="R19" i="3"/>
  <c r="R21" i="3"/>
  <c r="Z124" i="8"/>
  <c r="Z132" i="8"/>
  <c r="Z158" i="8"/>
  <c r="AF51" i="8"/>
  <c r="AF59" i="8"/>
  <c r="AF61" i="8"/>
  <c r="Z27" i="3"/>
  <c r="Z29" i="3"/>
  <c r="J30" i="4"/>
  <c r="AE288" i="8"/>
  <c r="AE294" i="8"/>
  <c r="AE297" i="8"/>
  <c r="AE303" i="8"/>
  <c r="AE89" i="8"/>
  <c r="AE96" i="8"/>
  <c r="AF292" i="8"/>
  <c r="AC139" i="8"/>
  <c r="AC143" i="8"/>
  <c r="AC145" i="8"/>
  <c r="AC156" i="8"/>
  <c r="AB54" i="8"/>
  <c r="AB253" i="8"/>
  <c r="Z56" i="8"/>
  <c r="AB114" i="8"/>
  <c r="J40" i="4"/>
  <c r="J39" i="4"/>
  <c r="X105" i="3"/>
  <c r="H51" i="4"/>
  <c r="AA56" i="8"/>
  <c r="AB96" i="8"/>
  <c r="AB288" i="8"/>
  <c r="AB294" i="8"/>
  <c r="AB297" i="8"/>
  <c r="AB303" i="8"/>
  <c r="AB89" i="8"/>
  <c r="Z57" i="8"/>
  <c r="O23" i="3"/>
  <c r="O24" i="3"/>
  <c r="X116" i="8"/>
  <c r="X115" i="8"/>
  <c r="J34" i="4"/>
  <c r="Z21" i="3"/>
  <c r="AE75" i="8"/>
  <c r="AE80" i="8"/>
  <c r="AE87" i="8"/>
  <c r="AE103" i="8"/>
  <c r="AB59" i="14"/>
  <c r="AB61" i="14"/>
  <c r="AB62" i="14"/>
  <c r="AB65" i="14"/>
  <c r="AB72" i="14"/>
  <c r="AB76" i="14"/>
  <c r="Q9" i="14"/>
  <c r="R9" i="14"/>
  <c r="AD252" i="8"/>
  <c r="AD256" i="8"/>
  <c r="AE252" i="8"/>
  <c r="AE256" i="8"/>
  <c r="AF252" i="8"/>
  <c r="AF256" i="8"/>
  <c r="AG252" i="8"/>
  <c r="AG256" i="8"/>
  <c r="AG148" i="8"/>
  <c r="AA62" i="3"/>
  <c r="AA65" i="3"/>
  <c r="AA68" i="3"/>
  <c r="Z54" i="8"/>
  <c r="AC124" i="8"/>
  <c r="AD124" i="8"/>
  <c r="AD132" i="8"/>
  <c r="AD158" i="8"/>
  <c r="M19" i="19"/>
  <c r="N19" i="19"/>
  <c r="O19" i="19"/>
  <c r="H19" i="19"/>
  <c r="P19" i="19"/>
  <c r="AB75" i="8"/>
  <c r="AB80" i="8"/>
  <c r="AB87" i="8"/>
  <c r="AB103" i="8"/>
  <c r="X108" i="8"/>
  <c r="X112" i="8"/>
  <c r="X114" i="8"/>
  <c r="Z116" i="8"/>
  <c r="Z115" i="8"/>
  <c r="AA44" i="8"/>
  <c r="Y96" i="8"/>
  <c r="X96" i="8"/>
  <c r="H36" i="4"/>
  <c r="AE120" i="8"/>
  <c r="AE325" i="8"/>
  <c r="AE327" i="8"/>
  <c r="AE329" i="8"/>
  <c r="AE38" i="8"/>
  <c r="AE42" i="8"/>
  <c r="AE45" i="8"/>
  <c r="AE51" i="8"/>
  <c r="AE57" i="8"/>
  <c r="Q71" i="16"/>
  <c r="Q72" i="16"/>
  <c r="Z51" i="8"/>
  <c r="AD51" i="8"/>
  <c r="AD57" i="8"/>
  <c r="X23" i="3"/>
  <c r="X24" i="3"/>
  <c r="H37" i="4"/>
  <c r="P77" i="3"/>
  <c r="P28" i="3"/>
  <c r="X89" i="8"/>
  <c r="Y89" i="8"/>
  <c r="AF108" i="8"/>
  <c r="AF112" i="8"/>
  <c r="AF114" i="8"/>
  <c r="AC102" i="8"/>
  <c r="AC104" i="8"/>
  <c r="AC120" i="8"/>
  <c r="AD120" i="8"/>
  <c r="X34" i="3"/>
  <c r="X38" i="3"/>
  <c r="X104" i="3"/>
  <c r="H50" i="4"/>
  <c r="AB108" i="8"/>
  <c r="AB112" i="8"/>
  <c r="AB115" i="8"/>
  <c r="AB116" i="8"/>
  <c r="AF325" i="8"/>
  <c r="AF327" i="8"/>
  <c r="AF329" i="8"/>
  <c r="AF38" i="8"/>
  <c r="AF42" i="8"/>
  <c r="AF45" i="8"/>
  <c r="Z19" i="3"/>
  <c r="J32" i="4"/>
  <c r="AA208" i="9"/>
  <c r="AA146" i="9"/>
  <c r="AA188" i="9"/>
  <c r="Z108" i="8"/>
  <c r="Z112" i="8"/>
  <c r="Z114" i="8"/>
  <c r="AG102" i="8"/>
  <c r="AG104" i="8"/>
  <c r="AG120" i="8"/>
  <c r="AG325" i="8"/>
  <c r="AG327" i="8"/>
  <c r="AG329" i="8"/>
  <c r="AG38" i="8"/>
  <c r="AG42" i="8"/>
  <c r="AG45" i="8"/>
  <c r="AG51" i="8"/>
  <c r="AG59" i="8"/>
  <c r="AG61" i="8"/>
  <c r="R32" i="14"/>
  <c r="K59" i="14"/>
  <c r="K61" i="14"/>
  <c r="K62" i="14"/>
  <c r="K65" i="14"/>
  <c r="L9" i="2"/>
  <c r="N7" i="4"/>
  <c r="AD102" i="8"/>
  <c r="AD104" i="8"/>
  <c r="AE102" i="8"/>
  <c r="AE104" i="8"/>
  <c r="AF102" i="8"/>
  <c r="AF104" i="8"/>
  <c r="AF120" i="8"/>
  <c r="Z34" i="3"/>
  <c r="Z105" i="3"/>
  <c r="J51" i="4"/>
  <c r="X139" i="8"/>
  <c r="X143" i="8"/>
  <c r="Y143" i="8"/>
  <c r="Y145" i="8"/>
  <c r="Y156" i="8"/>
  <c r="Y38" i="8"/>
  <c r="H32" i="4"/>
  <c r="Z120" i="8"/>
  <c r="Z325" i="8"/>
  <c r="Z327" i="8"/>
  <c r="Z329" i="8"/>
  <c r="Z38" i="8"/>
  <c r="Z42" i="8"/>
  <c r="Z45" i="8"/>
  <c r="AD45" i="8"/>
  <c r="X19" i="3"/>
  <c r="X80" i="3"/>
  <c r="H55" i="4"/>
  <c r="J45" i="4"/>
  <c r="X288" i="8"/>
  <c r="X294" i="8"/>
  <c r="X297" i="8"/>
  <c r="X303" i="8"/>
  <c r="X304" i="8"/>
  <c r="Z302" i="8"/>
  <c r="Z304" i="8"/>
  <c r="AA302" i="8"/>
  <c r="AA304" i="8"/>
  <c r="AB302" i="8"/>
  <c r="AB304" i="8"/>
  <c r="AC302" i="8"/>
  <c r="AC304" i="8"/>
  <c r="AE302" i="8"/>
  <c r="AE304" i="8"/>
  <c r="AF302" i="8"/>
  <c r="AF304" i="8"/>
  <c r="AF139" i="8"/>
  <c r="Z53" i="3"/>
  <c r="Z92" i="3"/>
  <c r="P29" i="3"/>
  <c r="P88" i="3"/>
  <c r="AA120" i="8"/>
  <c r="AA325" i="8"/>
  <c r="AA327" i="8"/>
  <c r="AA329" i="8"/>
  <c r="AA38" i="8"/>
  <c r="AA42" i="8"/>
  <c r="AA45" i="8"/>
  <c r="AA51" i="8"/>
  <c r="AA59" i="8"/>
  <c r="AA61" i="8"/>
  <c r="P27" i="3"/>
  <c r="P89" i="3"/>
  <c r="Q77" i="3"/>
  <c r="Q28" i="3"/>
  <c r="X253" i="8"/>
  <c r="Y253" i="8"/>
  <c r="Y256" i="8"/>
  <c r="Z252" i="8"/>
  <c r="Z256" i="8"/>
  <c r="AA252" i="8"/>
  <c r="AA256" i="8"/>
  <c r="AB252" i="8"/>
  <c r="AB256" i="8"/>
  <c r="AC252" i="8"/>
  <c r="AC256" i="8"/>
  <c r="AC148" i="8"/>
  <c r="AD148" i="8"/>
  <c r="X62" i="3"/>
  <c r="X65" i="3"/>
  <c r="X68" i="3"/>
  <c r="AB56" i="8"/>
  <c r="Q29" i="3"/>
  <c r="Q89" i="3"/>
  <c r="Q27" i="3"/>
  <c r="Q88" i="3"/>
  <c r="AB188" i="9"/>
  <c r="AB208" i="9"/>
  <c r="X104" i="8"/>
  <c r="X120" i="8"/>
  <c r="X325" i="8"/>
  <c r="X327" i="8"/>
  <c r="X329" i="8"/>
  <c r="X38" i="8"/>
  <c r="X42" i="8"/>
  <c r="X45" i="8"/>
  <c r="X75" i="8"/>
  <c r="X80" i="8"/>
  <c r="X87" i="8"/>
  <c r="X103" i="8"/>
  <c r="Y103" i="8"/>
  <c r="Y104" i="8"/>
  <c r="Z102" i="8"/>
  <c r="Z104" i="8"/>
  <c r="AA102" i="8"/>
  <c r="AA104" i="8"/>
  <c r="AB102" i="8"/>
  <c r="AB104" i="8"/>
  <c r="AB120" i="8"/>
  <c r="AB325" i="8"/>
  <c r="AB327" i="8"/>
  <c r="AB329" i="8"/>
  <c r="AB38" i="8"/>
  <c r="AB42" i="8"/>
  <c r="AB45" i="8"/>
  <c r="AB51" i="8"/>
  <c r="AB59" i="8"/>
  <c r="AB61" i="8"/>
  <c r="AB14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2" authorId="0" shapeId="0" xr:uid="{00000000-0006-0000-0100-000001000000}">
      <text>
        <r>
          <rPr>
            <sz val="11"/>
            <color theme="1"/>
            <rFont val="Calibri"/>
            <family val="2"/>
            <scheme val="minor"/>
          </rPr>
          <t>======
ID#AAABbnJBVyQ
Luke Brennan    (2025-01-14 21:09:38)
Use this dropdown to change which scenario of projections you would like to display in the model</t>
        </r>
      </text>
    </comment>
    <comment ref="F33" authorId="0" shapeId="0" xr:uid="{00000000-0006-0000-0100-000002000000}">
      <text>
        <r>
          <rPr>
            <sz val="11"/>
            <color theme="1"/>
            <rFont val="Calibri"/>
            <family val="2"/>
            <scheme val="minor"/>
          </rPr>
          <t>======
ID#AAABbnJBVz8
Luke Brennan    (2025-01-14 21:09:38)
Model hardcodes this value from most recent year. For an accurate hardcoded projection, look at most recent quarter (MRQ) or management guidance from latest transcript</t>
        </r>
      </text>
    </comment>
    <comment ref="F35" authorId="0" shapeId="0" xr:uid="{00000000-0006-0000-0100-000003000000}">
      <text>
        <r>
          <rPr>
            <sz val="11"/>
            <color theme="1"/>
            <rFont val="Calibri"/>
            <family val="2"/>
            <scheme val="minor"/>
          </rPr>
          <t>======
ID#AAABbnJBV2Y
Luke Brennan    (2025-01-14 21:09:38)
Pulls from most recent quarter (MRQ) in model</t>
        </r>
      </text>
    </comment>
    <comment ref="F37" authorId="0" shapeId="0" xr:uid="{00000000-0006-0000-0100-000004000000}">
      <text>
        <r>
          <rPr>
            <sz val="11"/>
            <color theme="1"/>
            <rFont val="Calibri"/>
            <family val="2"/>
            <scheme val="minor"/>
          </rPr>
          <t>======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300-000001000000}">
      <text>
        <r>
          <rPr>
            <sz val="11"/>
            <color theme="1"/>
            <rFont val="Calibri"/>
            <family val="2"/>
            <scheme val="minor"/>
          </rPr>
          <t>======
ID#AAABbnJBV0c
nlatimer    (2025-01-14 21:09:38)
Based on 2025e net income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600-000001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2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600-000003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78" authorId="0" shapeId="0" xr:uid="{00000000-0006-0000-0600-000004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shapeId="0" xr:uid="{00000000-0006-0000-0600-000005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90" authorId="0" shapeId="0" xr:uid="{00000000-0006-0000-0600-000006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shapeId="0" xr:uid="{00000000-0006-0000-0600-000007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202"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shapeId="0" xr:uid="{00000000-0006-0000-0600-000009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214" authorId="0" shapeId="0" xr:uid="{00000000-0006-0000-0600-00000A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shapeId="0" xr:uid="{00000000-0006-0000-0600-00000B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shapeId="0" xr:uid="{00000000-0006-0000-0600-00000C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26" authorId="0" shapeId="0" xr:uid="{00000000-0006-0000-0600-00000D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shapeId="0" xr:uid="{00000000-0006-0000-0600-00000E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00000000-0006-0000-0700-00000100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9" authorId="0" shapeId="0" xr:uid="{00000000-0006-0000-0700-000002000000}">
      <text>
        <r>
          <rPr>
            <b/>
            <sz val="11"/>
            <rFont val="Calibri"/>
            <family val="2"/>
          </rPr>
          <t xml:space="preserve">EDGAR Mapper:
</t>
        </r>
        <r>
          <rPr>
            <sz val="11"/>
            <color theme="1"/>
            <rFont val="Calibri"/>
            <family val="2"/>
            <scheme val="minor"/>
          </rPr>
          <t>Mapped to SEC cost of revenue / cost of sales. Quarterly value was derived from Cost of Revenue less 1Q24, 2Q24, 3Q24. Mapped to SEC cost of revenue / cost of sales. Quarterly value was derived from Cost of Revenue less 1Q25, 2Q25, 3Q25.</t>
        </r>
      </text>
    </comment>
    <comment ref="F29" authorId="0" shapeId="0" xr:uid="{00000000-0006-0000-0700-000003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Model!29 Cost of Goods Sold
Mapping type: direct
Concepts used: CostOfRevenue = 4803.6 mm
Unit conversion: raw USD to $mm
Sign: inverted because model expects this row as negative
Confidence: high
Value written: -4803.625</t>
        </r>
      </text>
    </comment>
    <comment ref="G29" authorId="0" shapeId="0" xr:uid="{00000000-0006-0000-0700-000004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Model!29 Cost of Goods Sold
Mapping type: direct
Concepts used: CostOfRevenue = 4673.5 mm
Unit conversion: raw USD to $mm
Sign: inverted because model expects this row as negative
Confidence: high
Value written: -4673.47</t>
        </r>
      </text>
    </comment>
    <comment ref="H29" authorId="0" shapeId="0" xr:uid="{00000000-0006-0000-0700-000005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Model!29 Cost of Goods Sold
Mapping type: direct
Concepts used: CostOfRevenue = 4930.8 mm
Unit conversion: raw USD to $mm
Sign: inverted because model expects this row as negative
Confidence: high
Value written: -4930.788</t>
        </r>
      </text>
    </comment>
    <comment ref="I29" authorId="0" shapeId="0" xr:uid="{00000000-0006-0000-0700-000006000000}">
      <text>
        <r>
          <rPr>
            <b/>
            <sz val="11"/>
            <rFont val="Calibri"/>
            <family val="2"/>
          </rPr>
          <t xml:space="preserve">EDGAR Mapper:
</t>
        </r>
        <r>
          <rPr>
            <sz val="11"/>
            <color theme="1"/>
            <rFont val="Calibri"/>
            <family val="2"/>
            <scheme val="minor"/>
          </rPr>
          <t>EDGAR mapping:
Source: SEC filing
Period: 4Q23
Model row: Model!29 Cost of Goods Sold
Mapping type: direct
Concepts used: CostOfRevenue = 5307.5 mm
Unit conversion: raw USD to $mm
Sign: inverted because model expects this row as negative
Confidence: high
Value written: -5307.485
Notes: Mapped to SEC cost of revenue / cost of sales. Quarterly value was derived from Cost of Revenue less 1Q23, 2Q23, 3Q23.</t>
        </r>
      </text>
    </comment>
    <comment ref="K29" authorId="0" shapeId="0" xr:uid="{00000000-0006-0000-0700-000007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Model!29 Cost of Goods Sold
Mapping type: direct
Concepts used: CostOfRevenue = 4977.1 mm
Unit conversion: raw USD to $mm
Sign: inverted because model expects this row as negative
Confidence: high
Value written: -4977.073</t>
        </r>
      </text>
    </comment>
    <comment ref="L29" authorId="0" shapeId="0" xr:uid="{00000000-0006-0000-0700-000008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Model!29 Cost of Goods Sold
Mapping type: direct
Concepts used: CostOfRevenue = 5174.1 mm
Unit conversion: raw USD to $mm
Sign: inverted because model expects this row as negative
Confidence: high
Value written: -5174.143</t>
        </r>
      </text>
    </comment>
    <comment ref="M29" authorId="0" shapeId="0" xr:uid="{00000000-0006-0000-0700-000009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Model!29 Cost of Goods Sold
Mapping type: direct
Concepts used: CostOfRevenue = 5119.9 mm
Unit conversion: raw USD to $mm
Sign: inverted because model expects this row as negative
Confidence: high
Value written: -5119.884</t>
        </r>
      </text>
    </comment>
    <comment ref="N29" authorId="0" shapeId="0" xr:uid="{00000000-0006-0000-0700-00000A000000}">
      <text>
        <r>
          <rPr>
            <b/>
            <sz val="11"/>
            <rFont val="Calibri"/>
            <family val="2"/>
          </rPr>
          <t xml:space="preserve">EDGAR Mapper:
</t>
        </r>
        <r>
          <rPr>
            <sz val="11"/>
            <color theme="1"/>
            <rFont val="Calibri"/>
            <family val="2"/>
            <scheme val="minor"/>
          </rPr>
          <t>EDGAR mapping:
Source: SEC filing
Period: 4Q24
Model row: Model!29 Cost of Goods Sold
Mapping type: direct
Concepts used: CostOfRevenue = 5767.4 mm
Unit conversion: raw USD to $mm
Sign: inverted because model expects this row as negative
Confidence: high
Value written: -5767.364
Notes: Mapped to SEC cost of revenue / cost of sales. Quarterly value was derived from Cost of Revenue less 1Q24, 2Q24, 3Q24.</t>
        </r>
      </text>
    </comment>
    <comment ref="P29" authorId="0" shapeId="0" xr:uid="{00000000-0006-0000-0700-00000B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Model!29 Cost of Goods Sold
Mapping type: direct
Concepts used: CostOfRevenue = 5263.1 mm
Unit conversion: raw USD to $mm
Sign: inverted because model expects this row as negative
Confidence: high
Value written: -5263.147</t>
        </r>
      </text>
    </comment>
    <comment ref="Q29" authorId="0" shapeId="0" xr:uid="{00000000-0006-0000-0700-00000C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Model!29 Cost of Goods Sold
Mapping type: direct
Concepts used: CostOfRevenue = 5325.3 mm
Unit conversion: raw USD to $mm
Sign: inverted because model expects this row as negative
Confidence: high
Value written: -5325.311</t>
        </r>
      </text>
    </comment>
    <comment ref="R29" authorId="0" shapeId="0" xr:uid="{00000000-0006-0000-0700-00000D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Model!29 Cost of Goods Sold
Mapping type: direct
Concepts used: CostOfRevenue = 6164.3 mm
Unit conversion: raw USD to $mm
Sign: inverted because model expects this row as negative
Confidence: high
Value written: -6164.25</t>
        </r>
      </text>
    </comment>
    <comment ref="S29" authorId="0" shapeId="0" xr:uid="{00000000-0006-0000-0700-00000E000000}">
      <text>
        <r>
          <rPr>
            <b/>
            <sz val="11"/>
            <rFont val="Calibri"/>
            <family val="2"/>
          </rPr>
          <t xml:space="preserve">EDGAR Mapper:
</t>
        </r>
        <r>
          <rPr>
            <sz val="11"/>
            <color theme="1"/>
            <rFont val="Calibri"/>
            <family val="2"/>
            <scheme val="minor"/>
          </rPr>
          <t>EDGAR mapping:
Source: SEC filing
Period: 4Q25
Model row: Model!29 Cost of Goods Sold
Mapping type: direct
Concepts used: CostOfRevenue = 6522.6 mm
Unit conversion: raw USD to $mm
Sign: inverted because model expects this row as negative
Confidence: high
Value written: -6522.621
Notes: Mapped to SEC cost of revenue / cost of sales. Quarterly value was derived from Cost of Revenue less 1Q25, 2Q25, 3Q25.</t>
        </r>
      </text>
    </comment>
    <comment ref="U29" authorId="0" shapeId="0" xr:uid="{00000000-0006-0000-0700-00000F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Model!29 Cost of Goods Sold
Mapping type: direct
Concepts used: CostOfRevenue = 5888.2 mm
Unit conversion: raw USD to $mm
Sign: inverted because model expects this row as negative
Confidence: high
Value written: -5888.238</t>
        </r>
      </text>
    </comment>
    <comment ref="C32" authorId="0" shapeId="0" xr:uid="{00000000-0006-0000-0700-000010000000}">
      <text>
        <r>
          <rPr>
            <b/>
            <sz val="11"/>
            <rFont val="Calibri"/>
            <family val="2"/>
          </rPr>
          <t xml:space="preserve">EDGAR Mapper:
</t>
        </r>
        <r>
          <rPr>
            <sz val="11"/>
            <color theme="1"/>
            <rFont val="Calibri"/>
            <family val="2"/>
            <scheme val="minor"/>
          </rPr>
          <t>Quarterly value was derived from Selling and Marketing Expense less 1Q24, 2Q24, 3Q24. Quarterly value was derived from Selling and Marketing Expense less 1Q25, 2Q25, 3Q25.</t>
        </r>
      </text>
    </comment>
    <comment ref="F32" authorId="0" shapeId="0" xr:uid="{00000000-0006-0000-0700-000011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Model!32 Selling, General &amp; Administration (SG&amp;A)
Mapping type: direct
Concepts used: GeneralAndAdministrativeExpense = 400.9 mm
Unit conversion: raw USD to $mm
Sign: inverted because model expects this row as negative
Confidence: high
Value written: -400.924</t>
        </r>
      </text>
    </comment>
    <comment ref="G32" authorId="0" shapeId="0" xr:uid="{00000000-0006-0000-0700-000012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Model!32 Selling, General &amp; Administration (SG&amp;A)
Mapping type: direct
Concepts used: GeneralAndAdministrativeExpense = 401.5 mm
Unit conversion: raw USD to $mm
Sign: inverted because model expects this row as negative
Confidence: high
Value written: -401.497</t>
        </r>
      </text>
    </comment>
    <comment ref="H32" authorId="0" shapeId="0" xr:uid="{00000000-0006-0000-0700-000013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Model!32 Selling, General &amp; Administration (SG&amp;A)
Mapping type: direct
Concepts used: GeneralAndAdministrativeExpense = 478.6 mm
Unit conversion: raw USD to $mm
Sign: inverted because model expects this row as negative
Confidence: high
Value written: -478.591</t>
        </r>
      </text>
    </comment>
    <comment ref="K32" authorId="0" shapeId="0" xr:uid="{00000000-0006-0000-0700-000014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Model!32 Selling, General &amp; Administration (SG&amp;A)
Mapping type: direct
Concepts used: SellingAndMarketingExpense = 654.3 mm
Unit conversion: raw USD to $mm
Sign: inverted because model expects this row as negative
Confidence: high
Value written: -654.34</t>
        </r>
      </text>
    </comment>
    <comment ref="L32" authorId="0" shapeId="0" xr:uid="{00000000-0006-0000-0700-000015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Model!32 Selling, General &amp; Administration (SG&amp;A)
Mapping type: direct
Concepts used: SellingAndMarketingExpense = 644.1 mm
Unit conversion: raw USD to $mm
Sign: inverted because model expects this row as negative
Confidence: high
Value written: -644.084</t>
        </r>
      </text>
    </comment>
    <comment ref="M32" authorId="0" shapeId="0" xr:uid="{00000000-0006-0000-0700-000016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Model!32 Selling, General &amp; Administration (SG&amp;A)
Mapping type: direct
Concepts used: SellingAndMarketingExpense = 642.9 mm
Unit conversion: raw USD to $mm
Sign: inverted because model expects this row as negative
Confidence: high
Value written: -642.926</t>
        </r>
      </text>
    </comment>
    <comment ref="N32" authorId="0" shapeId="0" xr:uid="{00000000-0006-0000-0700-000017000000}">
      <text>
        <r>
          <rPr>
            <b/>
            <sz val="11"/>
            <rFont val="Calibri"/>
            <family val="2"/>
          </rPr>
          <t xml:space="preserve">EDGAR Mapper:
</t>
        </r>
        <r>
          <rPr>
            <sz val="11"/>
            <color theme="1"/>
            <rFont val="Calibri"/>
            <family val="2"/>
            <scheme val="minor"/>
          </rPr>
          <t>EDGAR mapping:
Source: SEC filing
Period: 4Q24
Model row: Model!32 Selling, General &amp; Administration (SG&amp;A)
Mapping type: direct
Concepts used: SellingAndMarketingExpense = 976.2 mm
Unit conversion: raw USD to $mm
Sign: inverted because model expects this row as negative
Confidence: high
Value written: -976.204
Notes: Quarterly value was derived from Selling and Marketing Expense less 1Q24, 2Q24, 3Q24.</t>
        </r>
      </text>
    </comment>
    <comment ref="P32" authorId="0" shapeId="0" xr:uid="{00000000-0006-0000-0700-000018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Model!32 Selling, General &amp; Administration (SG&amp;A)
Mapping type: direct
Concepts used: SellingAndMarketingExpense = 688.4 mm
Unit conversion: raw USD to $mm
Sign: inverted because model expects this row as negative
Confidence: high
Value written: -688.37</t>
        </r>
      </text>
    </comment>
    <comment ref="Q32" authorId="0" shapeId="0" xr:uid="{00000000-0006-0000-0700-000019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Model!32 Selling, General &amp; Administration (SG&amp;A)
Mapping type: direct
Concepts used: SellingAndMarketingExpense = 713.3 mm
Unit conversion: raw USD to $mm
Sign: inverted because model expects this row as negative
Confidence: high
Value written: -713.265</t>
        </r>
      </text>
    </comment>
    <comment ref="R32" authorId="0" shapeId="0" xr:uid="{00000000-0006-0000-0700-00001A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Model!32 Selling, General &amp; Administration (SG&amp;A)
Mapping type: direct
Concepts used: SellingAndMarketingExpense = 786.3 mm
Unit conversion: raw USD to $mm
Sign: inverted because model expects this row as negative
Confidence: high
Value written: -786.295</t>
        </r>
      </text>
    </comment>
    <comment ref="S32" authorId="0" shapeId="0" xr:uid="{00000000-0006-0000-0700-00001B000000}">
      <text>
        <r>
          <rPr>
            <b/>
            <sz val="11"/>
            <rFont val="Calibri"/>
            <family val="2"/>
          </rPr>
          <t xml:space="preserve">EDGAR Mapper:
</t>
        </r>
        <r>
          <rPr>
            <sz val="11"/>
            <color theme="1"/>
            <rFont val="Calibri"/>
            <family val="2"/>
            <scheme val="minor"/>
          </rPr>
          <t>EDGAR mapping:
Source: SEC filing
Period: 4Q25
Model row: Model!32 Selling, General &amp; Administration (SG&amp;A)
Mapping type: direct
Concepts used: SellingAndMarketingExpense = 1113.4 mm
Unit conversion: raw USD to $mm
Sign: inverted because model expects this row as negative
Confidence: high
Value written: -1113.376
Notes: Quarterly value was derived from Selling and Marketing Expense less 1Q25, 2Q25, 3Q25.</t>
        </r>
      </text>
    </comment>
    <comment ref="U32" authorId="0" shapeId="0" xr:uid="{00000000-0006-0000-0700-00001C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Model!32 Selling, General &amp; Administration (SG&amp;A)
Mapping type: direct
Concepts used: SellingAndMarketingExpense = 842.2 mm
Unit conversion: raw USD to $mm
Sign: inverted because model expects this row as negative
Confidence: high
Value written: -842.217</t>
        </r>
      </text>
    </comment>
    <comment ref="C33" authorId="0" shapeId="0" xr:uid="{00000000-0006-0000-0700-00001D000000}">
      <text>
        <r>
          <rPr>
            <b/>
            <sz val="11"/>
            <rFont val="Calibri"/>
            <family val="2"/>
          </rPr>
          <t xml:space="preserve">EDGAR Mapper:
</t>
        </r>
        <r>
          <rPr>
            <sz val="11"/>
            <color theme="1"/>
            <rFont val="Calibri"/>
            <family val="2"/>
            <scheme val="minor"/>
          </rPr>
          <t>Quarterly value was derived from Research and Development Expense less 1Q23, 2Q23, 3Q23. Quarterly value was derived from Research and Development Expense less 1Q24, 2Q24, 3Q24. Quarterly value was derived from Research and Development Expense less 1Q25, 2Q25, 3Q25.</t>
        </r>
      </text>
    </comment>
    <comment ref="F33" authorId="0" shapeId="0" xr:uid="{00000000-0006-0000-0700-00001E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Model!33 Research &amp; Development (R&amp;D)
Mapping type: direct
Concepts used: ResearchAndDevelopmentExpense = 687.3 mm
Unit conversion: raw USD to $mm
Sign: inverted because model expects this row as negative
Confidence: high
Value written: -687.275</t>
        </r>
      </text>
    </comment>
    <comment ref="G33" authorId="0" shapeId="0" xr:uid="{00000000-0006-0000-0700-00001F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Model!33 Research &amp; Development (R&amp;D)
Mapping type: direct
Concepts used: ResearchAndDevelopmentExpense = 658 mm
Unit conversion: raw USD to $mm
Sign: inverted because model expects this row as negative
Confidence: high
Value written: -657.983</t>
        </r>
      </text>
    </comment>
    <comment ref="H33" authorId="0" shapeId="0" xr:uid="{00000000-0006-0000-0700-000020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Model!33 Research &amp; Development (R&amp;D)
Mapping type: direct
Concepts used: ResearchAndDevelopmentExpense = 657.2 mm
Unit conversion: raw USD to $mm
Sign: inverted because model expects this row as negative
Confidence: high
Value written: -657.159</t>
        </r>
      </text>
    </comment>
    <comment ref="I33" authorId="0" shapeId="0" xr:uid="{00000000-0006-0000-0700-000021000000}">
      <text>
        <r>
          <rPr>
            <b/>
            <sz val="11"/>
            <rFont val="Calibri"/>
            <family val="2"/>
          </rPr>
          <t xml:space="preserve">EDGAR Mapper:
</t>
        </r>
        <r>
          <rPr>
            <sz val="11"/>
            <color theme="1"/>
            <rFont val="Calibri"/>
            <family val="2"/>
            <scheme val="minor"/>
          </rPr>
          <t>EDGAR mapping:
Source: SEC filing
Period: 4Q23
Model row: Model!33 Research &amp; Development (R&amp;D)
Mapping type: direct
Concepts used: ResearchAndDevelopmentExpense = 673.3 mm
Unit conversion: raw USD to $mm
Sign: inverted because model expects this row as negative
Confidence: high
Value written: -673.341
Notes: Quarterly value was derived from Research and Development Expense less 1Q23, 2Q23, 3Q23.</t>
        </r>
      </text>
    </comment>
    <comment ref="K33" authorId="0" shapeId="0" xr:uid="{00000000-0006-0000-0700-000022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Model!33 Research &amp; Development (R&amp;D)
Mapping type: direct
Concepts used: ResearchAndDevelopmentExpense = 702.5 mm
Unit conversion: raw USD to $mm
Sign: inverted because model expects this row as negative
Confidence: high
Value written: -702.473</t>
        </r>
      </text>
    </comment>
    <comment ref="L33" authorId="0" shapeId="0" xr:uid="{00000000-0006-0000-0700-000023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Model!33 Research &amp; Development (R&amp;D)
Mapping type: direct
Concepts used: ResearchAndDevelopmentExpense = 711.3 mm
Unit conversion: raw USD to $mm
Sign: inverted because model expects this row as negative
Confidence: high
Value written: -711.254</t>
        </r>
      </text>
    </comment>
    <comment ref="M33" authorId="0" shapeId="0" xr:uid="{00000000-0006-0000-0700-000024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Model!33 Research &amp; Development (R&amp;D)
Mapping type: direct
Concepts used: ResearchAndDevelopmentExpense = 735.1 mm
Unit conversion: raw USD to $mm
Sign: inverted because model expects this row as negative
Confidence: high
Value written: -735.063</t>
        </r>
      </text>
    </comment>
    <comment ref="N33" authorId="0" shapeId="0" xr:uid="{00000000-0006-0000-0700-000025000000}">
      <text>
        <r>
          <rPr>
            <b/>
            <sz val="11"/>
            <rFont val="Calibri"/>
            <family val="2"/>
          </rPr>
          <t xml:space="preserve">EDGAR Mapper:
</t>
        </r>
        <r>
          <rPr>
            <sz val="11"/>
            <color theme="1"/>
            <rFont val="Calibri"/>
            <family val="2"/>
            <scheme val="minor"/>
          </rPr>
          <t>EDGAR mapping:
Source: SEC filing
Period: 4Q24
Model row: Model!33 Research &amp; Development (R&amp;D)
Mapping type: direct
Concepts used: ResearchAndDevelopmentExpense = 776.5 mm
Unit conversion: raw USD to $mm
Sign: inverted because model expects this row as negative
Confidence: high
Value written: -776.505
Notes: Quarterly value was derived from Research and Development Expense less 1Q24, 2Q24, 3Q24.</t>
        </r>
      </text>
    </comment>
    <comment ref="P33" authorId="0" shapeId="0" xr:uid="{00000000-0006-0000-0700-000026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Model!33 Research &amp; Development (R&amp;D)
Mapping type: direct
Concepts used: ResearchAndDevelopmentExpense = 822.8 mm
Unit conversion: raw USD to $mm
Sign: inverted because model expects this row as negative
Confidence: high
Value written: -822.823</t>
        </r>
      </text>
    </comment>
    <comment ref="Q33" authorId="0" shapeId="0" xr:uid="{00000000-0006-0000-0700-000027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Model!33 Research &amp; Development (R&amp;D)
Mapping type: direct
Concepts used: ResearchAndDevelopmentExpense = 824.7 mm
Unit conversion: raw USD to $mm
Sign: inverted because model expects this row as negative
Confidence: high
Value written: -824.683</t>
        </r>
      </text>
    </comment>
    <comment ref="R33" authorId="0" shapeId="0" xr:uid="{00000000-0006-0000-0700-000028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Model!33 Research &amp; Development (R&amp;D)
Mapping type: direct
Concepts used: ResearchAndDevelopmentExpense = 853.6 mm
Unit conversion: raw USD to $mm
Sign: inverted because model expects this row as negative
Confidence: high
Value written: -853.584</t>
        </r>
      </text>
    </comment>
    <comment ref="S33" authorId="0" shapeId="0" xr:uid="{00000000-0006-0000-0700-000029000000}">
      <text>
        <r>
          <rPr>
            <b/>
            <sz val="11"/>
            <rFont val="Calibri"/>
            <family val="2"/>
          </rPr>
          <t xml:space="preserve">EDGAR Mapper:
</t>
        </r>
        <r>
          <rPr>
            <sz val="11"/>
            <color theme="1"/>
            <rFont val="Calibri"/>
            <family val="2"/>
            <scheme val="minor"/>
          </rPr>
          <t>EDGAR mapping:
Source: SEC filing
Period: 4Q25
Model row: Model!33 Research &amp; Development (R&amp;D)
Mapping type: direct
Concepts used: ResearchAndDevelopmentExpense = 890.3 mm
Unit conversion: raw USD to $mm
Sign: inverted because model expects this row as negative
Confidence: high
Value written: -890.3
Notes: Quarterly value was derived from Research and Development Expense less 1Q25, 2Q25, 3Q25.</t>
        </r>
      </text>
    </comment>
    <comment ref="U33" authorId="0" shapeId="0" xr:uid="{00000000-0006-0000-0700-00002A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Model!33 Research &amp; Development (R&amp;D)
Mapping type: direct
Concepts used: ResearchAndDevelopmentExpense = 959.7 mm
Unit conversion: raw USD to $mm
Sign: inverted because model expects this row as negative
Confidence: high
Value written: -959.696</t>
        </r>
      </text>
    </comment>
    <comment ref="C34" authorId="0" shapeId="0" xr:uid="{00000000-0006-0000-0700-00002B000000}">
      <text>
        <r>
          <rPr>
            <b/>
            <sz val="11"/>
            <rFont val="Calibri"/>
            <family val="2"/>
          </rPr>
          <t xml:space="preserve">EDGAR Mapper:
</t>
        </r>
        <r>
          <rPr>
            <sz val="11"/>
            <color theme="1"/>
            <rFont val="Calibri"/>
            <family val="2"/>
            <scheme val="minor"/>
          </rPr>
          <t>======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Quarterly value was derived from Depreciation, Depletion and Amortization less 1Q24, 2Q24, 3Q24. Quarterly value was derived from Depreciation, Depletion and Amortization less 1Q25, 2Q25, 3Q25.</t>
        </r>
      </text>
    </comment>
    <comment ref="F34" authorId="0" shapeId="0" xr:uid="{00000000-0006-0000-0700-00002C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Model!34 Depreciation &amp; Amortization
Mapping type: direct
Concepts used: DepreciationDepletionAndAmortization = 90.3 mm
Unit conversion: raw USD to $mm
Sign: inverted because model expects this row as negative
Confidence: high
Value written: -90.335</t>
        </r>
      </text>
    </comment>
    <comment ref="G34" authorId="0" shapeId="0" xr:uid="{00000000-0006-0000-0700-00002D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Model!34 Depreciation &amp; Amortization
Mapping type: direct
Concepts used: DepreciationDepletionAndAmortization = 89.4 mm
Unit conversion: raw USD to $mm
Sign: inverted because model expects this row as negative
Confidence: high
Value written: -89.385</t>
        </r>
      </text>
    </comment>
    <comment ref="H34" authorId="0" shapeId="0" xr:uid="{00000000-0006-0000-0700-00002E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Model!34 Depreciation &amp; Amortization
Mapping type: direct
Concepts used: DepreciationDepletionAndAmortization = 90.7 mm
Unit conversion: raw USD to $mm
Sign: inverted because model expects this row as negative
Confidence: high
Value written: -90.66</t>
        </r>
      </text>
    </comment>
    <comment ref="I34" authorId="0" shapeId="0" xr:uid="{00000000-0006-0000-0700-00002F000000}">
      <text>
        <r>
          <rPr>
            <b/>
            <sz val="11"/>
            <rFont val="Calibri"/>
            <family val="2"/>
          </rPr>
          <t xml:space="preserve">EDGAR Mapper:
</t>
        </r>
        <r>
          <rPr>
            <sz val="11"/>
            <color theme="1"/>
            <rFont val="Calibri"/>
            <family val="2"/>
            <scheme val="minor"/>
          </rPr>
          <t>EDGAR mapping:
Source: SEC filing
Period: 4Q23
Model row: Model!34 Depreciation &amp; Amortization
Mapping type: direct
Concepts used: DepreciationDepletionAndAmortization = 86.6 mm
Unit conversion: raw USD to $mm
Sign: inverted because model expects this row as negative
Confidence: high
Value written: -86.567
Notes: Quarterly value was derived from Depreciation, Depletion and Amortization less 1Q23, 2Q23, 3Q23.</t>
        </r>
      </text>
    </comment>
    <comment ref="K34" authorId="0" shapeId="0" xr:uid="{00000000-0006-0000-0700-000030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Model!34 Depreciation &amp; Amortization
Mapping type: direct
Concepts used: DepreciationDepletionAndAmortization = 87.2 mm
Unit conversion: raw USD to $mm
Sign: inverted because model expects this row as negative
Confidence: high
Value written: -87.234</t>
        </r>
      </text>
    </comment>
    <comment ref="L34" authorId="0" shapeId="0" xr:uid="{00000000-0006-0000-0700-000031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Model!34 Depreciation &amp; Amortization
Mapping type: direct
Concepts used: DepreciationDepletionAndAmortization = 81.2 mm
Unit conversion: raw USD to $mm
Sign: inverted because model expects this row as negative
Confidence: high
Value written: -81.227</t>
        </r>
      </text>
    </comment>
    <comment ref="M34" authorId="0" shapeId="0" xr:uid="{00000000-0006-0000-0700-000032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Model!34 Depreciation &amp; Amortization
Mapping type: direct
Concepts used: DepreciationDepletionAndAmortization = 80.9 mm
Unit conversion: raw USD to $mm
Sign: inverted because model expects this row as negative
Confidence: high
Value written: -80.914</t>
        </r>
      </text>
    </comment>
    <comment ref="N34" authorId="0" shapeId="0" xr:uid="{00000000-0006-0000-0700-000033000000}">
      <text>
        <r>
          <rPr>
            <b/>
            <sz val="11"/>
            <rFont val="Calibri"/>
            <family val="2"/>
          </rPr>
          <t xml:space="preserve">EDGAR Mapper:
</t>
        </r>
        <r>
          <rPr>
            <sz val="11"/>
            <color theme="1"/>
            <rFont val="Calibri"/>
            <family val="2"/>
            <scheme val="minor"/>
          </rPr>
          <t>EDGAR mapping:
Source: SEC filing
Period: 4Q24
Model row: Model!34 Depreciation &amp; Amortization
Mapping type: direct
Concepts used: DepreciationDepletionAndAmortization = 79.5 mm
Unit conversion: raw USD to $mm
Sign: inverted because model expects this row as negative
Confidence: high
Value written: -79.539
Notes: Quarterly value was derived from Depreciation, Depletion and Amortization less 1Q24, 2Q24, 3Q24.</t>
        </r>
      </text>
    </comment>
    <comment ref="P34" authorId="0" shapeId="0" xr:uid="{00000000-0006-0000-0700-000034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Model!34 Depreciation &amp; Amortization
Mapping type: direct
Concepts used: DepreciationDepletionAndAmortization = 80.1 mm
Unit conversion: raw USD to $mm
Sign: inverted because model expects this row as negative
Confidence: high
Value written: -80.067</t>
        </r>
      </text>
    </comment>
    <comment ref="Q34" authorId="0" shapeId="0" xr:uid="{00000000-0006-0000-0700-000035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Model!34 Depreciation &amp; Amortization
Mapping type: direct
Concepts used: DepreciationDepletionAndAmortization = 80 mm
Unit conversion: raw USD to $mm
Sign: inverted because model expects this row as negative
Confidence: high
Value written: -80.013</t>
        </r>
      </text>
    </comment>
    <comment ref="R34" authorId="0" shapeId="0" xr:uid="{00000000-0006-0000-0700-000036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Model!34 Depreciation &amp; Amortization
Mapping type: direct
Concepts used: DepreciationDepletionAndAmortization = 87.3 mm
Unit conversion: raw USD to $mm
Sign: inverted because model expects this row as negative
Confidence: high
Value written: -87.326</t>
        </r>
      </text>
    </comment>
    <comment ref="S34" authorId="0" shapeId="0" xr:uid="{00000000-0006-0000-0700-000037000000}">
      <text>
        <r>
          <rPr>
            <b/>
            <sz val="11"/>
            <rFont val="Calibri"/>
            <family val="2"/>
          </rPr>
          <t xml:space="preserve">EDGAR Mapper:
</t>
        </r>
        <r>
          <rPr>
            <sz val="11"/>
            <color theme="1"/>
            <rFont val="Calibri"/>
            <family val="2"/>
            <scheme val="minor"/>
          </rPr>
          <t>EDGAR mapping:
Source: SEC filing
Period: 4Q25
Model row: Model!34 Depreciation &amp; Amortization
Mapping type: direct
Concepts used: DepreciationDepletionAndAmortization = 86 mm
Unit conversion: raw USD to $mm
Sign: inverted because model expects this row as negative
Confidence: high
Value written: -85.983
Notes: Quarterly value was derived from Depreciation, Depletion and Amortization less 1Q25, 2Q25, 3Q25.</t>
        </r>
      </text>
    </comment>
    <comment ref="U34" authorId="0" shapeId="0" xr:uid="{00000000-0006-0000-0700-000038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Model!34 Depreciation &amp; Amortization
Mapping type: direct
Concepts used: DepreciationDepletionAndAmortization = 98.6 mm
Unit conversion: raw USD to $mm
Sign: inverted because model expects this row as negative
Confidence: high
Value written: -98.575</t>
        </r>
      </text>
    </comment>
    <comment ref="C35" authorId="0" shapeId="0" xr:uid="{00000000-0006-0000-0700-000039000000}">
      <text>
        <r>
          <rPr>
            <b/>
            <sz val="11"/>
            <rFont val="Calibri"/>
            <family val="2"/>
          </rPr>
          <t xml:space="preserve">EDGAR Mapper:
</t>
        </r>
        <r>
          <rPr>
            <sz val="11"/>
            <color theme="1"/>
            <rFont val="Calibri"/>
            <family val="2"/>
            <scheme val="minor"/>
          </rPr>
          <t>======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1Q23, 2Q23, 3Q23. 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1Q24, 2Q24, 3Q24. 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1Q25, 2Q25, 3Q25.</t>
        </r>
      </text>
    </comment>
    <comment ref="F35" authorId="0" shapeId="0" xr:uid="{00000000-0006-0000-0700-00003A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Model!35 Other Operating Income (Expense)
Mapping type: direct
Concepts used: NonoperatingIncomeExpense = -71.2 mm
Unit conversion: raw USD to $mm
Sign: inverted because model expects this row as negative
Confidence: medium
Value written: -71.204
EDGAR Mapper:
Calculated as the residual needed for the Income Statement EBIT formula to tie to EDGAR pre-tax operating income.</t>
        </r>
      </text>
    </comment>
    <comment ref="G35" authorId="0" shapeId="0" xr:uid="{00000000-0006-0000-0700-00003B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Model!35 Other Operating Income (Expense)
Mapping type: direct
Concepts used: NonoperatingIncomeExpense = 27 mm
Unit conversion: raw USD to $mm
Sign: inverted because model expects this row as negative
Confidence: medium
Value written: -26.961
EDGAR Mapper:
Calculated as the residual needed for the Income Statement EBIT formula to tie to EDGAR pre-tax operating income.</t>
        </r>
      </text>
    </comment>
    <comment ref="H35" authorId="0" shapeId="0" xr:uid="{00000000-0006-0000-0700-00003C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Model!35 Other Operating Income (Expense)
Mapping type: direct
Concepts used: NonoperatingIncomeExpense = 168.2 mm
Unit conversion: raw USD to $mm
Sign: inverted because model expects this row as negative
Confidence: medium
Value written: -168.218
EDGAR Mapper:
Calculated as the residual needed for the Income Statement EBIT formula to tie to EDGAR pre-tax operating income.</t>
        </r>
      </text>
    </comment>
    <comment ref="I35" authorId="0" shapeId="0" xr:uid="{00000000-0006-0000-0700-00003D000000}">
      <text>
        <r>
          <rPr>
            <b/>
            <sz val="11"/>
            <rFont val="Calibri"/>
            <family val="2"/>
          </rPr>
          <t xml:space="preserve">EDGAR Mapper:
</t>
        </r>
        <r>
          <rPr>
            <sz val="11"/>
            <color theme="1"/>
            <rFont val="Calibri"/>
            <family val="2"/>
            <scheme val="minor"/>
          </rPr>
          <t>EDGAR mapping:
Source: SEC filing
Period: 4Q23
Model row: Model!35 Other Operating Income (Expense)
Mapping type: direct
Concepts used: NonoperatingIncomeExpense = -172.7 mm
Unit conversion: raw USD to $mm
Sign: inverted because model expects this row as negative
Confidence: medium
Value written: -172.747
Notes: 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1Q23, 2Q23, 3Q23.
EDGAR Mapper:
Calculated as the residual needed for the Income Statement EBIT formula to tie to EDGAR pre-tax operating income.</t>
        </r>
      </text>
    </comment>
    <comment ref="K35" authorId="0" shapeId="0" xr:uid="{00000000-0006-0000-0700-00003E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Model!35 Other Operating Income (Expense)
Mapping type: direct
Concepts used: NonoperatingIncomeExpense = 155.4 mm
Unit conversion: raw USD to $mm
Sign: inverted because model expects this row as negative
Confidence: medium
Value written: -155.359
EDGAR Mapper:
Calculated as the residual needed for the Income Statement EBIT formula to tie to EDGAR pre-tax operating income.</t>
        </r>
      </text>
    </comment>
    <comment ref="L35" authorId="0" shapeId="0" xr:uid="{00000000-0006-0000-0700-00003F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Model!35 Other Operating Income (Expense)
Mapping type: direct
Concepts used: NonoperatingIncomeExpense = 79 mm
Unit conversion: raw USD to $mm
Sign: inverted because model expects this row as negative
Confidence: medium
Value written: -79.005
EDGAR Mapper:
Calculated as the residual needed for the Income Statement EBIT formula to tie to EDGAR pre-tax operating income.</t>
        </r>
      </text>
    </comment>
    <comment ref="M35" authorId="0" shapeId="0" xr:uid="{00000000-0006-0000-0700-000040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Model!35 Other Operating Income (Expense)
Mapping type: direct
Concepts used: NonoperatingIncomeExpense = -21.7 mm
Unit conversion: raw USD to $mm
Sign: inverted because model expects this row as negative
Confidence: medium
Value written: -21.693
EDGAR Mapper:
Calculated as the residual needed for the Income Statement EBIT formula to tie to EDGAR pre-tax operating income.</t>
        </r>
      </text>
    </comment>
    <comment ref="N35" authorId="0" shapeId="0" xr:uid="{00000000-0006-0000-0700-000041000000}">
      <text>
        <r>
          <rPr>
            <b/>
            <sz val="11"/>
            <rFont val="Calibri"/>
            <family val="2"/>
          </rPr>
          <t xml:space="preserve">EDGAR Mapper:
</t>
        </r>
        <r>
          <rPr>
            <sz val="11"/>
            <color theme="1"/>
            <rFont val="Calibri"/>
            <family val="2"/>
            <scheme val="minor"/>
          </rPr>
          <t>EDGAR mapping:
Source: SEC filing
Period: 4Q24
Model row: Model!35 Other Operating Income (Expense)
Mapping type: direct
Concepts used: NonoperatingIncomeExpense = 54.1 mm
Unit conversion: raw USD to $mm
Sign: inverted because model expects this row as negative
Confidence: medium
Value written: -54.105
Notes: 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1Q24, 2Q24, 3Q24.
EDGAR Mapper:
Calculated as the residual needed for the Income Statement EBIT formula to tie to EDGAR pre-tax operating income.</t>
        </r>
      </text>
    </comment>
    <comment ref="P35" authorId="0" shapeId="0" xr:uid="{00000000-0006-0000-0700-000042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Model!35 Other Operating Income (Expense)
Mapping type: direct
Concepts used: NonoperatingIncomeExpense = 50.9 mm
Unit conversion: raw USD to $mm
Sign: inverted because model expects this row as negative
Confidence: medium
Value written: -50.899
EDGAR Mapper:
Calculated as the residual needed for the Income Statement EBIT formula to tie to EDGAR pre-tax operating income.</t>
        </r>
      </text>
    </comment>
    <comment ref="Q35" authorId="0" shapeId="0" xr:uid="{00000000-0006-0000-0700-000043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Model!35 Other Operating Income (Expense)
Mapping type: direct
Concepts used: NonoperatingIncomeExpense = 39.6 mm
Unit conversion: raw USD to $mm
Sign: inverted because model expects this row as negative
Confidence: medium
Value written: -39.63
EDGAR Mapper:
Calculated as the residual needed for the Income Statement EBIT formula to tie to EDGAR pre-tax operating income.</t>
        </r>
      </text>
    </comment>
    <comment ref="R35" authorId="0" shapeId="0" xr:uid="{00000000-0006-0000-0700-000044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Model!35 Other Operating Income (Expense)
Mapping type: direct
Concepts used: NonoperatingIncomeExpense = 36.5 mm
Unit conversion: raw USD to $mm
Sign: inverted because model expects this row as negative
Confidence: medium
Value written: -36.457
EDGAR Mapper:
Calculated as the residual needed for the Income Statement EBIT formula to tie to EDGAR pre-tax operating income.</t>
        </r>
      </text>
    </comment>
    <comment ref="S35" authorId="0" shapeId="0" xr:uid="{00000000-0006-0000-0700-000045000000}">
      <text>
        <r>
          <rPr>
            <b/>
            <sz val="11"/>
            <rFont val="Calibri"/>
            <family val="2"/>
          </rPr>
          <t xml:space="preserve">EDGAR Mapper:
</t>
        </r>
        <r>
          <rPr>
            <sz val="11"/>
            <color theme="1"/>
            <rFont val="Calibri"/>
            <family val="2"/>
            <scheme val="minor"/>
          </rPr>
          <t>EDGAR mapping:
Source: SEC filing
Period: 4Q25
Model row: Model!35 Other Operating Income (Expense)
Mapping type: direct
Concepts used: NonoperatingIncomeExpense = 45.5 mm
Unit conversion: raw USD to $mm
Sign: inverted because model expects this row as negative
Confidence: medium
Value written: -45.473
Notes: 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1Q25, 2Q25, 3Q25.
EDGAR Mapper:
Calculated as the residual needed for the Income Statement EBIT formula to tie to EDGAR pre-tax operating income.</t>
        </r>
      </text>
    </comment>
    <comment ref="U35" authorId="0" shapeId="0" xr:uid="{00000000-0006-0000-0700-000046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Model!35 Other Operating Income (Expense)
Mapping type: direct
Concepts used: NonoperatingIncomeExpense = 2852.2 mm
Unit conversion: raw USD to $mm
Sign: inverted because model expects this row as negative
Confidence: medium
Value written: -2852.166
EDGAR Mapper:
Calculated as the residual needed for the Income Statement EBIT formula to tie to EDGAR pre-tax operating income.</t>
        </r>
      </text>
    </comment>
    <comment ref="C38" authorId="0" shapeId="0" xr:uid="{00000000-0006-0000-0700-000047000000}">
      <text>
        <r>
          <rPr>
            <b/>
            <sz val="11"/>
            <rFont val="Calibri"/>
            <family val="2"/>
          </rPr>
          <t xml:space="preserve">EDGAR Mapper:
</t>
        </r>
        <r>
          <rPr>
            <sz val="11"/>
            <color theme="1"/>
            <rFont val="Calibri"/>
            <family val="2"/>
            <scheme val="minor"/>
          </rPr>
          <t>LLM-assisted EDGAR mapping: The row label 'Interest Income' in the 'Debt and Interest Schedule' section of the income statement matches the candidate concept 'Interest income Operating'. Although the candidate label includes 'Operating', it is the most semantically accurate match for interest income within an income statement context. Needs review: one or more historical periods were left unchanged because no matching EDGAR fact was found.</t>
        </r>
      </text>
    </comment>
    <comment ref="I38" authorId="0" shapeId="0" xr:uid="{00000000-0006-0000-0700-000048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Model!38 Interest Income
Mapping type: direct
Concepts used: InterestIncomeOperating = 281 mm
Unit conversion: raw USD to $mm
Sign: copied using model sign convention
Confidence: medium
Value written: 281</t>
        </r>
      </text>
    </comment>
    <comment ref="N38" authorId="0" shapeId="0" xr:uid="{00000000-0006-0000-0700-000049000000}">
      <text>
        <r>
          <rPr>
            <b/>
            <sz val="11"/>
            <rFont val="Calibri"/>
            <family val="2"/>
          </rPr>
          <t xml:space="preserve">EDGAR Mapper:
</t>
        </r>
        <r>
          <rPr>
            <sz val="11"/>
            <color theme="1"/>
            <rFont val="Calibri"/>
            <family val="2"/>
            <scheme val="minor"/>
          </rPr>
          <t>EDGAR mapping:
Source: 10-K, accession #0001065280-25-000044, filed 2025-01-27
Period: 4Q24 / period ended 2024-12-31
Model row: Model!38 Interest Income
Mapping type: direct
Concepts used: InterestIncomeOperating = 294 mm
Unit conversion: raw USD to $mm
Sign: copied using model sign convention
Confidence: medium
Value written: 294</t>
        </r>
      </text>
    </comment>
    <comment ref="C39" authorId="0" shapeId="0" xr:uid="{00000000-0006-0000-0700-00004A000000}">
      <text>
        <r>
          <rPr>
            <b/>
            <sz val="11"/>
            <rFont val="Calibri"/>
            <family val="2"/>
          </rPr>
          <t xml:space="preserve">EDGAR Mapper:
</t>
        </r>
        <r>
          <rPr>
            <sz val="11"/>
            <color theme="1"/>
            <rFont val="Calibri"/>
            <family val="2"/>
            <scheme val="minor"/>
          </rPr>
          <t>LLM-assisted EDGAR mapping: The row label 'Interest (Expense)' in the 'Debt and Interest Schedule' section of the income statement matches the candidate 'Interest Expense'. The model sign convention is -1, which correctly inverts the expense to a negative value as per standard financial modeling for expense rows. Needs review: one or more historical periods were left unchanged because no matching EDGAR fact was found.</t>
        </r>
      </text>
    </comment>
    <comment ref="F39" authorId="0" shapeId="0" xr:uid="{00000000-0006-0000-0700-00004B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Model!39 Interest (Expense)
Mapping type: direct
Concepts used: InterestExpense = 174.2 mm
Unit conversion: raw USD to $mm
Sign: copied using model sign convention
Confidence: high
Value written: -174.239
Notes: Included SEC interest expense, including operating interest expense when that is the company's presentation.</t>
        </r>
      </text>
    </comment>
    <comment ref="G39" authorId="0" shapeId="0" xr:uid="{00000000-0006-0000-0700-00004C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Model!39 Interest (Expense)
Mapping type: direct
Concepts used: InterestExpense = 174.8 mm
Unit conversion: raw USD to $mm
Sign: copied using model sign convention
Confidence: high
Value written: -174.812
Notes: Included SEC interest expense, including operating interest expense when that is the company's presentation.</t>
        </r>
      </text>
    </comment>
    <comment ref="H39" authorId="0" shapeId="0" xr:uid="{00000000-0006-0000-0700-00004D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Model!39 Interest (Expense)
Mapping type: direct
Concepts used: InterestExpense = 175.6 mm
Unit conversion: raw USD to $mm
Sign: copied using model sign convention
Confidence: high
Value written: -175.563
Notes: Included SEC interest expense, including operating interest expense when that is the company's presentation.</t>
        </r>
      </text>
    </comment>
    <comment ref="I39" authorId="0" shapeId="0" xr:uid="{00000000-0006-0000-0700-00004E000000}">
      <text>
        <r>
          <rPr>
            <b/>
            <sz val="11"/>
            <rFont val="Calibri"/>
            <family val="2"/>
          </rPr>
          <t xml:space="preserve">EDGAR Mapper:
</t>
        </r>
        <r>
          <rPr>
            <sz val="11"/>
            <color theme="1"/>
            <rFont val="Calibri"/>
            <family val="2"/>
            <scheme val="minor"/>
          </rPr>
          <t>EDGAR mapping:
Source: SEC filing
Period: 4Q23
Model row: Model!39 Interest (Expense)
Mapping type: direct
Concepts used: InterestExpense = 175.2 mm
Unit conversion: raw USD to $mm
Sign: copied using model sign convention
Confidence: high
Value written: -175.212
Notes: Included SEC interest expense, including operating interest expense when that is the company's presentation. Quarterly value was derived from Interest Expense less 1Q23, 2Q23, 3Q23.</t>
        </r>
      </text>
    </comment>
    <comment ref="K39" authorId="0" shapeId="0" xr:uid="{00000000-0006-0000-0700-00004F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Model!39 Interest (Expense)
Mapping type: direct
Concepts used: InterestExpense = 173.3 mm
Unit conversion: raw USD to $mm
Sign: copied using model sign convention
Confidence: high
Value written: -173.314
Notes: Included SEC interest expense, including operating interest expense when that is the company's presentation.</t>
        </r>
      </text>
    </comment>
    <comment ref="L39" authorId="0" shapeId="0" xr:uid="{00000000-0006-0000-0700-000050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Model!39 Interest (Expense)
Mapping type: direct
Concepts used: InterestExpense = 168 mm
Unit conversion: raw USD to $mm
Sign: copied using model sign convention
Confidence: high
Value written: -167.986
Notes: Included SEC interest expense, including operating interest expense when that is the company's presentation.</t>
        </r>
      </text>
    </comment>
    <comment ref="M39" authorId="0" shapeId="0" xr:uid="{00000000-0006-0000-0700-000051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Model!39 Interest (Expense)
Mapping type: direct
Concepts used: InterestExpense = 184.8 mm
Unit conversion: raw USD to $mm
Sign: copied using model sign convention
Confidence: high
Value written: -184.83
Notes: Included SEC interest expense, including operating interest expense when that is the company's presentation.</t>
        </r>
      </text>
    </comment>
    <comment ref="C40" authorId="0" shapeId="0" xr:uid="{00000000-0006-0000-0700-000052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41" authorId="0" shapeId="0" xr:uid="{00000000-0006-0000-0700-000053000000}">
      <text>
        <r>
          <rPr>
            <b/>
            <sz val="11"/>
            <rFont val="Calibri"/>
            <family val="2"/>
          </rPr>
          <t xml:space="preserve">EDGAR Mapper:
</t>
        </r>
        <r>
          <rPr>
            <sz val="11"/>
            <color theme="1"/>
            <rFont val="Calibri"/>
            <family val="2"/>
            <scheme val="minor"/>
          </rPr>
          <t>Quarterly value was derived from Nonoperating Income (Expense) less 1Q23, 2Q23, 3Q23. Quarterly value was derived from Nonoperating Income (Expense) less 1Q24, 2Q24, 3Q24.</t>
        </r>
      </text>
    </comment>
    <comment ref="F41" authorId="0" shapeId="0" xr:uid="{00000000-0006-0000-0700-000054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Model!41 Other Non-Operating Income (Expense)
Mapping type: direct
Concepts used: NonoperatingIncomeExpense = -71.2 mm
Unit conversion: raw USD to $mm
Sign: copied using model sign convention
Confidence: high
Value written: -71.204</t>
        </r>
      </text>
    </comment>
    <comment ref="G41" authorId="0" shapeId="0" xr:uid="{00000000-0006-0000-0700-000055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Model!41 Other Non-Operating Income (Expense)
Mapping type: direct
Concepts used: NonoperatingIncomeExpense = 27 mm
Unit conversion: raw USD to $mm
Sign: copied using model sign convention
Confidence: high
Value written: 26.961</t>
        </r>
      </text>
    </comment>
    <comment ref="H41" authorId="0" shapeId="0" xr:uid="{00000000-0006-0000-0700-000056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Model!41 Other Non-Operating Income (Expense)
Mapping type: direct
Concepts used: NonoperatingIncomeExpense = 168.2 mm
Unit conversion: raw USD to $mm
Sign: copied using model sign convention
Confidence: high
Value written: 168.218</t>
        </r>
      </text>
    </comment>
    <comment ref="I41" authorId="0" shapeId="0" xr:uid="{00000000-0006-0000-0700-000057000000}">
      <text>
        <r>
          <rPr>
            <b/>
            <sz val="11"/>
            <rFont val="Calibri"/>
            <family val="2"/>
          </rPr>
          <t xml:space="preserve">EDGAR Mapper:
</t>
        </r>
        <r>
          <rPr>
            <sz val="11"/>
            <color theme="1"/>
            <rFont val="Calibri"/>
            <family val="2"/>
            <scheme val="minor"/>
          </rPr>
          <t>EDGAR mapping:
Source: SEC filing
Period: 4Q23
Model row: Model!41 Other Non-Operating Income (Expense)
Mapping type: direct
Concepts used: NonoperatingIncomeExpense = -172.7 mm
Unit conversion: raw USD to $mm
Sign: copied using model sign convention
Confidence: high
Value written: -172.747
Notes: Quarterly value was derived from Nonoperating Income (Expense) less 1Q23, 2Q23, 3Q23.</t>
        </r>
      </text>
    </comment>
    <comment ref="K41" authorId="0" shapeId="0" xr:uid="{00000000-0006-0000-0700-000058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Model!41 Other Non-Operating Income (Expense)
Mapping type: direct
Concepts used: NonoperatingIncomeExpense = 155.4 mm
Unit conversion: raw USD to $mm
Sign: copied using model sign convention
Confidence: high
Value written: 155.359</t>
        </r>
      </text>
    </comment>
    <comment ref="L41" authorId="0" shapeId="0" xr:uid="{00000000-0006-0000-0700-000059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Model!41 Other Non-Operating Income (Expense)
Mapping type: direct
Concepts used: NonoperatingIncomeExpense = 79 mm
Unit conversion: raw USD to $mm
Sign: copied using model sign convention
Confidence: high
Value written: 79.005</t>
        </r>
      </text>
    </comment>
    <comment ref="M41" authorId="0" shapeId="0" xr:uid="{00000000-0006-0000-0700-00005A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Model!41 Other Non-Operating Income (Expense)
Mapping type: direct
Concepts used: NonoperatingIncomeExpense = -21.7 mm
Unit conversion: raw USD to $mm
Sign: copied using model sign convention
Confidence: high
Value written: -21.693</t>
        </r>
      </text>
    </comment>
    <comment ref="N41" authorId="0" shapeId="0" xr:uid="{00000000-0006-0000-0700-00005B000000}">
      <text>
        <r>
          <rPr>
            <b/>
            <sz val="11"/>
            <rFont val="Calibri"/>
            <family val="2"/>
          </rPr>
          <t xml:space="preserve">EDGAR Mapper:
</t>
        </r>
        <r>
          <rPr>
            <sz val="11"/>
            <color theme="1"/>
            <rFont val="Calibri"/>
            <family val="2"/>
            <scheme val="minor"/>
          </rPr>
          <t>EDGAR mapping:
Source: SEC filing
Period: 4Q24
Model row: Model!41 Other Non-Operating Income (Expense)
Mapping type: direct
Concepts used: NonoperatingIncomeExpense = 54.1 mm
Unit conversion: raw USD to $mm
Sign: copied using model sign convention
Confidence: high
Value written: 54.105
Notes: Quarterly value was derived from Nonoperating Income (Expense) less 1Q24, 2Q24, 3Q24.</t>
        </r>
      </text>
    </comment>
    <comment ref="P41" authorId="0" shapeId="0" xr:uid="{00000000-0006-0000-0700-00005C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Model!41 Other Non-Operating Income (Expense)
Mapping type: direct
Concepts used: NonoperatingIncomeExpense = 50.9 mm
Unit conversion: raw USD to $mm
Sign: copied using model sign convention
Confidence: high
Value written: 50.899</t>
        </r>
      </text>
    </comment>
    <comment ref="Q41" authorId="0" shapeId="0" xr:uid="{00000000-0006-0000-0700-00005D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Model!41 Other Non-Operating Income (Expense)
Mapping type: direct
Concepts used: NonoperatingIncomeExpense = 39.6 mm
Unit conversion: raw USD to $mm
Sign: copied using model sign convention
Confidence: high
Value written: 39.63</t>
        </r>
      </text>
    </comment>
    <comment ref="R41" authorId="0" shapeId="0" xr:uid="{00000000-0006-0000-0700-00005E000000}">
      <text>
        <r>
          <rPr>
            <b/>
            <sz val="11"/>
            <rFont val="Calibri"/>
            <family val="2"/>
          </rPr>
          <t xml:space="preserve">EDGAR Mapper:
</t>
        </r>
        <r>
          <rPr>
            <sz val="11"/>
            <color theme="1"/>
            <rFont val="Calibri"/>
            <family val="2"/>
            <scheme val="minor"/>
          </rPr>
          <t>======
ID#AAABbnJBV08
Microsoft Office User    (2025-01-14 21:09:38)
Brian Otaszewski: Loss on extinguishment of debt
EDGAR Mapper:
EDGAR mapping:
Source: 10-Q, accession #0001065280-25-000406, filed 2025-10-22
Period: 3Q25 / period ended 2025-09-30
Model row: Model!41 Other Non-Operating Income (Expense)
Mapping type: direct
Concepts used: NonoperatingIncomeExpense = 36.5 mm
Unit conversion: raw USD to $mm
Sign: copied using model sign convention
Confidence: high
Value written: 36.457</t>
        </r>
      </text>
    </comment>
    <comment ref="U41" authorId="0" shapeId="0" xr:uid="{00000000-0006-0000-0700-00005F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Model!41 Other Non-Operating Income (Expense)
Mapping type: direct
Concepts used: NonoperatingIncomeExpense = 2852.2 mm
Unit conversion: raw USD to $mm
Sign: copied using model sign convention
Confidence: high
Value written: 2852.166</t>
        </r>
      </text>
    </comment>
    <comment ref="C44" authorId="0" shapeId="0" xr:uid="{00000000-0006-0000-0700-000060000000}">
      <text>
        <r>
          <rPr>
            <b/>
            <sz val="11"/>
            <rFont val="Calibri"/>
            <family val="2"/>
          </rPr>
          <t xml:space="preserve">EDGAR Mapper:
</t>
        </r>
        <r>
          <rPr>
            <sz val="11"/>
            <color theme="1"/>
            <rFont val="Calibri"/>
            <family val="2"/>
            <scheme val="minor"/>
          </rP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shapeId="0" xr:uid="{00000000-0006-0000-0700-00006100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Model!44 Income Tax Benefit (Expense)
Mapping type: direct
Concepts used: IncomeTaxExpenseBenefit = 163.8 mm
Unit conversion: raw USD to $mm
Sign: copied using model sign convention
Confidence: high
Value written: -163.754
Notes: Mapped to EDGAR income tax expense/benefit using the model's negative-expense sign convention.</t>
        </r>
      </text>
    </comment>
    <comment ref="G44" authorId="0" shapeId="0" xr:uid="{00000000-0006-0000-0700-000062000000}">
      <text>
        <r>
          <rPr>
            <b/>
            <sz val="11"/>
            <rFont val="Calibri"/>
            <family val="2"/>
          </rPr>
          <t xml:space="preserve">EDGAR Mapper:
</t>
        </r>
        <r>
          <rPr>
            <sz val="11"/>
            <color theme="1"/>
            <rFont val="Calibri"/>
            <family val="2"/>
            <scheme val="minor"/>
          </rPr>
          <t>EDGAR mapping:
Source: 10-Q, accession #0001065280-24-000200, filed 2024-07-19
Period: 2Q23 / period ended 2023-06-30
Model row: Model!44 Income Tax Benefit (Expense)
Mapping type: direct
Concepts used: IncomeTaxExpenseBenefit = 191.7 mm
Unit conversion: raw USD to $mm
Sign: copied using model sign convention
Confidence: high
Value written: -191.722
Notes: Mapped to EDGAR income tax expense/benefit using the model's negative-expense sign convention.</t>
        </r>
      </text>
    </comment>
    <comment ref="H44" authorId="0" shapeId="0" xr:uid="{00000000-0006-0000-0700-000063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Model!44 Income Tax Benefit (Expense)
Mapping type: direct
Concepts used: IncomeTaxExpenseBenefit = 231.6 mm
Unit conversion: raw USD to $mm
Sign: copied using model sign convention
Confidence: high
Value written: -231.627
Notes: Mapped to EDGAR income tax expense/benefit using the model's negative-expense sign convention.</t>
        </r>
      </text>
    </comment>
    <comment ref="I44" authorId="0" shapeId="0" xr:uid="{00000000-0006-0000-0700-000064000000}">
      <text>
        <r>
          <rPr>
            <b/>
            <sz val="11"/>
            <rFont val="Calibri"/>
            <family val="2"/>
          </rPr>
          <t xml:space="preserve">EDGAR Mapper:
</t>
        </r>
        <r>
          <rPr>
            <sz val="11"/>
            <color theme="1"/>
            <rFont val="Calibri"/>
            <family val="2"/>
            <scheme val="minor"/>
          </rPr>
          <t>EDGAR mapping:
Source: SEC filing
Period: 4Q23
Model row: Model!44 Income Tax Benefit (Expense)
Mapping type: direct
Concepts used: IncomeTaxExpenseBenefit = 210.3 mm
Unit conversion: raw USD to $mm
Sign: copied using model sign convention
Confidence: high
Value written: -210.312
Notes: Mapped to EDGAR income tax expense/benefit using the model's negative-expense sign convention. Quarterly value was derived from Income Tax Expense (Benefit) less 1Q23, 2Q23, 3Q23.
EDGAR Mapper:
Calculated as the residual needed for the model's net income formula to tie to EDGAR net income.</t>
        </r>
      </text>
    </comment>
    <comment ref="K44" authorId="0" shapeId="0" xr:uid="{00000000-0006-0000-0700-00006500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Model!44 Income Tax Benefit (Expense)
Mapping type: direct
Concepts used: IncomeTaxExpenseBenefit = 282.4 mm
Unit conversion: raw USD to $mm
Sign: copied using model sign convention
Confidence: high
Value written: -282.37
Notes: Mapped to EDGAR income tax expense/benefit using the model's negative-expense sign convention.</t>
        </r>
      </text>
    </comment>
    <comment ref="L44" authorId="0" shapeId="0" xr:uid="{00000000-0006-0000-0700-000066000000}">
      <text>
        <r>
          <rPr>
            <b/>
            <sz val="11"/>
            <rFont val="Calibri"/>
            <family val="2"/>
          </rPr>
          <t xml:space="preserve">EDGAR Mapper:
</t>
        </r>
        <r>
          <rPr>
            <sz val="11"/>
            <color theme="1"/>
            <rFont val="Calibri"/>
            <family val="2"/>
            <scheme val="minor"/>
          </rPr>
          <t>EDGAR mapping:
Source: 10-Q, accession #0001065280-25-000323, filed 2025-07-18
Period: 2Q24 / period ended 2024-06-30
Model row: Model!44 Income Tax Benefit (Expense)
Mapping type: direct
Concepts used: IncomeTaxExpenseBenefit = 366.6 mm
Unit conversion: raw USD to $mm
Sign: copied using model sign convention
Confidence: high
Value written: -366.55
Notes: Mapped to EDGAR income tax expense/benefit using the model's negative-expense sign convention.</t>
        </r>
      </text>
    </comment>
    <comment ref="M44" authorId="0" shapeId="0" xr:uid="{00000000-0006-0000-0700-000067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Model!44 Income Tax Benefit (Expense)
Mapping type: direct
Concepts used: IncomeTaxExpenseBenefit = 339.4 mm
Unit conversion: raw USD to $mm
Sign: copied using model sign convention
Confidence: high
Value written: -339.445
Notes: Mapped to EDGAR income tax expense/benefit using the model's negative-expense sign convention.</t>
        </r>
      </text>
    </comment>
    <comment ref="N44" authorId="0" shapeId="0" xr:uid="{00000000-0006-0000-0700-000068000000}">
      <text>
        <r>
          <rPr>
            <b/>
            <sz val="11"/>
            <rFont val="Calibri"/>
            <family val="2"/>
          </rPr>
          <t xml:space="preserve">EDGAR Mapper:
</t>
        </r>
        <r>
          <rPr>
            <sz val="11"/>
            <color theme="1"/>
            <rFont val="Calibri"/>
            <family val="2"/>
            <scheme val="minor"/>
          </rPr>
          <t>EDGAR mapping:
Source: SEC filing
Period: 4Q24
Model row: Model!44 Income Tax Benefit (Expense)
Mapping type: direct
Concepts used: IncomeTaxExpenseBenefit = 265.7 mm
Unit conversion: raw USD to $mm
Sign: copied using model sign convention
Confidence: high
Value written: -265.661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shapeId="0" xr:uid="{00000000-0006-0000-0700-000069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Model!44 Income Tax Benefit (Expense)
Mapping type: direct
Concepts used: IncomeTaxExpenseBenefit = 323.4 mm
Unit conversion: raw USD to $mm
Sign: copied using model sign convention
Confidence: high
Value written: -323.375
Notes: Mapped to EDGAR income tax expense/benefit using the model's negative-expense sign convention.
EDGAR Mapper:
Calculated as the residual needed for the model's net income formula to tie to EDGAR net income.</t>
        </r>
      </text>
    </comment>
    <comment ref="Q44" authorId="0" shapeId="0" xr:uid="{00000000-0006-0000-0700-00006A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Model!44 Income Tax Benefit (Expense)
Mapping type: direct
Concepts used: IncomeTaxExpenseBenefit = 506.3 mm
Unit conversion: raw USD to $mm
Sign: copied using model sign convention
Confidence: high
Value written: -506.262
Notes: Mapped to EDGAR income tax expense/benefit using the model's negative-expense sign convention.
EDGAR Mapper:
Calculated as the residual needed for the model's net income formula to tie to EDGAR net income.</t>
        </r>
      </text>
    </comment>
    <comment ref="R44" authorId="0" shapeId="0" xr:uid="{00000000-0006-0000-0700-00006B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Model!44 Income Tax Benefit (Expense)
Mapping type: direct
Concepts used: IncomeTaxExpenseBenefit = 562.5 mm
Unit conversion: raw USD to $mm
Sign: copied using model sign convention
Confidence: high
Value written: -562.494
Notes: Mapped to EDGAR income tax expense/benefit using the model's negative-expense sign convention.
EDGAR Mapper:
Calculated as the residual needed for the model's net income formula to tie to EDGAR net income.</t>
        </r>
      </text>
    </comment>
    <comment ref="S44" authorId="0" shapeId="0" xr:uid="{00000000-0006-0000-0700-00006C000000}">
      <text>
        <r>
          <rPr>
            <b/>
            <sz val="11"/>
            <rFont val="Calibri"/>
            <family val="2"/>
          </rPr>
          <t xml:space="preserve">EDGAR Mapper:
</t>
        </r>
        <r>
          <rPr>
            <sz val="11"/>
            <color theme="1"/>
            <rFont val="Calibri"/>
            <family val="2"/>
            <scheme val="minor"/>
          </rPr>
          <t>EDGAR mapping:
Source: SEC filing
Period: 4Q25
Model row: Model!44 Income Tax Benefit (Expense)
Mapping type: direct
Concepts used: IncomeTaxExpenseBenefit = 349.2 mm
Unit conversion: raw USD to $mm
Sign: copied using model sign convention
Confidence: high
Value written: -349.22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shapeId="0" xr:uid="{00000000-0006-0000-0700-00006D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Model!44 Income Tax Benefit (Expense)
Mapping type: direct
Concepts used: IncomeTaxExpenseBenefit = 1264.3 mm
Unit conversion: raw USD to $mm
Sign: copied using model sign convention
Confidence: high
Value written: -1264.295
Notes: Mapped to EDGAR income tax expense/benefit using the model's negative-expense sign convention.
EDGAR Mapper:
Calculated as the residual needed for the model's net income formula to tie to EDGAR net income.</t>
        </r>
      </text>
    </comment>
    <comment ref="C47" authorId="0" shapeId="0" xr:uid="{00000000-0006-0000-0700-00006E000000}">
      <text>
        <r>
          <rPr>
            <b/>
            <sz val="11"/>
            <rFont val="Calibri"/>
            <family val="2"/>
          </rPr>
          <t xml:space="preserve">EDGAR Mapper:
</t>
        </r>
        <r>
          <rPr>
            <sz val="11"/>
            <color theme="1"/>
            <rFont val="Calibri"/>
            <family val="2"/>
            <scheme val="minor"/>
          </rPr>
          <t>Split / partial match: EDGAR adjustment detail is not consistently available for this model row. Needs review.</t>
        </r>
      </text>
    </comment>
    <comment ref="C48" authorId="0" shapeId="0" xr:uid="{00000000-0006-0000-0700-00006F000000}">
      <text>
        <r>
          <rPr>
            <b/>
            <sz val="11"/>
            <rFont val="Calibri"/>
            <family val="2"/>
          </rPr>
          <t xml:space="preserve">EDGAR Mapper:
</t>
        </r>
        <r>
          <rPr>
            <sz val="11"/>
            <color theme="1"/>
            <rFont val="Calibri"/>
            <family val="2"/>
            <scheme val="minor"/>
          </rPr>
          <t>======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shapeId="0" xr:uid="{00000000-0006-0000-0700-000070000000}">
      <text>
        <r>
          <rPr>
            <sz val="11"/>
            <color theme="1"/>
            <rFont val="Calibri"/>
            <family val="2"/>
            <scheme val="minor"/>
          </rPr>
          <t>======
ID#AAABbnJBV1k
Lilianna Ruby    (2025-01-14 21:09:38)
Orchard Supply Hardware charges, U.S. and Canada closing charges, Mexico impairment charge, non-core activities charges</t>
        </r>
      </text>
    </comment>
    <comment ref="I48" authorId="0" shapeId="0" xr:uid="{00000000-0006-0000-0700-000071000000}">
      <text>
        <r>
          <rPr>
            <sz val="11"/>
            <color theme="1"/>
            <rFont val="Calibri"/>
            <family val="2"/>
            <scheme val="minor"/>
          </rPr>
          <t>======
ID#AAABbnJBV1s
Lilianna Ruby    (2025-01-14 21:09:38)
Canadian goodwill impairment, Orchard Supply Hardware charges, U.S. &amp; Canada store closure charges, Mexico impairment charges, non-core activities charges, Project Specialists Interiors charge</t>
        </r>
      </text>
    </comment>
    <comment ref="K48" authorId="0" shapeId="0" xr:uid="{00000000-0006-0000-0700-000072000000}">
      <text>
        <r>
          <rPr>
            <sz val="11"/>
            <color theme="1"/>
            <rFont val="Calibri"/>
            <family val="2"/>
            <scheme val="minor"/>
          </rPr>
          <t>======
ID#AAABbnJBV1o
Lilianna Ruby    (2025-01-14 21:09:38)
Mexico adjustments</t>
        </r>
      </text>
    </comment>
    <comment ref="L48" authorId="0" shapeId="0" xr:uid="{00000000-0006-0000-0700-000073000000}">
      <text>
        <r>
          <rPr>
            <sz val="11"/>
            <color theme="1"/>
            <rFont val="Calibri"/>
            <family val="2"/>
            <scheme val="minor"/>
          </rPr>
          <t>======
ID#AAABbnJBV1A
Lilianna Ruby    (2025-01-14 21:09:38)
Mexico adjustments</t>
        </r>
      </text>
    </comment>
    <comment ref="M48" authorId="0" shapeId="0" xr:uid="{00000000-0006-0000-0700-000074000000}">
      <text>
        <r>
          <rPr>
            <sz val="11"/>
            <color theme="1"/>
            <rFont val="Calibri"/>
            <family val="2"/>
            <scheme val="minor"/>
          </rPr>
          <t>======
ID#AAABbnJBVy0
Lilianna Ruby    (2025-01-14 21:09:38)
2019 Canada restructuring</t>
        </r>
      </text>
    </comment>
    <comment ref="N48" authorId="0" shapeId="0" xr:uid="{00000000-0006-0000-0700-000075000000}">
      <text>
        <r>
          <rPr>
            <sz val="11"/>
            <color theme="1"/>
            <rFont val="Calibri"/>
            <family val="2"/>
            <scheme val="minor"/>
          </rPr>
          <t>======
ID#AAABbnJBV1g
Lilianna Ruby    (2025-01-14 21:09:38)
Mexico adjustments and 2019 Canada restructuring</t>
        </r>
      </text>
    </comment>
    <comment ref="P48" authorId="0" shapeId="0" xr:uid="{00000000-0006-0000-0700-000076000000}">
      <text>
        <r>
          <rPr>
            <sz val="11"/>
            <color rgb="FF000000"/>
            <rFont val="Calibri"/>
            <family val="2"/>
          </rPr>
          <t xml:space="preserve">======
</t>
        </r>
        <r>
          <rPr>
            <sz val="11"/>
            <color rgb="FF000000"/>
            <rFont val="Calibri"/>
            <family val="2"/>
          </rPr>
          <t xml:space="preserve">ID#AAABbnJBVzs
</t>
        </r>
        <r>
          <rPr>
            <sz val="11"/>
            <color rgb="FF000000"/>
            <rFont val="Calibri"/>
            <family val="2"/>
          </rPr>
          <t xml:space="preserve">Lilianna Ruby    (2025-01-14 21:09:38)
</t>
        </r>
        <r>
          <rPr>
            <sz val="11"/>
            <color rgb="FF000000"/>
            <rFont val="Calibri"/>
            <family val="2"/>
          </rPr>
          <t>Canada restructuring</t>
        </r>
      </text>
    </comment>
    <comment ref="Q48" authorId="0" shapeId="0" xr:uid="{00000000-0006-0000-0700-000077000000}">
      <text>
        <r>
          <rPr>
            <sz val="11"/>
            <color rgb="FF000000"/>
            <rFont val="Calibri"/>
            <family val="2"/>
          </rPr>
          <t xml:space="preserve">======
</t>
        </r>
        <r>
          <rPr>
            <sz val="11"/>
            <color rgb="FF000000"/>
            <rFont val="Calibri"/>
            <family val="2"/>
          </rPr>
          <t xml:space="preserve">ID#AAABbnJBVx8
</t>
        </r>
        <r>
          <rPr>
            <sz val="11"/>
            <color rgb="FF000000"/>
            <rFont val="Calibri"/>
            <family val="2"/>
          </rPr>
          <t xml:space="preserve">Lilianna Ruby    (2025-01-14 21:09:38)
</t>
        </r>
        <r>
          <rPr>
            <sz val="11"/>
            <color rgb="FF000000"/>
            <rFont val="Calibri"/>
            <family val="2"/>
          </rPr>
          <t>Canada restructuring</t>
        </r>
      </text>
    </comment>
    <comment ref="C49" authorId="0" shapeId="0" xr:uid="{00000000-0006-0000-0700-000078000000}">
      <text>
        <r>
          <rPr>
            <b/>
            <sz val="11"/>
            <rFont val="Calibri"/>
            <family val="2"/>
          </rPr>
          <t xml:space="preserve">EDGAR Mapper:
</t>
        </r>
        <r>
          <rPr>
            <sz val="11"/>
            <color theme="1"/>
            <rFont val="Calibri"/>
            <family val="2"/>
            <scheme val="minor"/>
          </rP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shapeId="0" xr:uid="{00000000-0006-0000-0700-000079000000}">
      <text>
        <r>
          <rPr>
            <b/>
            <sz val="11"/>
            <rFont val="Calibri"/>
            <family val="2"/>
          </rPr>
          <t xml:space="preserve">EDGAR Mapper:
</t>
        </r>
        <r>
          <rPr>
            <sz val="11"/>
            <color theme="1"/>
            <rFont val="Calibri"/>
            <family val="2"/>
            <scheme val="minor"/>
          </rPr>
          <t>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shapeId="0" xr:uid="{00000000-0006-0000-0700-00007A000000}">
      <text>
        <r>
          <rPr>
            <b/>
            <sz val="11"/>
            <rFont val="Calibri"/>
            <family val="2"/>
          </rPr>
          <t xml:space="preserve">EDGAR Mapper:
</t>
        </r>
        <r>
          <rPr>
            <sz val="11"/>
            <color theme="1"/>
            <rFont val="Calibri"/>
            <family val="2"/>
            <scheme val="minor"/>
          </rPr>
          <t>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shapeId="0" xr:uid="{00000000-0006-0000-0700-00007B000000}">
      <text>
        <r>
          <rPr>
            <b/>
            <sz val="11"/>
            <rFont val="Calibri"/>
            <family val="2"/>
          </rPr>
          <t xml:space="preserve">EDGAR Mapper:
</t>
        </r>
        <r>
          <rPr>
            <sz val="11"/>
            <color theme="1"/>
            <rFont val="Calibri"/>
            <family val="2"/>
            <scheme val="minor"/>
          </rPr>
          <t>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shapeId="0" xr:uid="{00000000-0006-0000-0700-00007C000000}">
      <text>
        <r>
          <rPr>
            <b/>
            <sz val="11"/>
            <rFont val="Calibri"/>
            <family val="2"/>
          </rPr>
          <t xml:space="preserve">EDGAR Mapper:
</t>
        </r>
        <r>
          <rPr>
            <sz val="11"/>
            <color theme="1"/>
            <rFont val="Calibri"/>
            <family val="2"/>
            <scheme val="minor"/>
          </rPr>
          <t>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shapeId="0" xr:uid="{00000000-0006-0000-0700-00007D000000}">
      <text>
        <r>
          <rPr>
            <b/>
            <sz val="11"/>
            <rFont val="Calibri"/>
            <family val="2"/>
          </rPr>
          <t xml:space="preserve">EDGAR Mapper:
</t>
        </r>
        <r>
          <rPr>
            <sz val="11"/>
            <color theme="1"/>
            <rFont val="Calibri"/>
            <family val="2"/>
            <scheme val="minor"/>
          </rPr>
          <t>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shapeId="0" xr:uid="{00000000-0006-0000-0700-00007E000000}">
      <text>
        <r>
          <rPr>
            <b/>
            <sz val="11"/>
            <rFont val="Calibri"/>
            <family val="2"/>
          </rPr>
          <t xml:space="preserve">EDGAR Mapper:
</t>
        </r>
        <r>
          <rPr>
            <sz val="11"/>
            <color theme="1"/>
            <rFont val="Calibri"/>
            <family val="2"/>
            <scheme val="minor"/>
          </rPr>
          <t>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shapeId="0" xr:uid="{00000000-0006-0000-0700-00007F000000}">
      <text>
        <r>
          <rPr>
            <b/>
            <sz val="11"/>
            <rFont val="Calibri"/>
            <family val="2"/>
          </rPr>
          <t xml:space="preserve">EDGAR Mapper:
</t>
        </r>
        <r>
          <rPr>
            <sz val="11"/>
            <color theme="1"/>
            <rFont val="Calibri"/>
            <family val="2"/>
            <scheme val="minor"/>
          </rPr>
          <t>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shapeId="0" xr:uid="{00000000-0006-0000-0700-000080000000}">
      <text>
        <r>
          <rPr>
            <b/>
            <sz val="11"/>
            <rFont val="Calibri"/>
            <family val="2"/>
          </rPr>
          <t xml:space="preserve">EDGAR Mapper:
</t>
        </r>
        <r>
          <rPr>
            <sz val="11"/>
            <color theme="1"/>
            <rFont val="Calibri"/>
            <family val="2"/>
            <scheme val="minor"/>
          </rPr>
          <t>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shapeId="0" xr:uid="{00000000-0006-0000-0700-000081000000}">
      <text>
        <r>
          <rPr>
            <b/>
            <sz val="11"/>
            <rFont val="Calibri"/>
            <family val="2"/>
          </rPr>
          <t xml:space="preserve">EDGAR Mapper:
</t>
        </r>
        <r>
          <rPr>
            <sz val="11"/>
            <color theme="1"/>
            <rFont val="Calibri"/>
            <family val="2"/>
            <scheme val="minor"/>
          </rPr>
          <t>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shapeId="0" xr:uid="{00000000-0006-0000-0700-000082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W50" authorId="0" shapeId="0" xr:uid="{00000000-0006-0000-0700-000083000000}">
      <text>
        <r>
          <rPr>
            <sz val="11"/>
            <color theme="1"/>
            <rFont val="Calibri"/>
            <family val="2"/>
            <scheme val="minor"/>
          </rPr>
          <t>======
ID#AAABbnJBVzY
Lilianna    (2025-01-14 21:09:38)
Net earnings allocable to participating securities</t>
        </r>
      </text>
    </comment>
    <comment ref="P120" authorId="0" shapeId="0" xr:uid="{00000000-0006-0000-0700-000084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Model!120 Cash &amp; Cash Equivalents
Mapping type: direct
Concepts used: CashAndCashEquivalentsAtCarryingValue = 7199.8 mm
Unit conversion: raw USD to $mm
Sign: copied using model sign convention
Confidence: high
Value written: 7199.848</t>
        </r>
      </text>
    </comment>
    <comment ref="Q120" authorId="0" shapeId="0" xr:uid="{00000000-0006-0000-0700-000085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Model!120 Cash &amp; Cash Equivalents
Mapping type: direct
Concepts used: CashAndCashEquivalentsAtCarryingValue = 8177.4 mm
Unit conversion: raw USD to $mm
Sign: copied using model sign convention
Confidence: high
Value written: 8177.405</t>
        </r>
      </text>
    </comment>
    <comment ref="R120" authorId="0" shapeId="0" xr:uid="{00000000-0006-0000-0700-000086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Model!120 Cash &amp; Cash Equivalents
Mapping type: direct
Concepts used: CashAndCashEquivalentsAtCarryingValue = 9287.3 mm
Unit conversion: raw USD to $mm
Sign: copied using model sign convention
Confidence: high
Value written: 9287.287</t>
        </r>
      </text>
    </comment>
    <comment ref="S120" authorId="0" shapeId="0" xr:uid="{00000000-0006-0000-0700-000087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Model!120 Cash &amp; Cash Equivalents
Mapping type: direct
Concepts used: CashAndCashEquivalentsAtCarryingValue = 9033.7 mm
Unit conversion: raw USD to $mm
Sign: copied using model sign convention
Confidence: high
Value written: 9033.681</t>
        </r>
      </text>
    </comment>
    <comment ref="C121" authorId="0" shapeId="0" xr:uid="{00000000-0006-0000-0700-000088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22" authorId="0" shapeId="0" xr:uid="{00000000-0006-0000-0700-000089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23" authorId="0" shapeId="0" xr:uid="{00000000-0006-0000-0700-00008A000000}">
      <text>
        <r>
          <rPr>
            <b/>
            <sz val="11"/>
            <color rgb="FF000000"/>
            <rFont val="Calibri"/>
            <family val="2"/>
          </rPr>
          <t xml:space="preserve">EDGAR Mapper:
</t>
        </r>
        <r>
          <rPr>
            <sz val="11"/>
            <color rgb="FF000000"/>
            <rFont val="Calibri"/>
            <family val="2"/>
          </rPr>
          <t xml:space="preserve">======
</t>
        </r>
        <r>
          <rPr>
            <sz val="11"/>
            <color rgb="FF000000"/>
            <rFont val="Calibri"/>
            <family val="2"/>
          </rPr>
          <t xml:space="preserve">ID#AAABbnJBVzo
</t>
        </r>
        <r>
          <rPr>
            <sz val="11"/>
            <color rgb="FF000000"/>
            <rFont val="Calibri"/>
            <family val="2"/>
          </rPr>
          <t xml:space="preserve">Luke Brennan    (2025-01-14 21:09:38)
</t>
        </r>
        <r>
          <rPr>
            <sz val="11"/>
            <color rgb="FF000000"/>
            <rFont val="Calibri"/>
            <family val="2"/>
          </rPr>
          <t xml:space="preserve">Short-Term and Other Investments
</t>
        </r>
        <r>
          <rPr>
            <sz val="11"/>
            <color rgb="FF000000"/>
            <rFont val="Calibri"/>
            <family val="2"/>
          </rPr>
          <t xml:space="preserve">and Current Portion of Customer Financing, net
</t>
        </r>
        <r>
          <rPr>
            <sz val="11"/>
            <color rgb="FF000000"/>
            <rFont val="Calibri"/>
            <family val="2"/>
          </rPr>
          <t xml:space="preserve">
</t>
        </r>
        <r>
          <rPr>
            <sz val="11"/>
            <color rgb="FF000000"/>
            <rFont val="Calibri"/>
            <family val="2"/>
          </rPr>
          <t xml:space="preserve">EDGAR Mapper:
</t>
        </r>
        <r>
          <rPr>
            <sz val="11"/>
            <color rgb="FF000000"/>
            <rFont val="Calibri"/>
            <family val="2"/>
          </rPr>
          <t>Grouped from EDGAR: Assets, Current, Cash and Cash Equivalents, at Carrying Value, Accounts Receivable net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t>
        </r>
      </text>
    </comment>
    <comment ref="F123" authorId="0" shapeId="0" xr:uid="{00000000-0006-0000-0700-00008B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Model!123 Prepaid &amp; Other Current Assets
Mapping type: grouped
Concepts used: AssetsCurrent = 10482.6 mm; CashAndCashEquivalentsAtCarryingValue = 6714.6 mm; AccountsReceivableNetCurrent = 0 mm; InventoryNet = 0 mm
Unit conversion: raw USD to $mm
Sign: copied using model sign convention
Confidence: high
Value written: 3768.029
Notes: Grouped from EDGAR: Assets, Current, Cash and Cash Equivalents, at Carrying Value, Accounts Receivable net Current, Inventory net. Included current assets less separately modeled cash, receivables, and inventory.</t>
        </r>
      </text>
    </comment>
    <comment ref="G123" authorId="0" shapeId="0" xr:uid="{00000000-0006-0000-0700-00008C000000}">
      <text>
        <r>
          <rPr>
            <b/>
            <sz val="11"/>
            <color rgb="FF000000"/>
            <rFont val="Calibri"/>
            <family val="2"/>
          </rPr>
          <t xml:space="preserve">EDGAR Mapper:
</t>
        </r>
        <r>
          <rPr>
            <sz val="11"/>
            <color rgb="FF000000"/>
            <rFont val="Calibri"/>
            <family val="2"/>
          </rPr>
          <t xml:space="preserve">EDGAR mapping:
</t>
        </r>
        <r>
          <rPr>
            <sz val="11"/>
            <color rgb="FF000000"/>
            <rFont val="Calibri"/>
            <family val="2"/>
          </rPr>
          <t xml:space="preserve">Source: 10-Q, accession #0001065280-23-000198, filed 2023-07-21
</t>
        </r>
        <r>
          <rPr>
            <sz val="11"/>
            <color rgb="FF000000"/>
            <rFont val="Calibri"/>
            <family val="2"/>
          </rPr>
          <t xml:space="preserve">Period: 2Q23 / period ended 2023-06-30
</t>
        </r>
        <r>
          <rPr>
            <sz val="11"/>
            <color rgb="FF000000"/>
            <rFont val="Calibri"/>
            <family val="2"/>
          </rPr>
          <t xml:space="preserve">Model row: Model!123 Prepaid &amp; Other Current Assets
</t>
        </r>
        <r>
          <rPr>
            <sz val="11"/>
            <color rgb="FF000000"/>
            <rFont val="Calibri"/>
            <family val="2"/>
          </rPr>
          <t xml:space="preserve">Mapping type: grouped
</t>
        </r>
        <r>
          <rPr>
            <sz val="11"/>
            <color rgb="FF000000"/>
            <rFont val="Calibri"/>
            <family val="2"/>
          </rPr>
          <t xml:space="preserve">Concepts used: AssetsCurrent = 11506.3 mm; CashAndCashEquivalentsAtCarryingValue = 7662.8 mm; AccountsReceivableNetCurrent = 0 mm; InventoryNet = 0 mm
</t>
        </r>
        <r>
          <rPr>
            <sz val="11"/>
            <color rgb="FF000000"/>
            <rFont val="Calibri"/>
            <family val="2"/>
          </rPr>
          <t xml:space="preserve">Unit conversion: raw USD to $mm
</t>
        </r>
        <r>
          <rPr>
            <sz val="11"/>
            <color rgb="FF000000"/>
            <rFont val="Calibri"/>
            <family val="2"/>
          </rPr>
          <t xml:space="preserve">Sign: copied using model sign convention
</t>
        </r>
        <r>
          <rPr>
            <sz val="11"/>
            <color rgb="FF000000"/>
            <rFont val="Calibri"/>
            <family val="2"/>
          </rPr>
          <t xml:space="preserve">Confidence: high
</t>
        </r>
        <r>
          <rPr>
            <sz val="11"/>
            <color rgb="FF000000"/>
            <rFont val="Calibri"/>
            <family val="2"/>
          </rPr>
          <t xml:space="preserve">Value written: 3843.548
</t>
        </r>
        <r>
          <rPr>
            <sz val="11"/>
            <color rgb="FF000000"/>
            <rFont val="Calibri"/>
            <family val="2"/>
          </rPr>
          <t>Notes: Grouped from EDGAR: Assets, Current, Cash and Cash Equivalents, at Carrying Value, Accounts Receivable net Current, Inventory net. Included current assets less separately modeled cash, receivables, and inventory.</t>
        </r>
      </text>
    </comment>
    <comment ref="H123" authorId="0" shapeId="0" xr:uid="{00000000-0006-0000-0700-00008D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Model!123 Prepaid &amp; Other Current Assets
Mapping type: grouped
Concepts used: AssetsCurrent = 10779.5 mm; CashAndCashEquivalentsAtCarryingValue = 7353.2 mm; AccountsReceivableNetCurrent = 0 mm; InventoryNet = 0 mm
Unit conversion: raw USD to $mm
Sign: copied using model sign convention
Confidence: high
Value written: 3426.229
Notes: Grouped from EDGAR: Assets, Current, Cash and Cash Equivalents, at Carrying Value, Accounts Receivable net Current, Inventory net. Included current assets less separately modeled cash, receivables, and inventory.</t>
        </r>
      </text>
    </comment>
    <comment ref="I123" authorId="0" shapeId="0" xr:uid="{00000000-0006-0000-0700-00008E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Model!123 Prepaid &amp; Other Current Assets
Mapping type: grouped
Concepts used: AssetsCurrent = 9918.1 mm; CashAndCashEquivalentsAtCarryingValue = 7116.9 mm; AccountsReceivableNetCurrent = 0 mm; InventoryNet = 0 mm
Unit conversion: raw USD to $mm
Sign: copied using model sign convention
Confidence: high
Value written: 2801.22
Notes: Grouped from EDGAR: Assets, Current, Cash and Cash Equivalents, at Carrying Value, Accounts Receivable net Current, Inventory net. Included current assets less separately modeled cash, receivables, and inventory.</t>
        </r>
      </text>
    </comment>
    <comment ref="K123" authorId="0" shapeId="0" xr:uid="{00000000-0006-0000-0700-00008F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Model!123 Prepaid &amp; Other Current Assets
Mapping type: grouped
Concepts used: AssetsCurrent = 9921.3 mm; CashAndCashEquivalentsAtCarryingValue = 7024.8 mm; AccountsReceivableNetCurrent = 0 mm; InventoryNet = 0 mm
Unit conversion: raw USD to $mm
Sign: copied using model sign convention
Confidence: high
Value written: 2896.547
Notes: Grouped from EDGAR: Assets, Current, Cash and Cash Equivalents, at Carrying Value, Accounts Receivable net Current, Inventory net. Included current assets less separately modeled cash, receivables, and inventory.</t>
        </r>
      </text>
    </comment>
    <comment ref="L123" authorId="0" shapeId="0" xr:uid="{00000000-0006-0000-0700-000090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Model!123 Prepaid &amp; Other Current Assets
Mapping type: grouped
Concepts used: AssetsCurrent = 9615.6 mm; CashAndCashEquivalentsAtCarryingValue = 6624.9 mm; AccountsReceivableNetCurrent = 0 mm; InventoryNet = 0 mm
Unit conversion: raw USD to $mm
Sign: copied using model sign convention
Confidence: high
Value written: 2990.614
Notes: Grouped from EDGAR: Assets, Current, Cash and Cash Equivalents, at Carrying Value, Accounts Receivable net Current, Inventory net. Included current assets less separately modeled cash, receivables, and inventory.</t>
        </r>
      </text>
    </comment>
    <comment ref="M123" authorId="0" shapeId="0" xr:uid="{00000000-0006-0000-0700-000091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Model!123 Prepaid &amp; Other Current Assets
Mapping type: grouped
Concepts used: AssetsCurrent = 12129.1 mm; CashAndCashEquivalentsAtCarryingValue = 7457 mm; AccountsReceivableNetCurrent = 0 mm; InventoryNet = 0 mm
Unit conversion: raw USD to $mm
Sign: copied using model sign convention
Confidence: high
Value written: 4672.074
Notes: Grouped from EDGAR: Assets, Current, Cash and Cash Equivalents, at Carrying Value, Accounts Receivable net Current, Inventory net. Included current assets less separately modeled cash, receivables, and inventory.</t>
        </r>
      </text>
    </comment>
    <comment ref="N123" authorId="0" shapeId="0" xr:uid="{00000000-0006-0000-0700-000092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Model!123 Prepaid &amp; Other Current Assets
Mapping type: grouped
Concepts used: AssetsCurrent = 13100.4 mm; CashAndCashEquivalentsAtCarryingValue = 7804.7 mm; AccountsReceivableNetCurrent = 0 mm; InventoryNet = 0 mm
Unit conversion: raw USD to $mm
Sign: copied using model sign convention
Confidence: high
Value written: 5295.646
Notes: Grouped from EDGAR: Assets, Current, Cash and Cash Equivalents, at Carrying Value, Accounts Receivable net Current, Inventory net. Included current assets less separately modeled cash, receivables, and inventory.</t>
        </r>
      </text>
    </comment>
    <comment ref="P123" authorId="0" shapeId="0" xr:uid="{00000000-0006-0000-0700-000093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Model!123 Prepaid &amp; Other Current Assets
Mapping type: grouped
Concepts used: AssetsCurrent = 11697.6 mm; CashAndCashEquivalentsAtCarryingValue = 7199.8 mm; AccountsReceivableNetCurrent = 0 mm; InventoryNet = 0 mm
Unit conversion: raw USD to $mm
Sign: copied using model sign convention
Confidence: high
Value written: 4497.784
Notes: Grouped from EDGAR: Assets, Current, Cash and Cash Equivalents, at Carrying Value, Accounts Receivable net Current, Inventory net. Included current assets less separately modeled cash, receivables, and inventory.</t>
        </r>
      </text>
    </comment>
    <comment ref="Q123" authorId="0" shapeId="0" xr:uid="{00000000-0006-0000-0700-000094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Model!123 Prepaid &amp; Other Current Assets
Mapping type: grouped
Concepts used: AssetsCurrent = 11993.1 mm; CashAndCashEquivalentsAtCarryingValue = 8177.4 mm; AccountsReceivableNetCurrent = 0 mm; InventoryNet = 0 mm
Unit conversion: raw USD to $mm
Sign: copied using model sign convention
Confidence: high
Value written: 3815.701
Notes: Grouped from EDGAR: Assets, Current, Cash and Cash Equivalents, at Carrying Value, Accounts Receivable net Current, Inventory net. Included current assets less separately modeled cash, receivables, and inventory.</t>
        </r>
      </text>
    </comment>
    <comment ref="R123" authorId="0" shapeId="0" xr:uid="{00000000-0006-0000-0700-000095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Model!123 Prepaid &amp; Other Current Assets
Mapping type: grouped
Concepts used: AssetsCurrent = 12962.9 mm; CashAndCashEquivalentsAtCarryingValue = 9287.3 mm; AccountsReceivableNetCurrent = 0 mm; InventoryNet = 0 mm
Unit conversion: raw USD to $mm
Sign: copied using model sign convention
Confidence: high
Value written: 3675.648
Notes: Grouped from EDGAR: Assets, Current, Cash and Cash Equivalents, at Carrying Value, Accounts Receivable net Current, Inventory net. Included current assets less separately modeled cash, receivables, and inventory.</t>
        </r>
      </text>
    </comment>
    <comment ref="S123" authorId="0" shapeId="0" xr:uid="{00000000-0006-0000-0700-000096000000}">
      <text>
        <r>
          <rPr>
            <b/>
            <sz val="11"/>
            <rFont val="Calibri"/>
            <family val="2"/>
          </rPr>
          <t xml:space="preserve">EDGAR Mapper:
</t>
        </r>
        <r>
          <rPr>
            <sz val="11"/>
            <color theme="1"/>
            <rFont val="Calibri"/>
            <family val="2"/>
            <scheme val="minor"/>
          </rPr>
          <t>EDGAR mapping:
Source: 10-Q, accession #0001065280-26-000138, filed 2026-04-17
Period: 4Q25 / period ended 2025-12-31
Model row: Model!123 Prepaid &amp; Other Current Assets
Mapping type: grouped
Concepts used: AssetsCurrent = 13020.2 mm; CashAndCashEquivalentsAtCarryingValue = 9033.7 mm; AccountsReceivableNetCurrent = 0 mm; InventoryNet = 0 mm
Unit conversion: raw USD to $mm
Sign: copied using model sign convention
Confidence: high
Value written: 3986.51
Notes: Grouped from EDGAR: Assets, Current, Cash and Cash Equivalents At Carrying Value, Accounts Receivable net Current, Inventory net. Included current assets less separately modeled cash, receivables, and inventory.</t>
        </r>
      </text>
    </comment>
    <comment ref="U123" authorId="0" shapeId="0" xr:uid="{00000000-0006-0000-0700-000097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Model!123 Prepaid &amp; Other Current Assets
Mapping type: grouped
Concepts used: AssetsCurrent = 17071 mm; CashAndCashEquivalentsAtCarryingValue = 12259.8 mm; AccountsReceivableNetCurrent = 0 mm; InventoryNet = 0 mm
Unit conversion: raw USD to $mm
Sign: copied using model sign convention
Confidence: high
Value written: 4811.21
Notes: Grouped from EDGAR: Assets, Current, Cash and Cash Equivalents, at Carrying Value, Accounts Receivable net Current, Inventory net. Included current assets less separately modeled cash, receivables, and inventory.</t>
        </r>
      </text>
    </comment>
    <comment ref="C126" authorId="0" shapeId="0" xr:uid="{00000000-0006-0000-0700-000098000000}">
      <text>
        <r>
          <rPr>
            <b/>
            <sz val="11"/>
            <rFont val="Calibri"/>
            <family val="2"/>
          </rPr>
          <t xml:space="preserve">EDGAR Mapper:
</t>
        </r>
        <r>
          <rPr>
            <sz val="11"/>
            <color theme="1"/>
            <rFont val="Calibri"/>
            <family val="2"/>
            <scheme val="minor"/>
          </rPr>
          <t>Grouped from EDGAR: Property, Plant and Equipment, Net. Grouped from EDGAR: Property Plant and Equipment net.</t>
        </r>
      </text>
    </comment>
    <comment ref="F126" authorId="0" shapeId="0" xr:uid="{00000000-0006-0000-0700-000099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Model!126 PP&amp;E, Net
Mapping type: grouped
Concepts used: PropertyPlantAndEquipmentNet = 1413.1 mm
Unit conversion: raw USD to $mm
Sign: copied using model sign convention
Confidence: high
Value written: 1413.094
Notes: Grouped from EDGAR: Property, Plant and Equipment, Net.</t>
        </r>
      </text>
    </comment>
    <comment ref="G126" authorId="0" shapeId="0" xr:uid="{00000000-0006-0000-0700-00009A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Model!126 PP&amp;E, Net
Mapping type: grouped
Concepts used: PropertyPlantAndEquipmentNet = 1472 mm
Unit conversion: raw USD to $mm
Sign: copied using model sign convention
Confidence: high
Value written: 1471.968
Notes: Grouped from EDGAR: Property, Plant and Equipment, Net.</t>
        </r>
      </text>
    </comment>
    <comment ref="H126" authorId="0" shapeId="0" xr:uid="{00000000-0006-0000-0700-00009B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Model!126 PP&amp;E, Net
Mapping type: grouped
Concepts used: PropertyPlantAndEquipmentNet = 1498.4 mm
Unit conversion: raw USD to $mm
Sign: copied using model sign convention
Confidence: high
Value written: 1498.391
Notes: Grouped from EDGAR: Property, Plant and Equipment, Net.</t>
        </r>
      </text>
    </comment>
    <comment ref="I126" authorId="0" shapeId="0" xr:uid="{00000000-0006-0000-0700-00009C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Model!126 PP&amp;E, Net
Mapping type: grouped
Concepts used: PropertyPlantAndEquipmentNet = 1491.4 mm
Unit conversion: raw USD to $mm
Sign: copied using model sign convention
Confidence: high
Value written: 1491.444
Notes: Grouped from EDGAR: Property, Plant and Equipment, Net.</t>
        </r>
      </text>
    </comment>
    <comment ref="K126" authorId="0" shapeId="0" xr:uid="{00000000-0006-0000-0700-00009D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Model!126 PP&amp;E, Net
Mapping type: grouped
Concepts used: PropertyPlantAndEquipmentNet = 1501.2 mm
Unit conversion: raw USD to $mm
Sign: copied using model sign convention
Confidence: high
Value written: 1501.168
Notes: Grouped from EDGAR: Property, Plant and Equipment, Net.</t>
        </r>
      </text>
    </comment>
    <comment ref="L126" authorId="0" shapeId="0" xr:uid="{00000000-0006-0000-0700-00009E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Model!126 PP&amp;E, Net
Mapping type: grouped
Concepts used: PropertyPlantAndEquipmentNet = 1511 mm
Unit conversion: raw USD to $mm
Sign: copied using model sign convention
Confidence: high
Value written: 1510.958
Notes: Grouped from EDGAR: Property, Plant and Equipment, Net.</t>
        </r>
      </text>
    </comment>
    <comment ref="M126" authorId="0" shapeId="0" xr:uid="{00000000-0006-0000-0700-00009F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Model!126 PP&amp;E, Net
Mapping type: grouped
Concepts used: PropertyPlantAndEquipmentNet = 1568.2 mm
Unit conversion: raw USD to $mm
Sign: copied using model sign convention
Confidence: high
Value written: 1568.212
Notes: Grouped from EDGAR: Property, Plant and Equipment, Net.</t>
        </r>
      </text>
    </comment>
    <comment ref="N126" authorId="0" shapeId="0" xr:uid="{00000000-0006-0000-0700-0000A0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Model!126 PP&amp;E, Net
Mapping type: grouped
Concepts used: PropertyPlantAndEquipmentNet = 1593.8 mm
Unit conversion: raw USD to $mm
Sign: copied using model sign convention
Confidence: high
Value written: 1593.756
Notes: Grouped from EDGAR: Property, Plant and Equipment, Net.</t>
        </r>
      </text>
    </comment>
    <comment ref="P126" authorId="0" shapeId="0" xr:uid="{00000000-0006-0000-0700-0000A1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Model!126 PP&amp;E, Net
Mapping type: grouped
Concepts used: PropertyPlantAndEquipmentNet = 1644.3 mm
Unit conversion: raw USD to $mm
Sign: copied using model sign convention
Confidence: high
Value written: 1644.346
Notes: Grouped from EDGAR: Property, Plant and Equipment, Net.</t>
        </r>
      </text>
    </comment>
    <comment ref="Q126" authorId="0" shapeId="0" xr:uid="{00000000-0006-0000-0700-0000A2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Model!126 PP&amp;E, Net
Mapping type: grouped
Concepts used: PropertyPlantAndEquipmentNet = 1743.6 mm
Unit conversion: raw USD to $mm
Sign: copied using model sign convention
Confidence: high
Value written: 1743.566
Notes: Grouped from EDGAR: Property, Plant and Equipment, Net.</t>
        </r>
      </text>
    </comment>
    <comment ref="R126" authorId="0" shapeId="0" xr:uid="{00000000-0006-0000-0700-0000A3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Model!126 PP&amp;E, Net
Mapping type: grouped
Concepts used: PropertyPlantAndEquipmentNet = 1837.9 mm
Unit conversion: raw USD to $mm
Sign: copied using model sign convention
Confidence: high
Value written: 1837.889
Notes: Grouped from EDGAR: Property, Plant and Equipment, Net.</t>
        </r>
      </text>
    </comment>
    <comment ref="S126" authorId="0" shapeId="0" xr:uid="{00000000-0006-0000-0700-0000A4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Model!126 PP&amp;E, Net
Mapping type: grouped
Concepts used: PropertyPlantAndEquipmentNet = 2004.4 mm
Unit conversion: raw USD to $mm
Sign: copied using model sign convention
Confidence: high
Value written: 2004.35
Notes: Grouped from EDGAR: Property Plant and Equipment net.</t>
        </r>
      </text>
    </comment>
    <comment ref="U126" authorId="0" shapeId="0" xr:uid="{00000000-0006-0000-0700-0000A5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Model!126 PP&amp;E, Net
Mapping type: grouped
Concepts used: PropertyPlantAndEquipmentNet = 2147.8 mm
Unit conversion: raw USD to $mm
Sign: copied using model sign convention
Confidence: high
Value written: 2147.829
Notes: Grouped from EDGAR: Property, Plant and Equipment, Net.</t>
        </r>
      </text>
    </comment>
    <comment ref="C127" authorId="0" shapeId="0" xr:uid="{00000000-0006-0000-0700-0000A6000000}">
      <text>
        <r>
          <rPr>
            <b/>
            <sz val="11"/>
            <rFont val="Calibri"/>
            <family val="2"/>
          </rPr>
          <t xml:space="preserve">EDGAR Mapper:
</t>
        </r>
        <r>
          <rPr>
            <sz val="11"/>
            <color theme="1"/>
            <rFont val="Calibri"/>
            <family val="2"/>
            <scheme val="minor"/>
          </rPr>
          <t>LLM-assisted EDGAR mapping: The model row 'Intangible Assets, Net' in the context of Netflix (NFLX) refers to their content assets. The candidate 'ContentAssetsNet' matches the values and the specific nature of Netflix's balance sheet where content is their primary intangible asset. 'FiniteLivedIntangibleAssetsNet' was also a candidate but 'ContentAssetsNet' is the standard representation for their primary non-current intangible asset class. Needs review: one or more historical periods were left unchanged because no matching EDGAR fact was found.</t>
        </r>
      </text>
    </comment>
    <comment ref="F127" authorId="0" shapeId="0" xr:uid="{00000000-0006-0000-0700-0000A7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Model!127 Intangible Assets, Net
Mapping type: direct
Concepts used: ContentAssetsNet = 32349.2 mm
Unit conversion: raw USD to $mm
Sign: copied using model sign convention
Confidence: medium
Value written: 32349.184</t>
        </r>
      </text>
    </comment>
    <comment ref="G127" authorId="0" shapeId="0" xr:uid="{00000000-0006-0000-0700-0000A8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Model!127 Intangible Assets, Net
Mapping type: direct
Concepts used: ContentAssetsNet = 32520.8 mm
Unit conversion: raw USD to $mm
Sign: copied using model sign convention
Confidence: medium
Value written: 32520.774</t>
        </r>
      </text>
    </comment>
    <comment ref="H127" authorId="0" shapeId="0" xr:uid="{00000000-0006-0000-0700-0000A9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Model!127 Intangible Assets, Net
Mapping type: direct
Concepts used: ContentAssetsNet = 31749.9 mm
Unit conversion: raw USD to $mm
Sign: copied using model sign convention
Confidence: medium
Value written: 31749.861</t>
        </r>
      </text>
    </comment>
    <comment ref="I127" authorId="0" shapeId="0" xr:uid="{00000000-0006-0000-0700-0000AA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Model!127 Intangible Assets, Net
Mapping type: direct
Concepts used: ContentAssetsNet = 31658.1 mm
Unit conversion: raw USD to $mm
Sign: copied using model sign convention
Confidence: medium
Value written: 31658.056</t>
        </r>
      </text>
    </comment>
    <comment ref="K127" authorId="0" shapeId="0" xr:uid="{00000000-0006-0000-0700-0000AB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Model!127 Intangible Assets, Net
Mapping type: direct
Concepts used: ContentAssetsNet = 31662.1 mm
Unit conversion: raw USD to $mm
Sign: copied using model sign convention
Confidence: medium
Value written: 31662.1</t>
        </r>
      </text>
    </comment>
    <comment ref="L127" authorId="0" shapeId="0" xr:uid="{00000000-0006-0000-0700-0000AC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Model!127 Intangible Assets, Net
Mapping type: direct
Concepts used: ContentAssetsNet = 31927.4 mm
Unit conversion: raw USD to $mm
Sign: copied using model sign convention
Confidence: medium
Value written: 31927.355</t>
        </r>
      </text>
    </comment>
    <comment ref="M127" authorId="0" shapeId="0" xr:uid="{00000000-0006-0000-0700-0000AD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Model!127 Intangible Assets, Net
Mapping type: direct
Concepts used: ContentAssetsNet = 32175.4 mm
Unit conversion: raw USD to $mm
Sign: copied using model sign convention
Confidence: medium
Value written: 32175.382</t>
        </r>
      </text>
    </comment>
    <comment ref="N127" authorId="0" shapeId="0" xr:uid="{00000000-0006-0000-0700-0000AE000000}">
      <text>
        <r>
          <rPr>
            <b/>
            <sz val="11"/>
            <rFont val="Calibri"/>
            <family val="2"/>
          </rPr>
          <t xml:space="preserve">EDGAR Mapper:
</t>
        </r>
        <r>
          <rPr>
            <sz val="11"/>
            <color theme="1"/>
            <rFont val="Calibri"/>
            <family val="2"/>
            <scheme val="minor"/>
          </rPr>
          <t>EDGAR mapping:
Source: 10-K, accession #0001065280-25-000044, filed 2025-01-27
Period: 4Q24 / period ended 2024-12-31
Model row: Model!127 Intangible Assets, Net
Mapping type: direct
Concepts used: ContentAssetsNet = 32452.5 mm
Unit conversion: raw USD to $mm
Sign: copied using model sign convention
Confidence: medium
Value written: 32452.462</t>
        </r>
      </text>
    </comment>
    <comment ref="C128" authorId="0" shapeId="0" xr:uid="{00000000-0006-0000-0700-0000AF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29" authorId="0" shapeId="0" xr:uid="{00000000-0006-0000-0700-0000B0000000}">
      <text>
        <r>
          <rPr>
            <b/>
            <sz val="11"/>
            <rFont val="Calibri"/>
            <family val="2"/>
          </rPr>
          <t xml:space="preserve">EDGAR Mapper:
</t>
        </r>
        <r>
          <rPr>
            <sz val="11"/>
            <color theme="1"/>
            <rFont val="Calibri"/>
            <family val="2"/>
            <scheme val="minor"/>
          </rPr>
          <t>======
ID#AAABbnJBV0Y
Luke Brennan    (2025-01-14 21:09:38)
Includes:
Customer Financing, net
Deferred Income Taxes
Investments
and Other Assets, net of Amortization
EDGAR Mapper:
Grouped from EDGAR: Assets, Assets, Current, Property, Plant and Equipment, Net, Finite-Lived Intangible Assets, Net, Goodwill. Calculated from SEC total assets less current assets and separately modeled PP&amp;E, intangible assets, and goodwill. Grouped from EDGAR: Assets, Assets, Current, Property Plant and Equipment net, Finite Lived Intangible Assets net, Goodwill. Calculated from SEC total assets less current assets and separately modeled PP&amp;E, intangible assets, and goodwill.</t>
        </r>
      </text>
    </comment>
    <comment ref="K129" authorId="0" shapeId="0" xr:uid="{00000000-0006-0000-0700-0000B1000000}">
      <text>
        <r>
          <rPr>
            <sz val="11"/>
            <color theme="1"/>
            <rFont val="Calibri"/>
            <family val="2"/>
            <scheme val="minor"/>
          </rPr>
          <t>======
ID#AAABbnJBVzw
Lilianna Ruby    (2025-01-14 21:09:38)
operating lease right of use assets, long term investments, deferred income taxes, other assets</t>
        </r>
      </text>
    </comment>
    <comment ref="P129" authorId="0" shapeId="0" xr:uid="{00000000-0006-0000-0700-0000B2000000}">
      <text>
        <r>
          <rPr>
            <b/>
            <sz val="11"/>
            <rFont val="Calibri"/>
            <family val="2"/>
          </rPr>
          <t xml:space="preserve">EDGAR Mapper:
</t>
        </r>
        <r>
          <rPr>
            <sz val="11"/>
            <color theme="1"/>
            <rFont val="Calibri"/>
            <family val="2"/>
            <scheme val="minor"/>
          </rPr>
          <t>======
ID#AAABbnJBVxY
Lilianna Ruby    (2025-01-14 21:09:38)
operating lease right of use assets, long term investments, deferred income taxes, other assets
EDGAR Mapper:
EDGAR mapping:
Source: 10-Q, accession #0001065280-25-000176, filed 2025-04-18
Period: 1Q25 / period ended 2025-03-31
Model row: Model!129 Other Non-Current Assets
Mapping type: grouped
Concepts used: Assets = 52087.6 mm; AssetsCurrent = 11697.6 mm; PropertyPlantAndEquipmentNet = 1644.3 mm; FiniteLivedIntangibleAssetsNet = 32040.8 mm; Goodwill = 0 mm
Unit conversion: raw USD to $mm
Sign: copied using model sign convention
Confidence: high
Value written: 6704.827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the Balance Sheet Check to tie to zero using EDGAR-sourced mapped balances.</t>
        </r>
      </text>
    </comment>
    <comment ref="Q129" authorId="0" shapeId="0" xr:uid="{00000000-0006-0000-0700-0000B3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Model!129 Other Non-Current Assets
Mapping type: grouped
Concepts used: Assets = 53099.7 mm; AssetsCurrent = 11993.1 mm; PropertyPlantAndEquipmentNet = 1743.6 mm; FiniteLivedIntangibleAssetsNet = 32089.4 mm; Goodwill = 0 mm
Unit conversion: raw USD to $mm
Sign: copied using model sign convention
Confidence: high
Value written: 7273.598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the Balance Sheet Check to tie to zero using EDGAR-sourced mapped balances.</t>
        </r>
      </text>
    </comment>
    <comment ref="R129" authorId="0" shapeId="0" xr:uid="{00000000-0006-0000-0700-0000B4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Model!129 Other Non-Current Assets
Mapping type: grouped
Concepts used: Assets = 54934.8 mm; AssetsCurrent = 12962.9 mm; PropertyPlantAndEquipmentNet = 1837.9 mm; FiniteLivedIntangibleAssetsNet = 32639.9 mm; Goodwill = 0 mm
Unit conversion: raw USD to $mm
Sign: copied using model sign convention
Confidence: high
Value written: 7494.132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the Balance Sheet Check to tie to zero using EDGAR-sourced mapped balances.</t>
        </r>
      </text>
    </comment>
    <comment ref="S129" authorId="0" shapeId="0" xr:uid="{00000000-0006-0000-0700-0000B5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Model!129 Other Non-Current Assets
Mapping type: grouped
Concepts used: Assets = 55597 mm; AssetsCurrent = 13020.2 mm; PropertyPlantAndEquipmentNet = 2004.4 mm; FiniteLivedIntangibleAssetsNet = 32778.4 mm; Goodwill = 0 mm
Unit conversion: raw USD to $mm
Sign: copied using model sign convention
Confidence: high
Value written: 7794.06
Notes: Grouped from EDGAR: Assets, Assets, Current, Property Plant and Equipment net, Finite Lived Intangible Assets net, Goodwill. Calculated from SEC total assets less current assets and separately modeled PP&amp;E, intangible assets, and goodwill.
EDGAR Mapper:
Calculated as the residual needed for the Balance Sheet Check to tie to zero using EDGAR-sourced mapped balances.</t>
        </r>
      </text>
    </comment>
    <comment ref="U129" authorId="0" shapeId="0" xr:uid="{00000000-0006-0000-0700-0000B6000000}">
      <text>
        <r>
          <rPr>
            <b/>
            <sz val="11"/>
            <rFont val="Calibri"/>
            <family val="2"/>
          </rPr>
          <t xml:space="preserve">EDGAR Mapper:
</t>
        </r>
        <r>
          <rPr>
            <sz val="11"/>
            <color theme="1"/>
            <rFont val="Calibri"/>
            <family val="2"/>
            <scheme val="minor"/>
          </rPr>
          <t>======
ID#AAABbnJBVy4
Lilianna Ruby    (2025-01-14 21:09:38)
Includes operating lease right-of-use assets, long-term investments, deferred income taxes, and other
EDGAR Mapper:
Calculated as the residual needed for the Balance Sheet Check to tie to zero using EDGAR-sourced mapped balances.</t>
        </r>
      </text>
    </comment>
    <comment ref="C134" authorId="0" shapeId="0" xr:uid="{00000000-0006-0000-0700-0000B7000000}">
      <text>
        <r>
          <rPr>
            <b/>
            <sz val="11"/>
            <rFont val="Calibri"/>
            <family val="2"/>
          </rPr>
          <t xml:space="preserve">EDGAR Mapper:
</t>
        </r>
        <r>
          <rPr>
            <sz val="11"/>
            <color theme="1"/>
            <rFont val="Calibri"/>
            <family val="2"/>
            <scheme val="minor"/>
          </rPr>
          <t>Grouped from EDGAR: Accounts Payable, Current. Grouped from EDGAR: Accounts Payable Current.</t>
        </r>
      </text>
    </comment>
    <comment ref="F134" authorId="0" shapeId="0" xr:uid="{00000000-0006-0000-0700-0000B8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Model!134 Accounts Payable
Mapping type: grouped
Concepts used: AccountsPayableCurrent = 592 mm
Unit conversion: raw USD to $mm
Sign: copied using model sign convention
Confidence: high
Value written: 591.987
Notes: Grouped from EDGAR: Accounts Payable, Current.</t>
        </r>
      </text>
    </comment>
    <comment ref="G134" authorId="0" shapeId="0" xr:uid="{00000000-0006-0000-0700-0000B9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Model!134 Accounts Payable
Mapping type: grouped
Concepts used: AccountsPayableCurrent = 615.4 mm
Unit conversion: raw USD to $mm
Sign: copied using model sign convention
Confidence: high
Value written: 615.374
Notes: Grouped from EDGAR: Accounts Payable, Current.</t>
        </r>
      </text>
    </comment>
    <comment ref="H134" authorId="0" shapeId="0" xr:uid="{00000000-0006-0000-0700-0000BA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Model!134 Accounts Payable
Mapping type: grouped
Concepts used: AccountsPayableCurrent = 534.4 mm
Unit conversion: raw USD to $mm
Sign: copied using model sign convention
Confidence: high
Value written: 534.429
Notes: Grouped from EDGAR: Accounts Payable, Current.</t>
        </r>
      </text>
    </comment>
    <comment ref="I134" authorId="0" shapeId="0" xr:uid="{00000000-0006-0000-0700-0000BB000000}">
      <text>
        <r>
          <rPr>
            <b/>
            <sz val="11"/>
            <color rgb="FF000000"/>
            <rFont val="Calibri"/>
            <family val="2"/>
          </rPr>
          <t xml:space="preserve">EDGAR Mapper:
</t>
        </r>
        <r>
          <rPr>
            <sz val="11"/>
            <color rgb="FF000000"/>
            <rFont val="Calibri"/>
            <family val="2"/>
          </rPr>
          <t xml:space="preserve">EDGAR mapping:
</t>
        </r>
        <r>
          <rPr>
            <sz val="11"/>
            <color rgb="FF000000"/>
            <rFont val="Calibri"/>
            <family val="2"/>
          </rPr>
          <t xml:space="preserve">Source: 10-K, accession #0001065280-25-000044, filed 2025-01-27
</t>
        </r>
        <r>
          <rPr>
            <sz val="11"/>
            <color rgb="FF000000"/>
            <rFont val="Calibri"/>
            <family val="2"/>
          </rPr>
          <t xml:space="preserve">Period: 4Q23 / period ended 2023-12-31
</t>
        </r>
        <r>
          <rPr>
            <sz val="11"/>
            <color rgb="FF000000"/>
            <rFont val="Calibri"/>
            <family val="2"/>
          </rPr>
          <t xml:space="preserve">Model row: Model!134 Accounts Payable
</t>
        </r>
        <r>
          <rPr>
            <sz val="11"/>
            <color rgb="FF000000"/>
            <rFont val="Calibri"/>
            <family val="2"/>
          </rPr>
          <t xml:space="preserve">Mapping type: grouped
</t>
        </r>
        <r>
          <rPr>
            <sz val="11"/>
            <color rgb="FF000000"/>
            <rFont val="Calibri"/>
            <family val="2"/>
          </rPr>
          <t xml:space="preserve">Concepts used: AccountsPayableCurrent = 747.4 mm
</t>
        </r>
        <r>
          <rPr>
            <sz val="11"/>
            <color rgb="FF000000"/>
            <rFont val="Calibri"/>
            <family val="2"/>
          </rPr>
          <t xml:space="preserve">Unit conversion: raw USD to $mm
</t>
        </r>
        <r>
          <rPr>
            <sz val="11"/>
            <color rgb="FF000000"/>
            <rFont val="Calibri"/>
            <family val="2"/>
          </rPr>
          <t xml:space="preserve">Sign: copied using model sign convention
</t>
        </r>
        <r>
          <rPr>
            <sz val="11"/>
            <color rgb="FF000000"/>
            <rFont val="Calibri"/>
            <family val="2"/>
          </rPr>
          <t xml:space="preserve">Confidence: high
</t>
        </r>
        <r>
          <rPr>
            <sz val="11"/>
            <color rgb="FF000000"/>
            <rFont val="Calibri"/>
            <family val="2"/>
          </rPr>
          <t xml:space="preserve">Value written: 747.412
</t>
        </r>
        <r>
          <rPr>
            <sz val="11"/>
            <color rgb="FF000000"/>
            <rFont val="Calibri"/>
            <family val="2"/>
          </rPr>
          <t>Notes: Grouped from EDGAR: Accounts Payable, Current.</t>
        </r>
      </text>
    </comment>
    <comment ref="K134" authorId="0" shapeId="0" xr:uid="{00000000-0006-0000-0700-0000BC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Model!134 Accounts Payable
Mapping type: grouped
Concepts used: AccountsPayableCurrent = 607.3 mm
Unit conversion: raw USD to $mm
Sign: copied using model sign convention
Confidence: high
Value written: 607.348
Notes: Grouped from EDGAR: Accounts Payable, Current.</t>
        </r>
      </text>
    </comment>
    <comment ref="L134" authorId="0" shapeId="0" xr:uid="{00000000-0006-0000-0700-0000BD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Model!134 Accounts Payable
Mapping type: grouped
Concepts used: AccountsPayableCurrent = 598.6 mm
Unit conversion: raw USD to $mm
Sign: copied using model sign convention
Confidence: high
Value written: 598.557
Notes: Grouped from EDGAR: Accounts Payable, Current.</t>
        </r>
      </text>
    </comment>
    <comment ref="M134" authorId="0" shapeId="0" xr:uid="{00000000-0006-0000-0700-0000BE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Model!134 Accounts Payable
Mapping type: grouped
Concepts used: AccountsPayableCurrent = 642 mm
Unit conversion: raw USD to $mm
Sign: copied using model sign convention
Confidence: high
Value written: 641.953
Notes: Grouped from EDGAR: Accounts Payable, Current.</t>
        </r>
      </text>
    </comment>
    <comment ref="N134" authorId="0" shapeId="0" xr:uid="{00000000-0006-0000-0700-0000BF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Model!134 Accounts Payable
Mapping type: grouped
Concepts used: AccountsPayableCurrent = 899.9 mm
Unit conversion: raw USD to $mm
Sign: copied using model sign convention
Confidence: high
Value written: 899.909
Notes: Grouped from EDGAR: Accounts Payable, Current.</t>
        </r>
      </text>
    </comment>
    <comment ref="P134" authorId="0" shapeId="0" xr:uid="{00000000-0006-0000-0700-0000C0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Model!134 Accounts Payable
Mapping type: grouped
Concepts used: AccountsPayableCurrent = 614.5 mm
Unit conversion: raw USD to $mm
Sign: copied using model sign convention
Confidence: high
Value written: 614.489
Notes: Grouped from EDGAR: Accounts Payable, Current.</t>
        </r>
      </text>
    </comment>
    <comment ref="Q134" authorId="0" shapeId="0" xr:uid="{00000000-0006-0000-0700-0000C1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Model!134 Accounts Payable
Mapping type: grouped
Concepts used: AccountsPayableCurrent = 632.7 mm
Unit conversion: raw USD to $mm
Sign: copied using model sign convention
Confidence: high
Value written: 632.718
Notes: Grouped from EDGAR: Accounts Payable, Current.</t>
        </r>
      </text>
    </comment>
    <comment ref="R134" authorId="0" shapeId="0" xr:uid="{00000000-0006-0000-0700-0000C2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Model!134 Accounts Payable
Mapping type: grouped
Concepts used: AccountsPayableCurrent = 793.2 mm
Unit conversion: raw USD to $mm
Sign: copied using model sign convention
Confidence: high
Value written: 793.233
Notes: Grouped from EDGAR: Accounts Payable, Current.</t>
        </r>
      </text>
    </comment>
    <comment ref="S134" authorId="0" shapeId="0" xr:uid="{00000000-0006-0000-0700-0000C3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Model!134 Accounts Payable
Mapping type: grouped
Concepts used: AccountsPayableCurrent = 900.6 mm
Unit conversion: raw USD to $mm
Sign: copied using model sign convention
Confidence: high
Value written: 900.612
Notes: Grouped from EDGAR: Accounts Payable Current.</t>
        </r>
      </text>
    </comment>
    <comment ref="U134" authorId="0" shapeId="0" xr:uid="{00000000-0006-0000-0700-0000C4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Model!134 Accounts Payable
Mapping type: grouped
Concepts used: AccountsPayableCurrent = 894.7 mm
Unit conversion: raw USD to $mm
Sign: copied using model sign convention
Confidence: high
Value written: 894.681
Notes: Grouped from EDGAR: Accounts Payable, Current.</t>
        </r>
      </text>
    </comment>
    <comment ref="F135" authorId="0" shapeId="0" xr:uid="{00000000-0006-0000-0700-0000C5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Model!135 Accrued Liabilities
Mapping type: direct
Concepts used: AccruedLiabilitiesCurrent = 1718.1 mm
Unit conversion: raw USD to $mm
Sign: copied using model sign convention
Confidence: high
Value written: 1718.069</t>
        </r>
      </text>
    </comment>
    <comment ref="G135" authorId="0" shapeId="0" xr:uid="{00000000-0006-0000-0700-0000C6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Model!135 Accrued Liabilities
Mapping type: direct
Concepts used: AccruedLiabilitiesCurrent = 1908.7 mm
Unit conversion: raw USD to $mm
Sign: copied using model sign convention
Confidence: high
Value written: 1908.714</t>
        </r>
      </text>
    </comment>
    <comment ref="H135" authorId="0" shapeId="0" xr:uid="{00000000-0006-0000-0700-0000C7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Model!135 Accrued Liabilities
Mapping type: direct
Concepts used: AccruedLiabilitiesCurrent = 1838.9 mm
Unit conversion: raw USD to $mm
Sign: copied using model sign convention
Confidence: high
Value written: 1838.908</t>
        </r>
      </text>
    </comment>
    <comment ref="I135" authorId="0" shapeId="0" xr:uid="{00000000-0006-0000-0700-0000C8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Model!135 Accrued Liabilities
Mapping type: direct
Concepts used: AccruedLiabilitiesCurrent = 1804 mm
Unit conversion: raw USD to $mm
Sign: copied using model sign convention
Confidence: high
Value written: 1803.96</t>
        </r>
      </text>
    </comment>
    <comment ref="K135" authorId="0" shapeId="0" xr:uid="{00000000-0006-0000-0700-0000C9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Model!135 Accrued Liabilities
Mapping type: direct
Concepts used: AccruedLiabilitiesCurrent = 1977.4 mm
Unit conversion: raw USD to $mm
Sign: copied using model sign convention
Confidence: high
Value written: 1977.428</t>
        </r>
      </text>
    </comment>
    <comment ref="L135" authorId="0" shapeId="0" xr:uid="{00000000-0006-0000-0700-0000CA00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Model!135 Accrued Liabilities
Mapping type: direct
Concepts used: AccruedLiabilitiesCurrent = 1876.2 mm
Unit conversion: raw USD to $mm
Sign: copied using model sign convention
Confidence: high
Value written: 1876.244</t>
        </r>
      </text>
    </comment>
    <comment ref="M135" authorId="0" shapeId="0" xr:uid="{00000000-0006-0000-0700-0000CB00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Model!135 Accrued Liabilities
Mapping type: direct
Concepts used: AccruedLiabilitiesCurrent = 2241.8 mm
Unit conversion: raw USD to $mm
Sign: copied using model sign convention
Confidence: high
Value written: 2241.758</t>
        </r>
      </text>
    </comment>
    <comment ref="N135" authorId="0" shapeId="0" xr:uid="{00000000-0006-0000-0700-0000CC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Model!135 Accrued Liabilities
Mapping type: direct
Concepts used: AccruedLiabilitiesCurrent = 2156.5 mm
Unit conversion: raw USD to $mm
Sign: copied using model sign convention
Confidence: high
Value written: 2156.544</t>
        </r>
      </text>
    </comment>
    <comment ref="P135" authorId="0" shapeId="0" xr:uid="{00000000-0006-0000-0700-0000CD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Model!135 Accrued Liabilities
Mapping type: direct
Concepts used: AccruedLiabilitiesCurrent = 2359.5 mm
Unit conversion: raw USD to $mm
Sign: copied using model sign convention
Confidence: high
Value written: 2359.518</t>
        </r>
      </text>
    </comment>
    <comment ref="Q135" authorId="0" shapeId="0" xr:uid="{00000000-0006-0000-0700-0000CE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Model!135 Accrued Liabilities
Mapping type: direct
Concepts used: AccruedLiabilitiesCurrent = 2489.5 mm
Unit conversion: raw USD to $mm
Sign: copied using model sign convention
Confidence: high
Value written: 2489.486</t>
        </r>
      </text>
    </comment>
    <comment ref="R135" authorId="0" shapeId="0" xr:uid="{00000000-0006-0000-0700-0000CF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Model!135 Accrued Liabilities
Mapping type: direct
Concepts used: AccruedLiabilitiesCurrent = 3111.3 mm
Unit conversion: raw USD to $mm
Sign: copied using model sign convention
Confidence: high
Value written: 3111.311</t>
        </r>
      </text>
    </comment>
    <comment ref="S135" authorId="0" shapeId="0" xr:uid="{00000000-0006-0000-0700-0000D0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Model!135 Accrued Liabilities
Mapping type: direct
Concepts used: AccruedLiabilitiesCurrent = 3220.9 mm
Unit conversion: raw USD to $mm
Sign: copied using model sign convention
Confidence: high
Value written: 3220.869</t>
        </r>
      </text>
    </comment>
    <comment ref="U135" authorId="0" shapeId="0" xr:uid="{00000000-0006-0000-0700-0000D1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Model!135 Accrued Liabilities
Mapping type: direct
Concepts used: AccruedLiabilitiesCurrent = 4442 mm
Unit conversion: raw USD to $mm
Sign: copied using model sign convention
Confidence: high
Value written: 4441.986</t>
        </r>
      </text>
    </comment>
    <comment ref="C136" authorId="0" shapeId="0" xr:uid="{00000000-0006-0000-0700-0000D2000000}">
      <text>
        <r>
          <rPr>
            <b/>
            <sz val="11"/>
            <rFont val="Calibri"/>
            <family val="2"/>
          </rPr>
          <t xml:space="preserve">EDGAR Mapper:
</t>
        </r>
        <r>
          <rPr>
            <sz val="11"/>
            <color theme="1"/>
            <rFont val="Calibri"/>
            <family val="2"/>
            <scheme val="minor"/>
          </rPr>
          <t>======
ID#AAABbnJBV0M
Luke Brennan    (2025-01-14 21:09:38)
Advances and Billings in Excess of Related Costs
EDGAR Mapper: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K136" authorId="0" shapeId="0" xr:uid="{00000000-0006-0000-0700-0000D3000000}">
      <text>
        <r>
          <rPr>
            <sz val="11"/>
            <color theme="1"/>
            <rFont val="Calibri"/>
            <family val="2"/>
            <scheme val="minor"/>
          </rPr>
          <t>======
ID#AAABbnJBVxA
Lilianna Ruby    (2025-01-14 21:09:38)
Current operating lease liabilities, deferred revenue, other</t>
        </r>
      </text>
    </comment>
    <comment ref="P136" authorId="0" shapeId="0" xr:uid="{00000000-0006-0000-0700-0000D4000000}">
      <text>
        <r>
          <rPr>
            <b/>
            <sz val="11"/>
            <rFont val="Calibri"/>
            <family val="2"/>
          </rPr>
          <t xml:space="preserve">EDGAR Mapper:
</t>
        </r>
        <r>
          <rPr>
            <sz val="11"/>
            <color theme="1"/>
            <rFont val="Calibri"/>
            <family val="2"/>
            <scheme val="minor"/>
          </rPr>
          <t>======
ID#AAABbnJBV00
Lilianna Ruby    (2025-01-14 21:09:38)
Current operating lease liabilities, deferred revenue, other
EDGAR Mapper:
EDGAR mapping:
Source: 10-Q, accession #0001065280-25-000176, filed 2025-04-18
Period: 1Q25 / period ended 2025-03-31
Model row: Model!136 Other Current Liabilities
Mapping type: grouped
Concepts used: Liabilities = 28059.6 mm; ShortTermBorrowings = 1005.9 mm; AccountsPayableCurrent = 614.5 mm; SecuritiesLoaned = 0 mm; ShortTermBorrowings = 1005.9 mm; LongTermDebtNoncurrent = 14011 mm; DeferredTaxLiabilitiesNoncurrent = 0 mm; OtherLiabilitiesNoncurrent = 2633.4 mm
Unit conversion: raw USD to $mm
Sign: copied using model sign convention
Confidence: high
Value written: 8788.93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Q136" authorId="0" shapeId="0" xr:uid="{00000000-0006-0000-0700-0000D5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Model!136 Other Current Liabilities
Mapping type: grouped
Concepts used: Liabilities = 28147.8 mm; ShortTermBorrowings = 0 mm; AccountsPayableCurrent = 632.7 mm; SecuritiesLoaned = 0 mm; ShortTermBorrowings = 0 mm; LongTermDebtNoncurrent = 14453.2 mm; DeferredTaxLiabilitiesNoncurrent = 0 mm; OtherLiabilitiesNoncurrent = 3145.8 mm
Unit conversion: raw USD to $mm
Sign: copied using model sign convention
Confidence: high
Value written: 9916.021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R136" authorId="0" shapeId="0" xr:uid="{00000000-0006-0000-0700-0000D6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Model!136 Other Current Liabilities
Mapping type: grouped
Concepts used: Liabilities = 28980.8 mm; ShortTermBorrowings = 0 mm; AccountsPayableCurrent = 793.2 mm; SecuritiesLoaned = 0 mm; ShortTermBorrowings = 0 mm; LongTermDebtNoncurrent = 14463 mm; DeferredTaxLiabilitiesNoncurrent = 0 mm; OtherLiabilitiesNoncurrent = 3193.9 mm
Unit conversion: raw USD to $mm
Sign: copied using model sign convention
Confidence: high
Value written: 10530.599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S136" authorId="0" shapeId="0" xr:uid="{00000000-0006-0000-0700-0000D7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Model!136 Other Current Liabilities
Mapping type: grouped
Concepts used: Liabilities = 28981.5 mm; ShortTermBorrowings = 998.9 mm; AccountsPayableCurrent = 900.6 mm; SecuritiesLoaned = 0 mm; ShortTermBorrowings = 998.9 mm; LongTermDebtNoncurrent = 13464 mm; DeferredTaxLiabilitiesNoncurrent = 0 mm; OtherLiabilitiesNoncurrent = 2957.1 mm
Unit conversion: raw USD to $mm
Sign: copied using model sign convention
Confidence: high
Value written: 9662.064
Notes: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U136" authorId="0" shapeId="0" xr:uid="{00000000-0006-0000-0700-0000D8000000}">
      <text>
        <r>
          <rPr>
            <sz val="11"/>
            <color theme="1"/>
            <rFont val="Calibri"/>
            <family val="2"/>
            <scheme val="minor"/>
          </rPr>
          <t>======
ID#AAABbnJBV1E
Lilianna Ruby    (2025-01-14 21:09:38)
Current operating lease liabilities, deferred revenue, other</t>
        </r>
      </text>
    </comment>
    <comment ref="C139" authorId="0" shapeId="0" xr:uid="{00000000-0006-0000-0700-0000D9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40" authorId="0" shapeId="0" xr:uid="{00000000-0006-0000-0700-0000DA000000}">
      <text>
        <r>
          <rPr>
            <b/>
            <sz val="11"/>
            <rFont val="Calibri"/>
            <family val="2"/>
          </rPr>
          <t xml:space="preserve">EDGAR Mapper:
</t>
        </r>
        <r>
          <rPr>
            <sz val="11"/>
            <color theme="1"/>
            <rFont val="Calibri"/>
            <family val="2"/>
            <scheme val="minor"/>
          </rPr>
          <t>======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Short-term Debt, Long-term Debt, Excluding Current Maturities. Grouped from EDGAR: Short Term Borrowings, Long Term Debt Noncurrent.</t>
        </r>
      </text>
    </comment>
    <comment ref="P140" authorId="0" shapeId="0" xr:uid="{00000000-0006-0000-0700-0000DB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Model!140 LT Debt (Incl. Current Portion)
Mapping type: grouped
Concepts used: ShortTermBorrowings = 1005.9 mm; LongTermDebtNoncurrent = 14011 mm
Unit conversion: raw USD to $mm
Sign: copied using model sign convention
Confidence: high
Value written: 15016.918
Notes: Grouped from EDGAR: Short-term Debt, Long-term Debt, Excluding Current Maturities.</t>
        </r>
      </text>
    </comment>
    <comment ref="Q140" authorId="0" shapeId="0" xr:uid="{00000000-0006-0000-0700-0000DC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Model!140 LT Debt (Incl. Current Portion)
Mapping type: grouped
Concepts used: ShortTermBorrowings = 0 mm; LongTermDebtNoncurrent = 14453.2 mm
Unit conversion: raw USD to $mm
Sign: copied using model sign convention
Confidence: high
Value written: 14453.206
Notes: Grouped from EDGAR: Short-term Debt, Long-term Debt, Excluding Current Maturities.</t>
        </r>
      </text>
    </comment>
    <comment ref="R140" authorId="0" shapeId="0" xr:uid="{00000000-0006-0000-0700-0000DD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Model!140 LT Debt (Incl. Current Portion)
Mapping type: grouped
Concepts used: ShortTermBorrowings = 0 mm; LongTermDebtNoncurrent = 14463 mm
Unit conversion: raw USD to $mm
Sign: copied using model sign convention
Confidence: high
Value written: 14463.02
Notes: Grouped from EDGAR: Short-term Debt, Long-term Debt, Excluding Current Maturities.</t>
        </r>
      </text>
    </comment>
    <comment ref="S140" authorId="0" shapeId="0" xr:uid="{00000000-0006-0000-0700-0000DE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Model!140 LT Debt (Incl. Current Portion)
Mapping type: grouped
Concepts used: ShortTermBorrowings = 998.9 mm; LongTermDebtNoncurrent = 13464 mm
Unit conversion: raw USD to $mm
Sign: copied using model sign convention
Confidence: high
Value written: 14462.836
Notes: Grouped from EDGAR: Short Term Borrowings, Long Term Debt Noncurrent.</t>
        </r>
      </text>
    </comment>
    <comment ref="C141" authorId="0" shapeId="0" xr:uid="{00000000-0006-0000-0700-0000DF00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42" authorId="0" shapeId="0" xr:uid="{00000000-0006-0000-0700-0000E0000000}">
      <text>
        <r>
          <rPr>
            <b/>
            <sz val="11"/>
            <rFont val="Calibri"/>
            <family val="2"/>
          </rPr>
          <t xml:space="preserve">EDGAR Mapper:
</t>
        </r>
        <r>
          <rPr>
            <sz val="11"/>
            <color theme="1"/>
            <rFont val="Calibri"/>
            <family val="2"/>
            <scheme val="minor"/>
          </rPr>
          <t>======
ID#AAABbnJBVw8
Luke Brennan    (2025-01-14 21:09:38)
Accrued Retiree Healthcare
Accrued Pension Plan Liability, net
and Other LT Liabilities
EDGAR Mapper: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 Grouped from EDGAR: Assets, Liabilities Current, Short Term Borrowings, Long Term Debt Noncurrent, Deferred Tax Liabilities Noncurrent, Stockholders Equity, Noncontrolling Interest In Consolidated Entity. Included total assets less current liabilities, debt, deferred taxes, shareholder equity, and noncontrolling interests.</t>
        </r>
      </text>
    </comment>
    <comment ref="F142" authorId="0" shapeId="0" xr:uid="{00000000-0006-0000-0700-0000E1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G142" authorId="0" shapeId="0" xr:uid="{00000000-0006-0000-0700-0000E2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H142" authorId="0" shapeId="0" xr:uid="{00000000-0006-0000-0700-0000E3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I142" authorId="0" shapeId="0" xr:uid="{00000000-0006-0000-0700-0000E4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K142" authorId="0" shapeId="0" xr:uid="{00000000-0006-0000-0700-0000E5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L142" authorId="0" shapeId="0" xr:uid="{00000000-0006-0000-0700-0000E6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M142" authorId="0" shapeId="0" xr:uid="{00000000-0006-0000-0700-0000E7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N142" authorId="0" shapeId="0" xr:uid="{00000000-0006-0000-0700-0000E8000000}">
      <text>
        <r>
          <rPr>
            <b/>
            <sz val="11"/>
            <rFont val="Calibri"/>
            <family val="2"/>
          </rPr>
          <t xml:space="preserve">EDGAR Mapper:
</t>
        </r>
        <r>
          <rPr>
            <sz val="11"/>
            <color theme="1"/>
            <rFont val="Calibri"/>
            <family val="2"/>
            <scheme val="minor"/>
          </rPr>
          <t>Calculated as the residual needed for the Balance Sheet Check to tie to zero using EDGAR-sourced mapped balances.</t>
        </r>
      </text>
    </comment>
    <comment ref="P142" authorId="0" shapeId="0" xr:uid="{00000000-0006-0000-0700-0000E900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Model!142 Other Non-Current Liabilities
Mapping type: grouped
Concepts used: Assets = 52087.6 mm; LiabilitiesCurrent = 9718.5 mm; ShortTermBorrowings = 1005.9 mm; ShortTermBorrowings = 1005.9 mm; LongTermDebtNoncurrent = 14011 mm; DeferredTaxLiabilitiesNoncurrent = 0 mm; StockholdersEquity = 24028.1 mm; NoncontrollingInterestInConsolidatedEntity = 0 mm
Unit conversion: raw USD to $mm
Sign: copied using model sign convention
Confidence: high
Value written: 4330.015
Notes: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t>
        </r>
      </text>
    </comment>
    <comment ref="Q142" authorId="0" shapeId="0" xr:uid="{00000000-0006-0000-0700-0000EA00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Model!142 Other Non-Current Liabilities
Mapping type: grouped
Concepts used: Assets = 53099.7 mm; LiabilitiesCurrent = 8942.3 mm; ShortTermBorrowings = 0 mm; ShortTermBorrowings = 0 mm; LongTermDebtNoncurrent = 14453.2 mm; DeferredTaxLiabilitiesNoncurrent = 0 mm; StockholdersEquity = 24951.9 mm; NoncontrollingInterestInConsolidatedEntity = 0 mm
Unit conversion: raw USD to $mm
Sign: copied using model sign convention
Confidence: high
Value written: 4752.224
Notes: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t>
        </r>
      </text>
    </comment>
    <comment ref="R142" authorId="0" shapeId="0" xr:uid="{00000000-0006-0000-0700-0000EB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Model!142 Other Non-Current Liabilities
Mapping type: grouped
Concepts used: Assets = 54934.8 mm; LiabilitiesCurrent = 9731.9 mm; ShortTermBorrowings = 0 mm; ShortTermBorrowings = 0 mm; LongTermDebtNoncurrent = 14463 mm; DeferredTaxLiabilitiesNoncurrent = 0 mm; StockholdersEquity = 25954 mm; NoncontrollingInterestInConsolidatedEntity = 0 mm
Unit conversion: raw USD to $mm
Sign: copied using model sign convention
Confidence: high
Value written: 4785.921
Notes: 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t>
        </r>
      </text>
    </comment>
    <comment ref="S142" authorId="0" shapeId="0" xr:uid="{00000000-0006-0000-0700-0000EC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Model!142 Other Non-Current Liabilities
Mapping type: grouped
Concepts used: Assets = 55597 mm; LiabilitiesCurrent = 10980.9 mm; ShortTermBorrowings = 998.9 mm; ShortTermBorrowings = 998.9 mm; LongTermDebtNoncurrent = 13464 mm; DeferredTaxLiabilitiesNoncurrent = 0 mm; StockholdersEquity = 26615.5 mm; NoncontrollingInterestInConsolidatedEntity = 0 mm
Unit conversion: raw USD to $mm
Sign: copied using model sign convention
Confidence: high
Value written: 4536.604
Notes: Grouped from EDGAR: Assets, Liabilities Current, Short Term Borrowings, Long Term Debt Noncurrent, Deferred Tax Liabilities Noncurrent, Stockholders Equity, Noncontrolling Interest In Consolidated Entity. Included total assets less current liabilities, debt, deferred taxes, shareholder equity, and noncontrolling interests.</t>
        </r>
      </text>
    </comment>
    <comment ref="C147" authorId="0" shapeId="0" xr:uid="{00000000-0006-0000-0700-0000ED000000}">
      <text>
        <r>
          <rPr>
            <b/>
            <sz val="11"/>
            <rFont val="Calibri"/>
            <family val="2"/>
          </rPr>
          <t xml:space="preserve">EDGAR Mapper:
</t>
        </r>
        <r>
          <rPr>
            <sz val="11"/>
            <color theme="1"/>
            <rFont val="Calibri"/>
            <family val="2"/>
            <scheme val="minor"/>
          </rP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7" authorId="0" shapeId="0" xr:uid="{00000000-0006-0000-0700-0000EE000000}">
      <text>
        <r>
          <rPr>
            <b/>
            <sz val="11"/>
            <rFont val="Calibri"/>
            <family val="2"/>
          </rPr>
          <t xml:space="preserve">EDGAR Mapper:
</t>
        </r>
        <r>
          <rPr>
            <sz val="11"/>
            <color theme="1"/>
            <rFont val="Calibri"/>
            <family val="2"/>
            <scheme val="minor"/>
          </rPr>
          <t>EDGAR mapping:
Source: 10-Q, accession #0001065280-24-000200, filed 2024-07-19
Period: 1Q23 / period ended 2023-03-31
Model row: Model!147 Common Stock &amp; APIC
Mapping type: grouped
Concepts used: StockholdersEquity = 21828.2 mm; RetainedEarningsAccumulatedDeficit = 18486.4 mm; TreasuryStockValue = 0 mm; AccumulatedOtherComprehensiveIncomeLossNetOfTax = -191.7 mm
Unit conversion: raw USD to $mm
Sign: copied using model sign convention
Confidence: high
Value written: 3533.475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7" authorId="0" shapeId="0" xr:uid="{00000000-0006-0000-0700-0000EF000000}">
      <text>
        <r>
          <rPr>
            <b/>
            <sz val="11"/>
            <rFont val="Calibri"/>
            <family val="2"/>
          </rPr>
          <t xml:space="preserve">EDGAR Mapper:
</t>
        </r>
        <r>
          <rPr>
            <sz val="11"/>
            <color theme="1"/>
            <rFont val="Calibri"/>
            <family val="2"/>
            <scheme val="minor"/>
          </rPr>
          <t>EDGAR mapping:
Source: 10-Q, accession #0001065280-24-000287, filed 2024-10-18
Period: 2Q23 / period ended 2023-06-30
Model row: Model!147 Common Stock &amp; APIC
Mapping type: grouped
Concepts used: StockholdersEquity = 22832.2 mm; RetainedEarningsAccumulatedDeficit = 19974 mm; TreasuryStockValue = 0 mm; AccumulatedOtherComprehensiveIncomeLossNetOfTax = -139.3 mm
Unit conversion: raw USD to $mm
Sign: copied using model sign convention
Confidence: high
Value written: 2997.455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7" authorId="0" shapeId="0" xr:uid="{00000000-0006-0000-0700-0000F0000000}">
      <text>
        <r>
          <rPr>
            <b/>
            <sz val="11"/>
            <rFont val="Calibri"/>
            <family val="2"/>
          </rPr>
          <t xml:space="preserve">EDGAR Mapper:
</t>
        </r>
        <r>
          <rPr>
            <sz val="11"/>
            <color theme="1"/>
            <rFont val="Calibri"/>
            <family val="2"/>
            <scheme val="minor"/>
          </rPr>
          <t>EDGAR mapping:
Source: 10-Q, accession #0001065280-24-000287, filed 2024-10-18
Period: 3Q23 / period ended 2023-09-30
Model row: Model!147 Common Stock &amp; APIC
Mapping type: grouped
Concepts used: StockholdersEquity = 22107.6 mm; RetainedEarningsAccumulatedDeficit = 21651.4 mm; TreasuryStockValue = 0 mm; AccumulatedOtherComprehensiveIncomeLossNetOfTax = -155.6 mm
Unit conversion: raw USD to $mm
Sign: copied using model sign convention
Confidence: high
Value written: 611.75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7" authorId="0" shapeId="0" xr:uid="{00000000-0006-0000-0700-0000F1000000}">
      <text>
        <r>
          <rPr>
            <b/>
            <sz val="11"/>
            <rFont val="Calibri"/>
            <family val="2"/>
          </rPr>
          <t xml:space="preserve">EDGAR Mapper:
</t>
        </r>
        <r>
          <rPr>
            <sz val="11"/>
            <color theme="1"/>
            <rFont val="Calibri"/>
            <family val="2"/>
            <scheme val="minor"/>
          </rPr>
          <t>EDGAR mapping:
Source: 10-K, accession #0001065280-26-000034, filed 2026-01-23
Period: 4Q23 / period ended 2023-12-31
Model row: Model!147 Common Stock &amp; APIC
Mapping type: grouped
Concepts used: StockholdersEquity = 20588.3 mm; RetainedEarningsAccumulatedDeficit = 22589.3 mm; TreasuryStockValue = 0 mm; AccumulatedOtherComprehensiveIncomeLossNetOfTax = -223.9 mm
Unit conversion: raw USD to $mm
Sign: copied using model sign convention
Confidence: high
Value written: -1777.028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7" authorId="0" shapeId="0" xr:uid="{00000000-0006-0000-0700-0000F2000000}">
      <text>
        <r>
          <rPr>
            <b/>
            <sz val="11"/>
            <rFont val="Calibri"/>
            <family val="2"/>
          </rPr>
          <t xml:space="preserve">EDGAR Mapper:
</t>
        </r>
        <r>
          <rPr>
            <sz val="11"/>
            <color theme="1"/>
            <rFont val="Calibri"/>
            <family val="2"/>
            <scheme val="minor"/>
          </rPr>
          <t>EDGAR mapping:
Source: 10-Q, accession #0001065280-25-000323, filed 2025-07-18
Period: 1Q24 / period ended 2024-03-31
Model row: Model!147 Common Stock &amp; APIC
Mapping type: grouped
Concepts used: StockholdersEquity = 21365.4 mm; RetainedEarningsAccumulatedDeficit = 24921.5 mm; TreasuryStockValue = 0 mm; AccumulatedOtherComprehensiveIncomeLossNetOfTax = -111.9 mm
Unit conversion: raw USD to $mm
Sign: copied using model sign convention
Confidence: high
Value written: -3444.206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7" authorId="0" shapeId="0" xr:uid="{00000000-0006-0000-0700-0000F3000000}">
      <text>
        <r>
          <rPr>
            <b/>
            <sz val="11"/>
            <rFont val="Calibri"/>
            <family val="2"/>
          </rPr>
          <t xml:space="preserve">EDGAR Mapper:
</t>
        </r>
        <r>
          <rPr>
            <sz val="11"/>
            <color theme="1"/>
            <rFont val="Calibri"/>
            <family val="2"/>
            <scheme val="minor"/>
          </rPr>
          <t>EDGAR mapping:
Source: 10-Q, accession #0001065280-25-000406, filed 2025-10-22
Period: 2Q24 / period ended 2024-06-30
Model row: Model!147 Common Stock &amp; APIC
Mapping type: grouped
Concepts used: StockholdersEquity = 22112.7 mm; RetainedEarningsAccumulatedDeficit = 27068.8 mm; TreasuryStockValue = 0 mm; AccumulatedOtherComprehensiveIncomeLossNetOfTax = -89.1 mm
Unit conversion: raw USD to $mm
Sign: copied using model sign convention
Confidence: high
Value written: -4866.994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7" authorId="0" shapeId="0" xr:uid="{00000000-0006-0000-0700-0000F400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Model!147 Common Stock &amp; APIC
Mapping type: grouped
Concepts used: StockholdersEquity = 22720.7 mm; RetainedEarningsAccumulatedDeficit = 29432.3 mm; TreasuryStockValue = 0 mm; AccumulatedOtherComprehensiveIncomeLossNetOfTax = -344.6 mm
Unit conversion: raw USD to $mm
Sign: copied using model sign convention
Confidence: high
Value written: -6366.952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7" authorId="0" shapeId="0" xr:uid="{00000000-0006-0000-0700-0000F500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Model!147 Common Stock &amp; APIC
Mapping type: grouped
Concepts used: StockholdersEquity = 24743.6 mm; RetainedEarningsAccumulatedDeficit = 31300.9 mm; TreasuryStockValue = 0 mm; AccumulatedOtherComprehensiveIncomeLossNetOfTax = 362.2 mm
Unit conversion: raw USD to $mm
Sign: copied using model sign convention
Confidence: high
Value written: -6919.512
Notes: Grouped from EDGAR: Stockholders Equity, Retained Earnings (Accumulated Deficit), Treasury Stock Value, Accumulated Other Comprehensive Income (Loss), Net of Tax. Included stockholders' equity less retained earnings, treasury stock, and AOCI.</t>
        </r>
      </text>
    </comment>
    <comment ref="P147" authorId="0" shapeId="0" xr:uid="{00000000-0006-0000-0700-0000F600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Model!147 Common Stock &amp; APIC
Mapping type: grouped
Concepts used: StockholdersEquity = 24028.1 mm; RetainedEarningsAccumulatedDeficit = 34191.3 mm; TreasuryStockValue = 0 mm; AccumulatedOtherComprehensiveIncomeLossNetOfTax = -85.7 mm
Unit conversion: raw USD to $mm
Sign: copied using model sign convention
Confidence: high
Value written: -10077.46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7" authorId="0" shapeId="0" xr:uid="{00000000-0006-0000-0700-0000F7000000}">
      <text>
        <r>
          <rPr>
            <b/>
            <sz val="11"/>
            <rFont val="Calibri"/>
            <family val="2"/>
          </rPr>
          <t xml:space="preserve">EDGAR Mapper:
</t>
        </r>
        <r>
          <rPr>
            <sz val="11"/>
            <color theme="1"/>
            <rFont val="Calibri"/>
            <family val="2"/>
            <scheme val="minor"/>
          </rPr>
          <t>EDGAR mapping:
Source: 10-Q, accession #0001065280-25-000406, filed 2025-10-22
Period: 2Q25 / period ended 2025-06-30
Model row: Model!147 Common Stock &amp; APIC
Mapping type: grouped
Concepts used: StockholdersEquity = 24951.9 mm; RetainedEarningsAccumulatedDeficit = 37316.7 mm; TreasuryStockValue = 0 mm; AccumulatedOtherComprehensiveIncomeLossNetOfTax = -904.7 mm
Unit conversion: raw USD to $mm
Sign: copied using model sign convention
Confidence: high
Value written: -11460.114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7" authorId="0" shapeId="0" xr:uid="{00000000-0006-0000-0700-0000F800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Model!147 Common Stock &amp; APIC
Mapping type: grouped
Concepts used: StockholdersEquity = 25954 mm; RetainedEarningsAccumulatedDeficit = 39863.6 mm; TreasuryStockValue = 0 mm; AccumulatedOtherComprehensiveIncomeLossNetOfTax = -719.3 mm
Unit conversion: raw USD to $mm
Sign: copied using model sign convention
Confidence: high
Value written: -13190.306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7" authorId="0" shapeId="0" xr:uid="{00000000-0006-0000-0700-0000F900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Model!147 Common Stock &amp; APIC
Mapping type: grouped
Concepts used: StockholdersEquity = 26615.5 mm; RetainedEarningsAccumulatedDeficit = 42282.1 mm; TreasuryStockValue = 0 mm; AccumulatedOtherComprehensiveIncomeLossNetOfTax = -580.4 mm
Unit conversion: raw USD to $mm
Sign: copied using model sign convention
Confidence: high
Value written: -15086.248
Notes: Grouped from EDGAR: Stockholders Equity, Retained Earnings Accumulated Deficit, Treasury Stock Value, Accumulated Other Comprehensive income loss net of Tax. Included stockholders' equity less retained earnings, treasury stock, and AOCI.</t>
        </r>
      </text>
    </comment>
    <comment ref="U147" authorId="0" shapeId="0" xr:uid="{00000000-0006-0000-0700-0000FA00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Model!147 Common Stock &amp; APIC
Mapping type: grouped
Concepts used: StockholdersEquity = 31126.4 mm; RetainedEarningsAccumulatedDeficit = 47564.9 mm; TreasuryStockValue = 0 mm; AccumulatedOtherComprehensiveIncomeLossNetOfTax = -235 mm
Unit conversion: raw USD to $mm
Sign: copied using model sign convention
Confidence: high
Value written: -16203.479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F148" authorId="0" shapeId="0" xr:uid="{00000000-0006-0000-0700-0000FB00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Model!148 Retained Earnings
Mapping type: direct
Concepts used: RetainedEarningsAccumulatedDeficit = 18486.4 mm
Unit conversion: raw USD to $mm
Sign: copied using model sign convention
Confidence: high
Value written: 18486.416</t>
        </r>
      </text>
    </comment>
    <comment ref="G148" authorId="0" shapeId="0" xr:uid="{00000000-0006-0000-0700-0000FC00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Model!148 Retained Earnings
Mapping type: direct
Concepts used: RetainedEarningsAccumulatedDeficit = 19974 mm
Unit conversion: raw USD to $mm
Sign: copied using model sign convention
Confidence: high
Value written: 19974.026</t>
        </r>
      </text>
    </comment>
    <comment ref="H148" authorId="0" shapeId="0" xr:uid="{00000000-0006-0000-0700-0000FD00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Model!148 Retained Earnings
Mapping type: direct
Concepts used: RetainedEarningsAccumulatedDeficit = 21651.4 mm
Unit conversion: raw USD to $mm
Sign: copied using model sign convention
Confidence: high
Value written: 21651.448</t>
        </r>
      </text>
    </comment>
    <comment ref="I148" authorId="0" shapeId="0" xr:uid="{00000000-0006-0000-0700-0000FE00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Model!148 Retained Earnings
Mapping type: direct
Concepts used: RetainedEarningsAccumulatedDeficit = 22589.3 mm
Unit conversion: raw USD to $mm
Sign: copied using model sign convention
Confidence: high
Value written: 22589.286</t>
        </r>
      </text>
    </comment>
    <comment ref="K148" authorId="0" shapeId="0" xr:uid="{00000000-0006-0000-0700-0000FF00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Model!148 Retained Earnings
Mapping type: direct
Concepts used: RetainedEarningsAccumulatedDeficit = 24921.5 mm
Unit conversion: raw USD to $mm
Sign: copied using model sign convention
Confidence: high
Value written: 24921.495</t>
        </r>
      </text>
    </comment>
    <comment ref="L148" authorId="0" shapeId="0" xr:uid="{00000000-0006-0000-0700-00000001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Model!148 Retained Earnings
Mapping type: direct
Concepts used: RetainedEarningsAccumulatedDeficit = 27068.8 mm
Unit conversion: raw USD to $mm
Sign: copied using model sign convention
Confidence: high
Value written: 27068.801</t>
        </r>
      </text>
    </comment>
    <comment ref="M148" authorId="0" shapeId="0" xr:uid="{00000000-0006-0000-0700-00000101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Model!148 Retained Earnings
Mapping type: direct
Concepts used: RetainedEarningsAccumulatedDeficit = 29432.3 mm
Unit conversion: raw USD to $mm
Sign: copied using model sign convention
Confidence: high
Value written: 29432.31</t>
        </r>
      </text>
    </comment>
    <comment ref="N148" authorId="0" shapeId="0" xr:uid="{00000000-0006-0000-0700-00000201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Model!148 Retained Earnings
Mapping type: direct
Concepts used: RetainedEarningsAccumulatedDeficit = 31300.9 mm
Unit conversion: raw USD to $mm
Sign: copied using model sign convention
Confidence: high
Value written: 31300.917</t>
        </r>
      </text>
    </comment>
    <comment ref="P148" authorId="0" shapeId="0" xr:uid="{00000000-0006-0000-0700-00000301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Model!148 Retained Earnings
Mapping type: direct
Concepts used: RetainedEarningsAccumulatedDeficit = 34191.3 mm
Unit conversion: raw USD to $mm
Sign: copied using model sign convention
Confidence: high
Value written: 34191.268</t>
        </r>
      </text>
    </comment>
    <comment ref="Q148" authorId="0" shapeId="0" xr:uid="{00000000-0006-0000-0700-00000401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Model!148 Retained Earnings
Mapping type: direct
Concepts used: RetainedEarningsAccumulatedDeficit = 37316.7 mm
Unit conversion: raw USD to $mm
Sign: copied using model sign convention
Confidence: high
Value written: 37316.681</t>
        </r>
      </text>
    </comment>
    <comment ref="R148" authorId="0" shapeId="0" xr:uid="{00000000-0006-0000-0700-00000501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Model!148 Retained Earnings
Mapping type: direct
Concepts used: RetainedEarningsAccumulatedDeficit = 39863.6 mm
Unit conversion: raw USD to $mm
Sign: copied using model sign convention
Confidence: high
Value written: 39863.597</t>
        </r>
      </text>
    </comment>
    <comment ref="S148" authorId="0" shapeId="0" xr:uid="{00000000-0006-0000-0700-00000601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Model!148 Retained Earnings
Mapping type: direct
Concepts used: RetainedEarningsAccumulatedDeficit = 42282.1 mm
Unit conversion: raw USD to $mm
Sign: copied using model sign convention
Confidence: high
Value written: 42282.118</t>
        </r>
      </text>
    </comment>
    <comment ref="U148" authorId="0" shapeId="0" xr:uid="{00000000-0006-0000-0700-00000701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Model!148 Retained Earnings
Mapping type: direct
Concepts used: RetainedEarningsAccumulatedDeficit = 47564.9 mm
Unit conversion: raw USD to $mm
Sign: copied using model sign convention
Confidence: high
Value written: 47564.909</t>
        </r>
      </text>
    </comment>
    <comment ref="C149" authorId="0" shapeId="0" xr:uid="{00000000-0006-0000-0700-000008010000}">
      <text>
        <r>
          <rPr>
            <b/>
            <sz val="11"/>
            <rFont val="Calibri"/>
            <family val="2"/>
          </rPr>
          <t xml:space="preserve">EDGAR Mapper:
</t>
        </r>
        <r>
          <rPr>
            <sz val="11"/>
            <color theme="1"/>
            <rFont val="Calibri"/>
            <family val="2"/>
            <scheme val="minor"/>
          </rPr>
          <t>Grouped from EDGAR: Treasury Stock Value.</t>
        </r>
      </text>
    </comment>
    <comment ref="F149" authorId="0" shapeId="0" xr:uid="{00000000-0006-0000-0700-000009010000}">
      <text>
        <r>
          <rPr>
            <b/>
            <sz val="11"/>
            <rFont val="Calibri"/>
            <family val="2"/>
          </rPr>
          <t xml:space="preserve">EDGAR Mapper:
</t>
        </r>
        <r>
          <rPr>
            <sz val="11"/>
            <color theme="1"/>
            <rFont val="Calibri"/>
            <family val="2"/>
            <scheme val="minor"/>
          </rPr>
          <t>EDGAR mapping:
Source: SEC filing
Period: 1Q23
Model row: Model!149 Treasury Stock
Mapping type: grouped
Concepts used: TreasuryStockValue = 0 mm
Unit conversion: raw USD to $mm
Sign: copied using model sign convention
Confidence: high
Value written: 0
Notes: Grouped from EDGAR: Treasury Stock Value.</t>
        </r>
      </text>
    </comment>
    <comment ref="G149" authorId="0" shapeId="0" xr:uid="{00000000-0006-0000-0700-00000A010000}">
      <text>
        <r>
          <rPr>
            <b/>
            <sz val="11"/>
            <rFont val="Calibri"/>
            <family val="2"/>
          </rPr>
          <t xml:space="preserve">EDGAR Mapper:
</t>
        </r>
        <r>
          <rPr>
            <sz val="11"/>
            <color theme="1"/>
            <rFont val="Calibri"/>
            <family val="2"/>
            <scheme val="minor"/>
          </rPr>
          <t>EDGAR mapping:
Source: SEC filing
Period: 2Q23
Model row: Model!149 Treasury Stock
Mapping type: grouped
Concepts used: TreasuryStockValue = 0 mm
Unit conversion: raw USD to $mm
Sign: copied using model sign convention
Confidence: high
Value written: 0
Notes: Grouped from EDGAR: Treasury Stock Value.</t>
        </r>
      </text>
    </comment>
    <comment ref="H149" authorId="0" shapeId="0" xr:uid="{00000000-0006-0000-0700-00000B010000}">
      <text>
        <r>
          <rPr>
            <b/>
            <sz val="11"/>
            <rFont val="Calibri"/>
            <family val="2"/>
          </rPr>
          <t xml:space="preserve">EDGAR Mapper:
</t>
        </r>
        <r>
          <rPr>
            <sz val="11"/>
            <color theme="1"/>
            <rFont val="Calibri"/>
            <family val="2"/>
            <scheme val="minor"/>
          </rPr>
          <t>EDGAR mapping:
Source: SEC filing
Period: 3Q23
Model row: Model!149 Treasury Stock
Mapping type: grouped
Concepts used: TreasuryStockValue = 0 mm
Unit conversion: raw USD to $mm
Sign: copied using model sign convention
Confidence: high
Value written: 0
Notes: Grouped from EDGAR: Treasury Stock Value.</t>
        </r>
      </text>
    </comment>
    <comment ref="I149" authorId="0" shapeId="0" xr:uid="{00000000-0006-0000-0700-00000C010000}">
      <text>
        <r>
          <rPr>
            <b/>
            <sz val="11"/>
            <rFont val="Calibri"/>
            <family val="2"/>
          </rPr>
          <t xml:space="preserve">EDGAR Mapper:
</t>
        </r>
        <r>
          <rPr>
            <sz val="11"/>
            <color theme="1"/>
            <rFont val="Calibri"/>
            <family val="2"/>
            <scheme val="minor"/>
          </rPr>
          <t>EDGAR mapping:
Source: SEC filing
Period: 4Q23
Model row: Model!149 Treasury Stock
Mapping type: grouped
Concepts used: TreasuryStockValue = 0 mm
Unit conversion: raw USD to $mm
Sign: copied using model sign convention
Confidence: high
Value written: 0
Notes: Grouped from EDGAR: Treasury Stock Value.</t>
        </r>
      </text>
    </comment>
    <comment ref="K149" authorId="0" shapeId="0" xr:uid="{00000000-0006-0000-0700-00000D010000}">
      <text>
        <r>
          <rPr>
            <b/>
            <sz val="11"/>
            <rFont val="Calibri"/>
            <family val="2"/>
          </rPr>
          <t xml:space="preserve">EDGAR Mapper:
</t>
        </r>
        <r>
          <rPr>
            <sz val="11"/>
            <color theme="1"/>
            <rFont val="Calibri"/>
            <family val="2"/>
            <scheme val="minor"/>
          </rPr>
          <t>EDGAR mapping:
Source: SEC filing
Period: 1Q24
Model row: Model!149 Treasury Stock
Mapping type: grouped
Concepts used: TreasuryStockValue = 0 mm
Unit conversion: raw USD to $mm
Sign: copied using model sign convention
Confidence: high
Value written: 0
Notes: Grouped from EDGAR: Treasury Stock Value.</t>
        </r>
      </text>
    </comment>
    <comment ref="L149" authorId="0" shapeId="0" xr:uid="{00000000-0006-0000-0700-00000E010000}">
      <text>
        <r>
          <rPr>
            <b/>
            <sz val="11"/>
            <rFont val="Calibri"/>
            <family val="2"/>
          </rPr>
          <t xml:space="preserve">EDGAR Mapper:
</t>
        </r>
        <r>
          <rPr>
            <sz val="11"/>
            <color theme="1"/>
            <rFont val="Calibri"/>
            <family val="2"/>
            <scheme val="minor"/>
          </rPr>
          <t>EDGAR mapping:
Source: SEC filing
Period: 2Q24
Model row: Model!149 Treasury Stock
Mapping type: grouped
Concepts used: TreasuryStockValue = 0 mm
Unit conversion: raw USD to $mm
Sign: copied using model sign convention
Confidence: high
Value written: 0
Notes: Grouped from EDGAR: Treasury Stock Value.</t>
        </r>
      </text>
    </comment>
    <comment ref="M149" authorId="0" shapeId="0" xr:uid="{00000000-0006-0000-0700-00000F010000}">
      <text>
        <r>
          <rPr>
            <b/>
            <sz val="11"/>
            <rFont val="Calibri"/>
            <family val="2"/>
          </rPr>
          <t xml:space="preserve">EDGAR Mapper:
</t>
        </r>
        <r>
          <rPr>
            <sz val="11"/>
            <color theme="1"/>
            <rFont val="Calibri"/>
            <family val="2"/>
            <scheme val="minor"/>
          </rPr>
          <t>EDGAR mapping:
Source: SEC filing
Period: 3Q24
Model row: Model!149 Treasury Stock
Mapping type: grouped
Concepts used: TreasuryStockValue = 0 mm
Unit conversion: raw USD to $mm
Sign: copied using model sign convention
Confidence: high
Value written: 0
Notes: Grouped from EDGAR: Treasury Stock Value.</t>
        </r>
      </text>
    </comment>
    <comment ref="N149" authorId="0" shapeId="0" xr:uid="{00000000-0006-0000-0700-000010010000}">
      <text>
        <r>
          <rPr>
            <b/>
            <sz val="11"/>
            <rFont val="Calibri"/>
            <family val="2"/>
          </rPr>
          <t xml:space="preserve">EDGAR Mapper:
</t>
        </r>
        <r>
          <rPr>
            <sz val="11"/>
            <color theme="1"/>
            <rFont val="Calibri"/>
            <family val="2"/>
            <scheme val="minor"/>
          </rPr>
          <t>EDGAR mapping:
Source: SEC filing
Period: 4Q24
Model row: Model!149 Treasury Stock
Mapping type: grouped
Concepts used: TreasuryStockValue = 0 mm
Unit conversion: raw USD to $mm
Sign: copied using model sign convention
Confidence: high
Value written: 0
Notes: Grouped from EDGAR: Treasury Stock Value.</t>
        </r>
      </text>
    </comment>
    <comment ref="P149" authorId="0" shapeId="0" xr:uid="{00000000-0006-0000-0700-000011010000}">
      <text>
        <r>
          <rPr>
            <b/>
            <sz val="11"/>
            <rFont val="Calibri"/>
            <family val="2"/>
          </rPr>
          <t xml:space="preserve">EDGAR Mapper:
</t>
        </r>
        <r>
          <rPr>
            <sz val="11"/>
            <color theme="1"/>
            <rFont val="Calibri"/>
            <family val="2"/>
            <scheme val="minor"/>
          </rPr>
          <t>EDGAR mapping:
Source: SEC filing
Period: 1Q25
Model row: Model!149 Treasury Stock
Mapping type: grouped
Concepts used: TreasuryStockValue = 0 mm
Unit conversion: raw USD to $mm
Sign: copied using model sign convention
Confidence: high
Value written: 0
Notes: Grouped from EDGAR: Treasury Stock Value.</t>
        </r>
      </text>
    </comment>
    <comment ref="Q149" authorId="0" shapeId="0" xr:uid="{00000000-0006-0000-0700-000012010000}">
      <text>
        <r>
          <rPr>
            <b/>
            <sz val="11"/>
            <rFont val="Calibri"/>
            <family val="2"/>
          </rPr>
          <t xml:space="preserve">EDGAR Mapper:
</t>
        </r>
        <r>
          <rPr>
            <sz val="11"/>
            <color theme="1"/>
            <rFont val="Calibri"/>
            <family val="2"/>
            <scheme val="minor"/>
          </rPr>
          <t>EDGAR mapping:
Source: SEC filing
Period: 2Q25
Model row: Model!149 Treasury Stock
Mapping type: grouped
Concepts used: TreasuryStockValue = 0 mm
Unit conversion: raw USD to $mm
Sign: copied using model sign convention
Confidence: high
Value written: 0
Notes: Grouped from EDGAR: Treasury Stock Value.</t>
        </r>
      </text>
    </comment>
    <comment ref="R149" authorId="0" shapeId="0" xr:uid="{00000000-0006-0000-0700-000013010000}">
      <text>
        <r>
          <rPr>
            <b/>
            <sz val="11"/>
            <rFont val="Calibri"/>
            <family val="2"/>
          </rPr>
          <t xml:space="preserve">EDGAR Mapper:
</t>
        </r>
        <r>
          <rPr>
            <sz val="11"/>
            <color theme="1"/>
            <rFont val="Calibri"/>
            <family val="2"/>
            <scheme val="minor"/>
          </rPr>
          <t>EDGAR mapping:
Source: SEC filing
Period: 3Q25
Model row: Model!149 Treasury Stock
Mapping type: grouped
Concepts used: TreasuryStockValue = 0 mm
Unit conversion: raw USD to $mm
Sign: copied using model sign convention
Confidence: high
Value written: 0
Notes: Grouped from EDGAR: Treasury Stock Value.</t>
        </r>
      </text>
    </comment>
    <comment ref="S149" authorId="0" shapeId="0" xr:uid="{00000000-0006-0000-0700-000014010000}">
      <text>
        <r>
          <rPr>
            <b/>
            <sz val="11"/>
            <rFont val="Calibri"/>
            <family val="2"/>
          </rPr>
          <t xml:space="preserve">EDGAR Mapper:
</t>
        </r>
        <r>
          <rPr>
            <sz val="11"/>
            <color theme="1"/>
            <rFont val="Calibri"/>
            <family val="2"/>
            <scheme val="minor"/>
          </rPr>
          <t>EDGAR mapping:
Source: SEC filing
Period: 4Q25
Model row: Model!149 Treasury Stock
Mapping type: grouped
Concepts used: TreasuryStockValue = 0 mm
Unit conversion: raw USD to $mm
Sign: copied using model sign convention
Confidence: high
Value written: 0
Notes: Grouped from EDGAR: Treasury Stock Value.</t>
        </r>
      </text>
    </comment>
    <comment ref="U149" authorId="0" shapeId="0" xr:uid="{00000000-0006-0000-0700-000015010000}">
      <text>
        <r>
          <rPr>
            <b/>
            <sz val="11"/>
            <rFont val="Calibri"/>
            <family val="2"/>
          </rPr>
          <t xml:space="preserve">EDGAR Mapper:
</t>
        </r>
        <r>
          <rPr>
            <sz val="11"/>
            <color theme="1"/>
            <rFont val="Calibri"/>
            <family val="2"/>
            <scheme val="minor"/>
          </rPr>
          <t>EDGAR mapping:
Source: SEC filing
Period: 1Q26
Model row: Model!149 Treasury Stock
Mapping type: grouped
Concepts used: TreasuryStockValue = 0 mm
Unit conversion: raw USD to $mm
Sign: copied using model sign convention
Confidence: high
Value written: 0
Notes: Grouped from EDGAR: Treasury Stock Value.</t>
        </r>
      </text>
    </comment>
    <comment ref="C150" authorId="0" shapeId="0" xr:uid="{00000000-0006-0000-0700-00001601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shapeId="0" xr:uid="{00000000-0006-0000-0700-000017010000}">
      <text>
        <r>
          <rPr>
            <b/>
            <sz val="11"/>
            <rFont val="Calibri"/>
            <family val="2"/>
          </rPr>
          <t xml:space="preserve">EDGAR Mapper:
</t>
        </r>
        <r>
          <rPr>
            <sz val="11"/>
            <color theme="1"/>
            <rFont val="Calibri"/>
            <family val="2"/>
            <scheme val="minor"/>
          </rPr>
          <t>EDGAR mapping:
Source: 10-Q, accession #0001065280-23-000120, filed 2023-04-21
Period: 1Q23 / period ended 2023-03-31
Model row: Model!150 Accumulated Other Comprehensive Income (AOCI)
Mapping type: direct
Concepts used: AccumulatedOtherComprehensiveIncomeLossNetOfTax = -191.7 mm
Unit conversion: raw USD to $mm
Sign: copied using model sign convention
Confidence: high
Value written: -191.695</t>
        </r>
      </text>
    </comment>
    <comment ref="G150" authorId="0" shapeId="0" xr:uid="{00000000-0006-0000-0700-000018010000}">
      <text>
        <r>
          <rPr>
            <b/>
            <sz val="11"/>
            <rFont val="Calibri"/>
            <family val="2"/>
          </rPr>
          <t xml:space="preserve">EDGAR Mapper:
</t>
        </r>
        <r>
          <rPr>
            <sz val="11"/>
            <color theme="1"/>
            <rFont val="Calibri"/>
            <family val="2"/>
            <scheme val="minor"/>
          </rPr>
          <t>EDGAR mapping:
Source: 10-Q, accession #0001065280-23-000198, filed 2023-07-21
Period: 2Q23 / period ended 2023-06-30
Model row: Model!150 Accumulated Other Comprehensive Income (AOCI)
Mapping type: direct
Concepts used: AccumulatedOtherComprehensiveIncomeLossNetOfTax = -139.3 mm
Unit conversion: raw USD to $mm
Sign: copied using model sign convention
Confidence: high
Value written: -139.266</t>
        </r>
      </text>
    </comment>
    <comment ref="H150" authorId="0" shapeId="0" xr:uid="{00000000-0006-0000-0700-000019010000}">
      <text>
        <r>
          <rPr>
            <b/>
            <sz val="11"/>
            <rFont val="Calibri"/>
            <family val="2"/>
          </rPr>
          <t xml:space="preserve">EDGAR Mapper:
</t>
        </r>
        <r>
          <rPr>
            <sz val="11"/>
            <color theme="1"/>
            <rFont val="Calibri"/>
            <family val="2"/>
            <scheme val="minor"/>
          </rPr>
          <t>EDGAR mapping:
Source: 10-Q, accession #0001065280-23-000273, filed 2023-10-20
Period: 3Q23 / period ended 2023-09-30
Model row: Model!150 Accumulated Other Comprehensive Income (AOCI)
Mapping type: direct
Concepts used: AccumulatedOtherComprehensiveIncomeLossNetOfTax = -155.6 mm
Unit conversion: raw USD to $mm
Sign: copied using model sign convention
Confidence: high
Value written: -155.571</t>
        </r>
      </text>
    </comment>
    <comment ref="I150" authorId="0" shapeId="0" xr:uid="{00000000-0006-0000-0700-00001A010000}">
      <text>
        <r>
          <rPr>
            <b/>
            <sz val="11"/>
            <rFont val="Calibri"/>
            <family val="2"/>
          </rPr>
          <t xml:space="preserve">EDGAR Mapper:
</t>
        </r>
        <r>
          <rPr>
            <sz val="11"/>
            <color theme="1"/>
            <rFont val="Calibri"/>
            <family val="2"/>
            <scheme val="minor"/>
          </rPr>
          <t>EDGAR mapping:
Source: 10-K, accession #0001065280-25-000044, filed 2025-01-27
Period: 4Q23 / period ended 2023-12-31
Model row: Model!150 Accumulated Other Comprehensive Income (AOCI)
Mapping type: direct
Concepts used: AccumulatedOtherComprehensiveIncomeLossNetOfTax = -223.9 mm
Unit conversion: raw USD to $mm
Sign: copied using model sign convention
Confidence: high
Value written: -223.945</t>
        </r>
      </text>
    </comment>
    <comment ref="K150" authorId="0" shapeId="0" xr:uid="{00000000-0006-0000-0700-00001B010000}">
      <text>
        <r>
          <rPr>
            <b/>
            <sz val="11"/>
            <rFont val="Calibri"/>
            <family val="2"/>
          </rPr>
          <t xml:space="preserve">EDGAR Mapper:
</t>
        </r>
        <r>
          <rPr>
            <sz val="11"/>
            <color theme="1"/>
            <rFont val="Calibri"/>
            <family val="2"/>
            <scheme val="minor"/>
          </rPr>
          <t>EDGAR mapping:
Source: 10-Q, accession #0001065280-24-000128, filed 2024-04-22
Period: 1Q24 / period ended 2024-03-31
Model row: Model!150 Accumulated Other Comprehensive Income (AOCI)
Mapping type: direct
Concepts used: AccumulatedOtherComprehensiveIncomeLossNetOfTax = -111.9 mm
Unit conversion: raw USD to $mm
Sign: copied using model sign convention
Confidence: high
Value written: -111.879</t>
        </r>
      </text>
    </comment>
    <comment ref="L150" authorId="0" shapeId="0" xr:uid="{00000000-0006-0000-0700-00001C010000}">
      <text>
        <r>
          <rPr>
            <b/>
            <sz val="11"/>
            <rFont val="Calibri"/>
            <family val="2"/>
          </rPr>
          <t xml:space="preserve">EDGAR Mapper:
</t>
        </r>
        <r>
          <rPr>
            <sz val="11"/>
            <color theme="1"/>
            <rFont val="Calibri"/>
            <family val="2"/>
            <scheme val="minor"/>
          </rPr>
          <t>EDGAR mapping:
Source: 10-Q, accession #0001065280-24-000200, filed 2024-07-19
Period: 2Q24 / period ended 2024-06-30
Model row: Model!150 Accumulated Other Comprehensive Income (AOCI)
Mapping type: direct
Concepts used: AccumulatedOtherComprehensiveIncomeLossNetOfTax = -89.1 mm
Unit conversion: raw USD to $mm
Sign: copied using model sign convention
Confidence: high
Value written: -89.114</t>
        </r>
      </text>
    </comment>
    <comment ref="M150" authorId="0" shapeId="0" xr:uid="{00000000-0006-0000-0700-00001D010000}">
      <text>
        <r>
          <rPr>
            <b/>
            <sz val="11"/>
            <rFont val="Calibri"/>
            <family val="2"/>
          </rPr>
          <t xml:space="preserve">EDGAR Mapper:
</t>
        </r>
        <r>
          <rPr>
            <sz val="11"/>
            <color theme="1"/>
            <rFont val="Calibri"/>
            <family val="2"/>
            <scheme val="minor"/>
          </rPr>
          <t>EDGAR mapping:
Source: 10-Q, accession #0001065280-24-000287, filed 2024-10-18
Period: 3Q24 / period ended 2024-09-30
Model row: Model!150 Accumulated Other Comprehensive Income (AOCI)
Mapping type: direct
Concepts used: AccumulatedOtherComprehensiveIncomeLossNetOfTax = -344.6 mm
Unit conversion: raw USD to $mm
Sign: copied using model sign convention
Confidence: high
Value written: -344.622</t>
        </r>
      </text>
    </comment>
    <comment ref="N150" authorId="0" shapeId="0" xr:uid="{00000000-0006-0000-0700-00001E010000}">
      <text>
        <r>
          <rPr>
            <b/>
            <sz val="11"/>
            <rFont val="Calibri"/>
            <family val="2"/>
          </rPr>
          <t xml:space="preserve">EDGAR Mapper:
</t>
        </r>
        <r>
          <rPr>
            <sz val="11"/>
            <color theme="1"/>
            <rFont val="Calibri"/>
            <family val="2"/>
            <scheme val="minor"/>
          </rPr>
          <t>EDGAR mapping:
Source: 10-K, accession #0001065280-26-000034, filed 2026-01-23
Period: 4Q24 / period ended 2024-12-31
Model row: Model!150 Accumulated Other Comprehensive Income (AOCI)
Mapping type: direct
Concepts used: AccumulatedOtherComprehensiveIncomeLossNetOfTax = 362.2 mm
Unit conversion: raw USD to $mm
Sign: copied using model sign convention
Confidence: high
Value written: 362.162</t>
        </r>
      </text>
    </comment>
    <comment ref="P150" authorId="0" shapeId="0" xr:uid="{00000000-0006-0000-0700-00001F010000}">
      <text>
        <r>
          <rPr>
            <b/>
            <sz val="11"/>
            <rFont val="Calibri"/>
            <family val="2"/>
          </rPr>
          <t xml:space="preserve">EDGAR Mapper:
</t>
        </r>
        <r>
          <rPr>
            <sz val="11"/>
            <color theme="1"/>
            <rFont val="Calibri"/>
            <family val="2"/>
            <scheme val="minor"/>
          </rPr>
          <t>EDGAR mapping:
Source: 10-Q, accession #0001065280-25-000176, filed 2025-04-18
Period: 1Q25 / period ended 2025-03-31
Model row: Model!150 Accumulated Other Comprehensive Income (AOCI)
Mapping type: direct
Concepts used: AccumulatedOtherComprehensiveIncomeLossNetOfTax = -85.7 mm
Unit conversion: raw USD to $mm
Sign: copied using model sign convention
Confidence: high
Value written: -85.735</t>
        </r>
      </text>
    </comment>
    <comment ref="Q150" authorId="0" shapeId="0" xr:uid="{00000000-0006-0000-0700-00002001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Model!150 Accumulated Other Comprehensive Income (AOCI)
Mapping type: direct
Concepts used: AccumulatedOtherComprehensiveIncomeLossNetOfTax = -904.7 mm
Unit conversion: raw USD to $mm
Sign: copied using model sign convention
Confidence: high
Value written: -904.668</t>
        </r>
      </text>
    </comment>
    <comment ref="R150" authorId="0" shapeId="0" xr:uid="{00000000-0006-0000-0700-00002101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Model!150 Accumulated Other Comprehensive Income (AOCI)
Mapping type: direct
Concepts used: AccumulatedOtherComprehensiveIncomeLossNetOfTax = -719.3 mm
Unit conversion: raw USD to $mm
Sign: copied using model sign convention
Confidence: high
Value written: -719.256</t>
        </r>
      </text>
    </comment>
    <comment ref="S150" authorId="0" shapeId="0" xr:uid="{00000000-0006-0000-0700-000022010000}">
      <text>
        <r>
          <rPr>
            <b/>
            <sz val="11"/>
            <rFont val="Calibri"/>
            <family val="2"/>
          </rPr>
          <t xml:space="preserve">EDGAR Mapper:
</t>
        </r>
        <r>
          <rPr>
            <sz val="11"/>
            <color theme="1"/>
            <rFont val="Calibri"/>
            <family val="2"/>
            <scheme val="minor"/>
          </rPr>
          <t>EDGAR mapping:
Source: 10-K, accession #0001065280-26-000034, filed 2026-01-23
Period: 4Q25 / period ended 2025-12-31
Model row: Model!150 Accumulated Other Comprehensive Income (AOCI)
Mapping type: direct
Concepts used: AccumulatedOtherComprehensiveIncomeLossNetOfTax = -580.4 mm
Unit conversion: raw USD to $mm
Sign: copied using model sign convention
Confidence: high
Value written: -580.382</t>
        </r>
      </text>
    </comment>
    <comment ref="U150" authorId="0" shapeId="0" xr:uid="{00000000-0006-0000-0700-00002301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Model!150 Accumulated Other Comprehensive Income (AOCI)
Mapping type: direct
Concepts used: AccumulatedOtherComprehensiveIncomeLossNetOfTax = -235 mm
Unit conversion: raw USD to $mm
Sign: copied using model sign convention
Confidence: high
Value written: -235.031</t>
        </r>
      </text>
    </comment>
    <comment ref="C153" authorId="0" shapeId="0" xr:uid="{00000000-0006-0000-0700-000024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158" authorId="0" shapeId="0" xr:uid="{00000000-0006-0000-0700-000025010000}">
      <text>
        <r>
          <rPr>
            <sz val="11"/>
            <color theme="1"/>
            <rFont val="Calibri"/>
            <family val="2"/>
            <scheme val="minor"/>
          </rPr>
          <t>======
ID#AAABbnJBV2I
Luke Brennan    (2025-01-14 21:09:38)
"Check" means everything is good
Positive number means the BS is asset-heavy
Negative number means the BS is asset-light</t>
        </r>
      </text>
    </comment>
    <comment ref="C193" authorId="0" shapeId="0" xr:uid="{00000000-0006-0000-0700-000026010000}">
      <text>
        <r>
          <rPr>
            <b/>
            <sz val="11"/>
            <rFont val="Calibri"/>
            <family val="2"/>
          </rPr>
          <t xml:space="preserve">EDGAR Mapper:
</t>
        </r>
        <r>
          <rPr>
            <sz val="11"/>
            <color theme="1"/>
            <rFont val="Calibri"/>
            <family val="2"/>
            <scheme val="minor"/>
          </rPr>
          <t>Needs review: PP&amp;E schedule capex is a roll-forward input and was not overwritten with generic cash-flow capex.</t>
        </r>
      </text>
    </comment>
    <comment ref="C194" authorId="0" shapeId="0" xr:uid="{00000000-0006-0000-0700-000027010000}">
      <text>
        <r>
          <rPr>
            <b/>
            <sz val="11"/>
            <rFont val="Calibri"/>
            <family val="2"/>
          </rPr>
          <t xml:space="preserve">EDGAR Mapper:
</t>
        </r>
        <r>
          <rPr>
            <sz val="11"/>
            <color theme="1"/>
            <rFont val="Calibri"/>
            <family val="2"/>
            <scheme val="minor"/>
          </rPr>
          <t>Cannot find exact PP&amp;E schedule depreciation expense in EDGAR, find manually.</t>
        </r>
      </text>
    </comment>
    <comment ref="C195" authorId="0" shapeId="0" xr:uid="{00000000-0006-0000-0700-000028010000}">
      <text>
        <r>
          <rPr>
            <b/>
            <sz val="11"/>
            <rFont val="Calibri"/>
            <family val="2"/>
          </rPr>
          <t xml:space="preserve">EDGAR Mapper:
</t>
        </r>
        <r>
          <rPr>
            <sz val="11"/>
            <color theme="1"/>
            <rFont val="Calibri"/>
            <family val="2"/>
            <scheme val="minor"/>
          </rPr>
          <t>Needs review: PP&amp;E schedule acquisition/divestment is a roll-forward input and was not overwritten with generic acquisition cash-flow concepts.</t>
        </r>
      </text>
    </comment>
    <comment ref="C207" authorId="0" shapeId="0" xr:uid="{00000000-0006-0000-0700-000029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209" authorId="0" shapeId="0" xr:uid="{00000000-0006-0000-0700-00002A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39" authorId="0" shapeId="0" xr:uid="{00000000-0006-0000-0700-00002B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41" authorId="0" shapeId="0" xr:uid="{00000000-0006-0000-0700-00002C010000}">
      <text>
        <r>
          <rPr>
            <b/>
            <sz val="11"/>
            <rFont val="Calibri"/>
            <family val="2"/>
          </rPr>
          <t xml:space="preserve">EDGAR Mapper:
</t>
        </r>
        <r>
          <rPr>
            <sz val="11"/>
            <color theme="1"/>
            <rFont val="Calibri"/>
            <family val="2"/>
            <scheme val="minor"/>
          </rPr>
          <t>Needs review: share repurchase assumptions were preserved because the schedule uses EDGAR issuer-purchase / repurchase-price support, not generic cash-flow repurchase deltas.</t>
        </r>
      </text>
    </comment>
    <comment ref="C245" authorId="0" shapeId="0" xr:uid="{00000000-0006-0000-0700-00002D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46" authorId="0" shapeId="0" xr:uid="{00000000-0006-0000-0700-00002E010000}">
      <text>
        <r>
          <rPr>
            <b/>
            <sz val="11"/>
            <rFont val="Calibri"/>
            <family val="2"/>
          </rPr>
          <t xml:space="preserve">EDGAR Mapper:
</t>
        </r>
        <r>
          <rPr>
            <sz val="11"/>
            <color theme="1"/>
            <rFont val="Calibri"/>
            <family val="2"/>
            <scheme val="minor"/>
          </rPr>
          <t>Quarterly value was derived from Share-based Payment Arrangement, Noncash Expense less 1Q23, 2Q23, 3Q23.</t>
        </r>
      </text>
    </comment>
    <comment ref="F246" authorId="0" shapeId="0" xr:uid="{00000000-0006-0000-0700-00002F010000}">
      <text>
        <r>
          <rPr>
            <b/>
            <sz val="11"/>
            <rFont val="Calibri"/>
            <family val="2"/>
          </rPr>
          <t xml:space="preserve">EDGAR Mapper:
</t>
        </r>
        <r>
          <rPr>
            <sz val="11"/>
            <color theme="1"/>
            <rFont val="Calibri"/>
            <family val="2"/>
            <scheme val="minor"/>
          </rPr>
          <t>EDGAR mapping:
Source: 10-Q, accession #0001065280-24-000128, filed 2024-04-22
Period: 1Q23 / period ended 2023-03-31
Model row: Model!246 Stock-Based Comp Expense
Mapping type: direct
Concepts used: ShareBasedCompensation = 99.1 mm
Unit conversion: raw USD to $mm
Sign: copied using model sign convention
Confidence: high
Value written: 99.099</t>
        </r>
      </text>
    </comment>
    <comment ref="I246" authorId="0" shapeId="0" xr:uid="{00000000-0006-0000-0700-000030010000}">
      <text>
        <r>
          <rPr>
            <b/>
            <sz val="11"/>
            <rFont val="Calibri"/>
            <family val="2"/>
          </rPr>
          <t xml:space="preserve">EDGAR Mapper:
</t>
        </r>
        <r>
          <rPr>
            <sz val="11"/>
            <color theme="1"/>
            <rFont val="Calibri"/>
            <family val="2"/>
            <scheme val="minor"/>
          </rPr>
          <t>EDGAR mapping:
Source: SEC filing
Period: 4Q23
Model row: Model!246 Stock-Based Comp Expense
Mapping type: direct
Concepts used: ShareBasedCompensation = 82.5 mm
Unit conversion: raw USD to $mm
Sign: copied using model sign convention
Confidence: high
Value written: 82.519
Notes: Quarterly value was derived from Share-based Payment Arrangement, Noncash Expense less 1Q23, 2Q23, 3Q23.</t>
        </r>
      </text>
    </comment>
    <comment ref="K246" authorId="0" shapeId="0" xr:uid="{00000000-0006-0000-0700-000031010000}">
      <text>
        <r>
          <rPr>
            <b/>
            <sz val="11"/>
            <rFont val="Calibri"/>
            <family val="2"/>
          </rPr>
          <t xml:space="preserve">EDGAR Mapper:
</t>
        </r>
        <r>
          <rPr>
            <sz val="11"/>
            <color theme="1"/>
            <rFont val="Calibri"/>
            <family val="2"/>
            <scheme val="minor"/>
          </rPr>
          <t>EDGAR mapping:
Source: 10-Q, accession #0001065280-25-000176, filed 2025-04-18
Period: 1Q24 / period ended 2024-03-31
Model row: Model!246 Stock-Based Comp Expense
Mapping type: direct
Concepts used: ShareBasedCompensation = 76.3 mm
Unit conversion: raw USD to $mm
Sign: copied using model sign convention
Confidence: high
Value written: 76.345</t>
        </r>
      </text>
    </comment>
    <comment ref="M246" authorId="0" shapeId="0" xr:uid="{00000000-0006-0000-0700-000032010000}">
      <text>
        <r>
          <rPr>
            <b/>
            <sz val="11"/>
            <rFont val="Calibri"/>
            <family val="2"/>
          </rPr>
          <t xml:space="preserve">EDGAR Mapper:
</t>
        </r>
        <r>
          <rPr>
            <sz val="11"/>
            <color theme="1"/>
            <rFont val="Calibri"/>
            <family val="2"/>
            <scheme val="minor"/>
          </rPr>
          <t>EDGAR mapping:
Source: 10-Q, accession #0001065280-25-000406, filed 2025-10-22
Period: 3Q24 / period ended 2024-09-30
Model row: Model!246 Stock-Based Comp Expense
Mapping type: direct
Concepts used: ShareBasedCompensation = 65.7 mm
Unit conversion: raw USD to $mm
Sign: copied using model sign convention
Confidence: high
Value written: 65.65</t>
        </r>
      </text>
    </comment>
    <comment ref="N246" authorId="0" shapeId="0" xr:uid="{00000000-0006-0000-0700-000033010000}">
      <text>
        <r>
          <rPr>
            <b/>
            <sz val="11"/>
            <rFont val="Calibri"/>
            <family val="2"/>
          </rPr>
          <t xml:space="preserve">EDGAR Mapper:
</t>
        </r>
        <r>
          <rPr>
            <sz val="11"/>
            <color theme="1"/>
            <rFont val="Calibri"/>
            <family val="2"/>
            <scheme val="minor"/>
          </rPr>
          <t>EDGAR mapping:
Source: SEC filing
Period: 4Q24
Model row: Model!246 Stock-Based Comp Expense
Mapping type: direct
Concepts used: ShareBasedCompensation = 61.8 mm
Unit conversion: raw USD to $mm
Sign: copied using model sign convention
Confidence: high
Value written: 61.827
Notes: Quarterly value was derived from Share-based Payment Arrangement, Noncash Expense less 1Q24, 2Q24, 3Q24.</t>
        </r>
      </text>
    </comment>
    <comment ref="P246" authorId="0" shapeId="0" xr:uid="{00000000-0006-0000-0700-000034010000}">
      <text>
        <r>
          <rPr>
            <b/>
            <sz val="11"/>
            <rFont val="Calibri"/>
            <family val="2"/>
          </rPr>
          <t xml:space="preserve">EDGAR Mapper:
</t>
        </r>
        <r>
          <rPr>
            <sz val="11"/>
            <color theme="1"/>
            <rFont val="Calibri"/>
            <family val="2"/>
            <scheme val="minor"/>
          </rPr>
          <t>EDGAR mapping:
Source: 10-Q, accession #0001065280-26-000138, filed 2026-04-17
Period: 1Q25 / period ended 2025-03-31
Model row: Model!246 Stock-Based Comp Expense
Mapping type: direct
Concepts used: ShareBasedCompensation = 72 mm
Unit conversion: raw USD to $mm
Sign: copied using model sign convention
Confidence: high
Value written: 71.977</t>
        </r>
      </text>
    </comment>
    <comment ref="Q246" authorId="0" shapeId="0" xr:uid="{00000000-0006-0000-0700-000035010000}">
      <text>
        <r>
          <rPr>
            <b/>
            <sz val="11"/>
            <rFont val="Calibri"/>
            <family val="2"/>
          </rPr>
          <t xml:space="preserve">EDGAR Mapper:
</t>
        </r>
        <r>
          <rPr>
            <sz val="11"/>
            <color theme="1"/>
            <rFont val="Calibri"/>
            <family val="2"/>
            <scheme val="minor"/>
          </rPr>
          <t>EDGAR mapping:
Source: 10-Q, accession #0001065280-25-000323, filed 2025-07-18
Period: 2Q25 / period ended 2025-06-30
Model row: Model!246 Stock-Based Comp Expense
Mapping type: direct
Concepts used: ShareBasedCompensation = 80.9 mm
Unit conversion: raw USD to $mm
Sign: copied using model sign convention
Confidence: high
Value written: 80.862</t>
        </r>
      </text>
    </comment>
    <comment ref="R246" authorId="0" shapeId="0" xr:uid="{00000000-0006-0000-0700-000036010000}">
      <text>
        <r>
          <rPr>
            <b/>
            <sz val="11"/>
            <rFont val="Calibri"/>
            <family val="2"/>
          </rPr>
          <t xml:space="preserve">EDGAR Mapper:
</t>
        </r>
        <r>
          <rPr>
            <sz val="11"/>
            <color theme="1"/>
            <rFont val="Calibri"/>
            <family val="2"/>
            <scheme val="minor"/>
          </rPr>
          <t>EDGAR mapping:
Source: 10-Q, accession #0001065280-25-000406, filed 2025-10-22
Period: 3Q25 / period ended 2025-09-30
Model row: Model!246 Stock-Based Comp Expense
Mapping type: direct
Concepts used: ShareBasedCompensation = 81 mm
Unit conversion: raw USD to $mm
Sign: copied using model sign convention
Confidence: high
Value written: 80.986</t>
        </r>
      </text>
    </comment>
    <comment ref="S246" authorId="0" shapeId="0" xr:uid="{00000000-0006-0000-0700-000037010000}">
      <text>
        <r>
          <rPr>
            <b/>
            <sz val="11"/>
            <rFont val="Calibri"/>
            <family val="2"/>
          </rPr>
          <t xml:space="preserve">EDGAR Mapper:
</t>
        </r>
        <r>
          <rPr>
            <sz val="11"/>
            <color theme="1"/>
            <rFont val="Calibri"/>
            <family val="2"/>
            <scheme val="minor"/>
          </rPr>
          <t>EDGAR mapping:
Source: SEC filing
Period: 4Q25
Model row: Model!246 Stock-Based Comp Expense
Mapping type: direct
Concepts used: ShareBasedCompensation = 134.6 mm
Unit conversion: raw USD to $mm
Sign: copied using model sign convention
Confidence: high
Value written: 134.624
Notes: Quarterly value was derived from Share-based Payment Arrangement, Noncash Expense less 1Q25, 2Q25, 3Q25.</t>
        </r>
      </text>
    </comment>
    <comment ref="U246" authorId="0" shapeId="0" xr:uid="{00000000-0006-0000-0700-000038010000}">
      <text>
        <r>
          <rPr>
            <b/>
            <sz val="11"/>
            <rFont val="Calibri"/>
            <family val="2"/>
          </rPr>
          <t xml:space="preserve">EDGAR Mapper:
</t>
        </r>
        <r>
          <rPr>
            <sz val="11"/>
            <color theme="1"/>
            <rFont val="Calibri"/>
            <family val="2"/>
            <scheme val="minor"/>
          </rPr>
          <t>EDGAR mapping:
Source: 10-Q, accession #0001065280-26-000138, filed 2026-04-17
Period: 1Q26 / period ended 2026-03-31
Model row: Model!246 Stock-Based Comp Expense
Mapping type: direct
Concepts used: ShareBasedCompensation = 140.4 mm
Unit conversion: raw USD to $mm
Sign: copied using model sign convention
Confidence: high
Value written: 140.405</t>
        </r>
      </text>
    </comment>
    <comment ref="C254" authorId="0" shapeId="0" xr:uid="{00000000-0006-0000-0700-000039010000}">
      <text>
        <r>
          <rPr>
            <b/>
            <sz val="11"/>
            <rFont val="Calibri"/>
            <family val="2"/>
          </rPr>
          <t xml:space="preserve">EDGAR Mapper:
</t>
        </r>
        <r>
          <rPr>
            <sz val="11"/>
            <color theme="1"/>
            <rFont val="Calibri"/>
            <family val="2"/>
            <scheme val="minor"/>
          </rPr>
          <t>Needs review: one or more historical periods were left unchanged because no matching EDGAR fact was found.</t>
        </r>
      </text>
    </comment>
    <comment ref="C271" authorId="0" shapeId="0" xr:uid="{00000000-0006-0000-0700-00003A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78" authorId="0" shapeId="0" xr:uid="{00000000-0006-0000-0700-00003B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79" authorId="0" shapeId="0" xr:uid="{00000000-0006-0000-0700-00003C010000}">
      <text>
        <r>
          <rPr>
            <b/>
            <sz val="11"/>
            <rFont val="Calibri"/>
            <family val="2"/>
          </rPr>
          <t xml:space="preserve">EDGAR Mapper:
</t>
        </r>
        <r>
          <rPr>
            <sz val="11"/>
            <color theme="1"/>
            <rFont val="Calibri"/>
            <family val="2"/>
            <scheme val="minor"/>
          </rPr>
          <t>Unused / no confident match: no reliable EDGAR line item or logical grouping was identified for this model row.</t>
        </r>
      </text>
    </comment>
    <comment ref="C282" authorId="0" shapeId="0" xr:uid="{00000000-0006-0000-0700-00003D010000}">
      <text>
        <r>
          <rPr>
            <b/>
            <sz val="11"/>
            <rFont val="Calibri"/>
            <family val="2"/>
          </rPr>
          <t xml:space="preserve">EDGAR Mapper:
</t>
        </r>
        <r>
          <rPr>
            <sz val="11"/>
            <color theme="1"/>
            <rFont val="Calibri"/>
            <family val="2"/>
            <scheme val="minor"/>
          </rPr>
          <t>Needs review: shares outstanding schedule rows use the model's actual share roll-forward and were not overwritten with generic weighted-average share facts.</t>
        </r>
      </text>
    </comment>
    <comment ref="C284" authorId="0" shapeId="0" xr:uid="{00000000-0006-0000-0700-00003E010000}">
      <text>
        <r>
          <rPr>
            <b/>
            <sz val="11"/>
            <rFont val="Calibri"/>
            <family val="2"/>
          </rPr>
          <t xml:space="preserve">EDGAR Mapper:
</t>
        </r>
        <r>
          <rPr>
            <sz val="11"/>
            <color theme="1"/>
            <rFont val="Calibri"/>
            <family val="2"/>
            <scheme val="minor"/>
          </rPr>
          <t>Needs review: shares outstanding schedule rows use the model's actual share roll-forward and were not overwritten with generic weighted-average share facts.</t>
        </r>
      </text>
    </comment>
    <comment ref="C299" authorId="0" shapeId="0" xr:uid="{00000000-0006-0000-0700-00003F01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shapeId="0" xr:uid="{00000000-0006-0000-0700-000040010000}">
      <text>
        <r>
          <rPr>
            <sz val="11"/>
            <color theme="1"/>
            <rFont val="Calibri"/>
            <family val="2"/>
            <scheme val="minor"/>
          </rPr>
          <t>======
ID#AAABbnJBVzM
Luke Brennan    (2025-01-14 21:09:38)
Very Important to remember that this is quarterly! If you are looking up the company's debt schedule and rates, divide by 4!</t>
        </r>
      </text>
    </comment>
    <comment ref="Z319" authorId="0" shapeId="0" xr:uid="{00000000-0006-0000-0700-00004101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0" shapeId="0" xr:uid="{00000000-0006-0000-0700-00004201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0" shapeId="0" xr:uid="{00000000-0006-0000-0700-00004301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0" shapeId="0" xr:uid="{00000000-0006-0000-0700-00004401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0" shapeId="0" xr:uid="{00000000-0006-0000-0700-00004501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0" shapeId="0" xr:uid="{00000000-0006-0000-0700-00004601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0" shapeId="0" xr:uid="{00000000-0006-0000-0700-00004701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 authorId="0" shapeId="0" xr:uid="{00000000-0006-0000-0800-00000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shapeId="0" xr:uid="{00000000-0006-0000-0800-00000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shapeId="0" xr:uid="{00000000-0006-0000-0800-00000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I8" authorId="0" shapeId="0" xr:uid="{00000000-0006-0000-0800-00000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shapeId="0" xr:uid="{00000000-0006-0000-0800-00000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shapeId="0" xr:uid="{00000000-0006-0000-0800-00000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shapeId="0" xr:uid="{00000000-0006-0000-0800-00000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shapeId="0" xr:uid="{00000000-0006-0000-0800-00000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shapeId="0" xr:uid="{00000000-0006-0000-0800-000009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shapeId="0" xr:uid="{00000000-0006-0000-0800-00000A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shapeId="0" xr:uid="{00000000-0006-0000-0800-00000B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shapeId="0" xr:uid="{00000000-0006-0000-0800-00000C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shapeId="0" xr:uid="{00000000-0006-0000-0800-00000D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F34" authorId="0" shapeId="0" xr:uid="{00000000-0006-0000-0800-00000E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shapeId="0" xr:uid="{00000000-0006-0000-0800-00000F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shapeId="0" xr:uid="{00000000-0006-0000-0800-000010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I34" authorId="0" shapeId="0" xr:uid="{00000000-0006-0000-0800-00001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shapeId="0" xr:uid="{00000000-0006-0000-0800-00001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shapeId="0" xr:uid="{00000000-0006-0000-0800-00001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shapeId="0" xr:uid="{00000000-0006-0000-0800-00001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shapeId="0" xr:uid="{00000000-0006-0000-0800-00001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shapeId="0" xr:uid="{00000000-0006-0000-0800-00001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shapeId="0" xr:uid="{00000000-0006-0000-0800-00001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shapeId="0" xr:uid="{00000000-0006-0000-0800-00001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shapeId="0" xr:uid="{00000000-0006-0000-0800-000019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shapeId="0" xr:uid="{00000000-0006-0000-0800-00001A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C41" authorId="0" shapeId="0" xr:uid="{00000000-0006-0000-0800-00001B000000}">
      <text>
        <r>
          <rPr>
            <sz val="11"/>
            <color theme="1"/>
            <rFont val="Calibri"/>
            <family val="2"/>
            <scheme val="minor"/>
          </rPr>
          <t>======
ID#AAABbnJBVxw
Luke Brennan    (2025-01-14 21:09:38)
Used to check if the top-down calculation of operating income matches the number here</t>
        </r>
      </text>
    </comment>
    <comment ref="F52" authorId="0" shapeId="0" xr:uid="{00000000-0006-0000-0800-00001C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G52" authorId="0" shapeId="0" xr:uid="{00000000-0006-0000-0800-00001D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H52" authorId="0" shapeId="0" xr:uid="{00000000-0006-0000-0800-00001E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I52" authorId="0" shapeId="0" xr:uid="{00000000-0006-0000-0800-00001F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K52" authorId="0" shapeId="0" xr:uid="{00000000-0006-0000-0800-000020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L52" authorId="0" shapeId="0" xr:uid="{00000000-0006-0000-0800-000021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M52" authorId="0" shapeId="0" xr:uid="{00000000-0006-0000-0800-000022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N52" authorId="0" shapeId="0" xr:uid="{00000000-0006-0000-0800-000023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P52" authorId="0" shapeId="0" xr:uid="{00000000-0006-0000-0800-000024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Q52" authorId="0" shapeId="0" xr:uid="{00000000-0006-0000-0800-000025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R52" authorId="0" shapeId="0" xr:uid="{00000000-0006-0000-0800-000026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S52" authorId="0" shapeId="0" xr:uid="{00000000-0006-0000-0800-000027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U52" authorId="0" shapeId="0" xr:uid="{00000000-0006-0000-0800-000028000000}">
      <text>
        <r>
          <rPr>
            <b/>
            <sz val="11"/>
            <rFont val="Calibri"/>
            <family val="2"/>
          </rPr>
          <t xml:space="preserve">EDGAR Mapper:
</t>
        </r>
        <r>
          <rPr>
            <sz val="11"/>
            <color theme="1"/>
            <rFont val="Calibri"/>
            <family val="2"/>
            <scheme val="minor"/>
          </rPr>
          <t>Needs review: Segment Analysis row was not filled because the template label is blank, generic, or does not confidently match an EDGAR reportable segment.</t>
        </r>
      </text>
    </comment>
    <comment ref="C59" authorId="0" shapeId="0" xr:uid="{00000000-0006-0000-0800-000029000000}">
      <text>
        <r>
          <rPr>
            <sz val="11"/>
            <color theme="1"/>
            <rFont val="Calibri"/>
            <family val="2"/>
            <scheme val="minor"/>
          </rPr>
          <t>======
ID#AAABbnJBVzA
Luke Brennan    (2025-01-14 21:09:38)
Used to check if the top-down calculation of operating income matches the number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4" authorId="0" shapeId="0" xr:uid="{00000000-0006-0000-0A00-000001000000}">
      <text>
        <r>
          <rPr>
            <sz val="11"/>
            <color theme="1"/>
            <rFont val="Calibri"/>
            <family val="2"/>
            <scheme val="minor"/>
          </rPr>
          <t>======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2000000}">
      <text>
        <r>
          <rPr>
            <sz val="11"/>
            <color theme="1"/>
            <rFont val="Calibri"/>
            <family val="2"/>
            <scheme val="minor"/>
          </rPr>
          <t>======
ID#AAABbnJBVys
Luke Brennan    (2025-01-14 21:09:38)
Aug 1 ERP</t>
        </r>
      </text>
    </comment>
    <comment ref="G8" authorId="0" shapeId="0" xr:uid="{00000000-0006-0000-0C00-000003000000}">
      <text>
        <r>
          <rPr>
            <sz val="11"/>
            <color theme="1"/>
            <rFont val="Calibri"/>
            <family val="2"/>
            <scheme val="minor"/>
          </rPr>
          <t>======
ID#AAABbnJBVxQ
Luke Brennan    (2025-01-14 21:09:38)
Can be sourced from Bloomberg's WACC function. Use the rate on company's bonds</t>
        </r>
      </text>
    </comment>
    <comment ref="M8" authorId="0" shapeId="0" xr:uid="{00000000-0006-0000-0C00-000004000000}">
      <text>
        <r>
          <rPr>
            <sz val="11"/>
            <color theme="1"/>
            <rFont val="Calibri"/>
            <family val="2"/>
            <scheme val="minor"/>
          </rPr>
          <t>======
ID#AAABbnJBVyY
Luke Brennan    (2025-01-14 21:09:38)
Source from Bloomberg "EV" function and hard-code here</t>
        </r>
      </text>
    </comment>
    <comment ref="Q20" authorId="0" shapeId="0" xr:uid="{00000000-0006-0000-0C00-000005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N23" authorId="0" shapeId="0" xr:uid="{00000000-0006-0000-0C00-000006000000}">
      <text>
        <r>
          <rPr>
            <sz val="11"/>
            <color theme="1"/>
            <rFont val="Calibri"/>
            <family val="2"/>
            <scheme val="minor"/>
          </rPr>
          <t>======
ID#AAABbnJBVy8
Luke Brennan    (2025-01-14 21:09:38)
Hard-code value from toggles below by doing "paste special values"</t>
        </r>
      </text>
    </comment>
    <comment ref="K26" authorId="0" shapeId="0" xr:uid="{00000000-0006-0000-0C00-000007000000}">
      <text>
        <r>
          <rPr>
            <sz val="11"/>
            <color theme="1"/>
            <rFont val="Calibri"/>
            <family val="2"/>
            <scheme val="minor"/>
          </rPr>
          <t>======
ID#AAABbnJBV04
Luke Brennan    (2025-01-14 21:09:38)
Hard-code value from toggles below by doing "paste special values"</t>
        </r>
      </text>
    </comment>
    <comment ref="N33" authorId="0" shapeId="0" xr:uid="{00000000-0006-0000-0C00-000008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9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A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ID#AAABbnJBV0k
Hunter Kornfeind    (2025-01-14 21:09:38)
This confirms if your weights = 100%. If they do not equal 100%, it will say "Check."</t>
        </r>
      </text>
    </comment>
    <comment ref="J48" authorId="0" shapeId="0" xr:uid="{00000000-0006-0000-0D00-000002000000}">
      <text>
        <r>
          <rPr>
            <sz val="11"/>
            <color theme="1"/>
            <rFont val="Calibri"/>
            <family val="2"/>
            <scheme val="minor"/>
          </rPr>
          <t>======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shapeId="0" xr:uid="{00000000-0006-0000-0D00-000003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shapeId="0" xr:uid="{00000000-0006-0000-0D00-000004000000}">
      <text>
        <r>
          <rPr>
            <sz val="11"/>
            <color theme="1"/>
            <rFont val="Calibri"/>
            <family val="2"/>
            <scheme val="minor"/>
          </rPr>
          <t>======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ID#AAABbnJBVz4
Luke Brennan    (2025-01-14 21:09:38)
Some of these charts are here if you choose to break out individual segment revenue</t>
        </r>
      </text>
    </comment>
    <comment ref="D32" authorId="0" shapeId="0" xr:uid="{00000000-0006-0000-0F00-000002000000}">
      <text>
        <r>
          <rPr>
            <sz val="11"/>
            <color theme="1"/>
            <rFont val="Calibri"/>
            <family val="2"/>
            <scheme val="minor"/>
          </rPr>
          <t>======
ID#AAABbnJBV0U
Luke Brennan    (2025-01-14 21:09:38)
Manual input for YoY growth in historical year (pull from 10-K, transcript, press release, etc.)</t>
        </r>
      </text>
    </comment>
    <comment ref="L32" authorId="0" shapeId="0" xr:uid="{00000000-0006-0000-0F00-000003000000}">
      <text>
        <r>
          <rPr>
            <sz val="11"/>
            <color theme="1"/>
            <rFont val="Calibri"/>
            <family val="2"/>
            <scheme val="minor"/>
          </rPr>
          <t>======
ID#AAABbnJBV0g
Luke Brennan    (2025-01-14 21:09:38)
Manual input for YoY growth in historical year (pull from 10-K, transcript, press release, etc.)</t>
        </r>
      </text>
    </comment>
    <comment ref="D52" authorId="0" shapeId="0" xr:uid="{00000000-0006-0000-0F00-000004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5000000}">
      <text>
        <r>
          <rPr>
            <sz val="11"/>
            <color theme="1"/>
            <rFont val="Calibri"/>
            <family val="2"/>
            <scheme val="minor"/>
          </rPr>
          <t>======
ID#AAABbnJBV0Q
Luke brennan    (2025-01-14 21:09:38)
Manual input for YoY growth in historical year (pull from 10-K, transcript, press release, etc.)</t>
        </r>
      </text>
    </comment>
    <comment ref="D72" authorId="0" shapeId="0" xr:uid="{00000000-0006-0000-0F00-000006000000}">
      <text>
        <r>
          <rPr>
            <sz val="11"/>
            <color theme="1"/>
            <rFont val="Calibri"/>
            <family val="2"/>
            <scheme val="minor"/>
          </rPr>
          <t>======
ID#AAABbnJBV1c
Luke Brennan    (2025-01-14 21:09:38)
Manual input for YoY growth in historical year (pull from 10-K, transcript, press release, etc.)</t>
        </r>
      </text>
    </comment>
    <comment ref="L72" authorId="0" shapeId="0" xr:uid="{00000000-0006-0000-0F00-000007000000}">
      <text>
        <r>
          <rPr>
            <sz val="11"/>
            <color theme="1"/>
            <rFont val="Calibri"/>
            <family val="2"/>
            <scheme val="minor"/>
          </rPr>
          <t>======
ID#AAABbnJBV0o
Zach Pfeffer    (2025-01-14 21:09:38)
Manual input for YoY growth in historical year (pull from 10-K, transcript, press release, etc.)</t>
        </r>
      </text>
    </comment>
    <comment ref="D92" authorId="0" shapeId="0" xr:uid="{00000000-0006-0000-0F00-000008000000}">
      <text>
        <r>
          <rPr>
            <sz val="11"/>
            <color theme="1"/>
            <rFont val="Calibri"/>
            <family val="2"/>
            <scheme val="minor"/>
          </rPr>
          <t>======
ID#AAABbnJBVxo
Luke Brennan    (2025-01-14 21:09:38)
Manual input for YoY growth in historical year (pull from 10-K, transcript, press release, etc.)</t>
        </r>
      </text>
    </comment>
    <comment ref="E114" authorId="0" shapeId="0" xr:uid="{00000000-0006-0000-0F00-000009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ID#AAABbnJBVzQ
Luke Brennan    (2025-01-14 21:09:38)
Hard-code in from Bloomberg function "DDIS"</t>
        </r>
      </text>
    </comment>
    <comment ref="D154" authorId="0" shapeId="0" xr:uid="{00000000-0006-0000-0F00-00000B000000}">
      <text>
        <r>
          <rPr>
            <sz val="11"/>
            <color theme="1"/>
            <rFont val="Calibri"/>
            <family val="2"/>
            <scheme val="minor"/>
          </rPr>
          <t>======
ID#AAABbnJBV0s
Luke Brennan    (2025-01-14 21:09:38)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ID#AAABbnJBVxU
Luke Brennan    (2025-01-14 21:09:38)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ID#AAABbnJBVxg
Hunter Kornfeind    (2025-01-14 21:09:38)
Hard code (paste special values) Bear, Base, and Bull case projections into the model.</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ID#AAABbnJBV1w
Hunter Kornfeind    (2025-01-14 21:09:38)
Change model company's bar color to Owl Fund red in chart.</t>
        </r>
      </text>
    </comment>
    <comment ref="O154" authorId="0" shapeId="0" xr:uid="{00000000-0006-0000-1000-000003000000}">
      <text>
        <r>
          <rPr>
            <sz val="11"/>
            <color theme="1"/>
            <rFont val="Calibri"/>
            <family val="2"/>
            <scheme val="minor"/>
          </rPr>
          <t>======
ID#AAABbnJBV0I
Hunter Kornfeind    (2025-01-14 21:09:38)
Change model company's bar color to Owl Fund red in chart.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<sst xmlns="http://schemas.openxmlformats.org/spreadsheetml/2006/main" count="8614" uniqueCount="1722">
  <si>
    <t>William C. Dunkelberg Owl Fund - Valuation Workbook</t>
  </si>
  <si>
    <t>x</t>
  </si>
  <si>
    <t>INSTRUCTIONS - Please Read</t>
  </si>
  <si>
    <r>
      <rPr>
        <sz val="10"/>
        <color theme="1"/>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sz val="10"/>
        <color theme="1"/>
        <rFont val="Abadi"/>
      </rPr>
      <t>READ ALL COMMENTS THROUGHOUT THE WORKBOOK</t>
    </r>
    <r>
      <rPr>
        <sz val="10"/>
        <color theme="1"/>
        <rFont val="Abadi"/>
      </rPr>
      <t xml:space="preserve"> (denoted by red triangles in the upper right corner of cells) </t>
    </r>
    <r>
      <rPr>
        <i/>
        <sz val="10"/>
        <color theme="1"/>
        <rFont val="Abadi"/>
      </rPr>
      <t xml:space="preserve">as they will help you complete certain parts of the model! Make sure to change existing comments &amp; input </t>
    </r>
    <r>
      <rPr>
        <i/>
        <u/>
        <sz val="10"/>
        <color theme="1"/>
        <rFont val="Abadi"/>
      </rPr>
      <t>YOUR</t>
    </r>
    <r>
      <rPr>
        <i/>
        <sz val="10"/>
        <color theme="1"/>
        <rFont val="Abadi"/>
      </rPr>
      <t xml:space="preserve"> </t>
    </r>
    <r>
      <rPr>
        <i/>
        <u/>
        <sz val="10"/>
        <color theme="1"/>
        <rFont val="Abadi"/>
      </rPr>
      <t>OWN</t>
    </r>
    <r>
      <rPr>
        <i/>
        <sz val="10"/>
        <color theme="1"/>
        <rFont val="Abadi"/>
      </rPr>
      <t xml:space="preserve"> to inform others of your assumptions</t>
    </r>
    <r>
      <rPr>
        <sz val="10"/>
        <color theme="1"/>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sz val="10"/>
        <color theme="1"/>
        <rFont val="Abadi"/>
      </rPr>
      <t>It is very important that you do not change the name of line items. Other items in the workbook are linked to values based on that nomenclature.</t>
    </r>
    <r>
      <rPr>
        <sz val="10"/>
        <color theme="1"/>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sz val="10"/>
        <color theme="1"/>
        <rFont val="Abadi"/>
      </rPr>
      <t>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</si>
  <si>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</si>
  <si>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</si>
  <si>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</si>
  <si>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</si>
  <si>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</si>
  <si>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</si>
  <si>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</si>
  <si>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</si>
  <si>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</si>
  <si>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</si>
  <si>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</si>
  <si>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</si>
  <si>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</si>
  <si>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</si>
  <si>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</si>
  <si>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</si>
  <si>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</si>
  <si>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</si>
  <si>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</si>
  <si>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</si>
  <si>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NETFLIX INC</t>
  </si>
  <si>
    <t>Ticker</t>
  </si>
  <si>
    <t>NFLX</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</si>
  <si>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</si>
  <si>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</si>
  <si>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</si>
  <si>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</si>
  <si>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</si>
  <si>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</si>
  <si>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</si>
  <si>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</si>
  <si>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</si>
  <si>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</si>
  <si>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</si>
  <si>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</si>
  <si>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</si>
  <si>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</si>
  <si>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</si>
  <si>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</si>
  <si>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</si>
  <si>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</si>
  <si>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</si>
  <si>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</si>
  <si>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</si>
  <si>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</si>
  <si>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</si>
  <si>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</si>
  <si>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</si>
  <si>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</si>
  <si>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</si>
  <si>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</si>
  <si>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</si>
  <si>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</si>
  <si>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</si>
  <si>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</si>
  <si>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</si>
  <si>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</si>
  <si>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</si>
  <si>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</si>
  <si>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</si>
  <si>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</si>
  <si>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</si>
  <si>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</si>
  <si>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</si>
  <si>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</si>
  <si>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</si>
  <si>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</si>
  <si>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</si>
  <si>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</si>
  <si>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</si>
  <si>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</si>
  <si>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</si>
  <si>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</si>
  <si>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</si>
  <si>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</si>
  <si>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</si>
  <si>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</si>
  <si>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</si>
  <si>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</si>
  <si>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</si>
  <si>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</si>
  <si>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</si>
  <si>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</si>
  <si>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</si>
  <si>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</si>
  <si>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</si>
  <si>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</si>
  <si>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</si>
  <si>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</si>
  <si>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</si>
  <si>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</si>
  <si>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</si>
  <si>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</si>
  <si>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</si>
  <si>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</si>
  <si>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</si>
  <si>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</si>
  <si>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</si>
  <si>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</si>
  <si>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</si>
  <si>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</si>
  <si>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</si>
  <si>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</si>
  <si>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</si>
  <si>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</si>
  <si>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</si>
  <si>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</si>
  <si>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</si>
  <si>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</si>
  <si>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</si>
  <si>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</si>
  <si>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</si>
  <si>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</si>
  <si>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</si>
  <si>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</si>
  <si>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</si>
  <si>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</si>
  <si>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</si>
  <si>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</si>
  <si>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</si>
  <si>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</si>
  <si>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</si>
  <si>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</si>
  <si>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</si>
  <si>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</si>
  <si>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</si>
  <si>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</si>
  <si>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</si>
  <si>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</si>
  <si>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</si>
  <si>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</si>
  <si>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</si>
  <si>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</si>
  <si>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</si>
  <si>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</si>
  <si>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</si>
  <si>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</si>
  <si>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</si>
  <si>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</si>
  <si>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</si>
  <si>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</si>
  <si>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</si>
  <si>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</si>
  <si>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</si>
  <si>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</si>
  <si>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</si>
  <si>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</si>
  <si>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</si>
  <si>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</si>
  <si>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</si>
  <si>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</si>
  <si>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</si>
  <si>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</si>
  <si>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</si>
  <si>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</si>
  <si>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</si>
  <si>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</si>
  <si>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</si>
  <si>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</si>
  <si>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</si>
  <si>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</si>
  <si>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</si>
  <si>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</si>
  <si>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</si>
  <si>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</si>
  <si>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</si>
  <si>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</si>
  <si>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</si>
  <si>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</si>
  <si>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</si>
  <si>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</si>
  <si>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</si>
  <si>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</si>
  <si>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</si>
  <si>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</si>
  <si>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</si>
  <si>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</si>
  <si>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</si>
  <si>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</si>
  <si>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</si>
  <si>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</si>
  <si>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</si>
  <si>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</si>
  <si>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</si>
  <si>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</si>
  <si>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</si>
  <si>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</si>
  <si>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</si>
  <si>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</si>
  <si>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</si>
  <si>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</si>
  <si>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</si>
  <si>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</si>
  <si>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</si>
  <si>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</si>
  <si>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</si>
  <si>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</si>
  <si>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</si>
  <si>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</si>
  <si>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</si>
  <si>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</si>
  <si>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</si>
  <si>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</si>
  <si>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</si>
  <si>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</si>
  <si>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</si>
  <si>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</si>
  <si>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</si>
  <si>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</si>
  <si>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</si>
  <si>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</si>
  <si>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</si>
  <si>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</si>
  <si>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</si>
  <si>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</si>
  <si>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</si>
  <si>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</si>
  <si>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</si>
  <si>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</si>
  <si>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</si>
  <si>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</si>
  <si>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</si>
  <si>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</si>
  <si>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</si>
  <si>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</si>
  <si>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</si>
  <si>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</si>
  <si>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</si>
  <si>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</si>
  <si>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</si>
  <si>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</si>
  <si>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</si>
  <si>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</si>
  <si>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</si>
  <si>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</si>
  <si>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</si>
  <si>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</si>
  <si>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</si>
  <si>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</si>
  <si>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</si>
  <si>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</si>
  <si>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</si>
  <si>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</si>
  <si>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</si>
  <si>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</si>
  <si>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</si>
  <si>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</si>
  <si>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</si>
  <si>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</si>
  <si>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</si>
  <si>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</si>
  <si>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</si>
  <si>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</si>
  <si>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</si>
  <si>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</si>
  <si>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</si>
  <si>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</si>
  <si>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</si>
  <si>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</si>
  <si>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</si>
  <si>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</si>
  <si>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</si>
  <si>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</si>
  <si>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</si>
  <si>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</si>
  <si>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</si>
  <si>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</si>
  <si>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</si>
  <si>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</si>
  <si>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</si>
  <si>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</si>
  <si>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</si>
  <si>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</si>
  <si>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</si>
  <si>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</si>
  <si>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</si>
  <si>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</si>
  <si>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</si>
  <si>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</si>
  <si>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</si>
  <si>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</si>
  <si>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</si>
  <si>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</si>
  <si>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</si>
  <si>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</si>
  <si>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</si>
  <si>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</si>
  <si>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</si>
  <si>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</si>
  <si>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</si>
  <si>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</si>
  <si>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</si>
  <si>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</si>
  <si>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</si>
  <si>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</si>
  <si>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</si>
  <si>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</si>
  <si>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</si>
  <si>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</si>
  <si>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</si>
  <si>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</si>
  <si>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</si>
  <si>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</si>
  <si>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</si>
  <si>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</si>
  <si>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</si>
  <si>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</si>
  <si>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</si>
  <si>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</si>
  <si>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</si>
  <si>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</si>
  <si>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</si>
  <si>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</si>
  <si>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</si>
  <si>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</si>
  <si>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</si>
  <si>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</si>
  <si>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</si>
  <si>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</si>
  <si>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</si>
  <si>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</si>
  <si>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</si>
  <si>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</si>
  <si>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</si>
  <si>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</si>
  <si>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</si>
  <si>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</si>
  <si>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</si>
  <si>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</si>
  <si>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</si>
  <si>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</si>
  <si>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</si>
  <si>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</si>
  <si>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</si>
  <si>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</si>
  <si>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</si>
  <si>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</si>
  <si>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</si>
  <si>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</si>
  <si>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</si>
  <si>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</si>
  <si>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</si>
  <si>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</si>
  <si>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</si>
  <si>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</si>
  <si>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</si>
  <si>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</si>
  <si>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</si>
  <si>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</si>
  <si>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</si>
  <si>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</si>
  <si>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</si>
  <si>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</si>
  <si>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</si>
  <si>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</si>
  <si>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</si>
  <si>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</si>
  <si>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</si>
  <si>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</si>
  <si>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</si>
  <si>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</si>
  <si>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</si>
  <si>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</si>
  <si>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</si>
  <si>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</si>
  <si>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</si>
  <si>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</si>
  <si>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</si>
  <si>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</si>
  <si>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</si>
  <si>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</si>
  <si>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</si>
  <si>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</si>
  <si>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</si>
  <si>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</si>
  <si>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</si>
  <si>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</si>
  <si>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</si>
  <si>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</si>
  <si>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</si>
  <si>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</si>
  <si>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</si>
  <si>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</si>
  <si>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</si>
  <si>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</si>
  <si>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</si>
  <si>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</si>
  <si>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</si>
  <si>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</si>
  <si>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</si>
  <si>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</si>
  <si>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</si>
  <si>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</si>
  <si>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</si>
  <si>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</si>
  <si>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</si>
  <si>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</si>
  <si>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</si>
  <si>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</si>
  <si>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</si>
  <si>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</si>
  <si>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</si>
  <si>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</si>
  <si>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</si>
  <si>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</si>
  <si>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</si>
  <si>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</si>
  <si>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</si>
  <si>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</si>
  <si>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</si>
  <si>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</si>
  <si>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</si>
  <si>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</si>
  <si>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</si>
  <si>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</si>
  <si>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</si>
  <si>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</si>
  <si>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</si>
  <si>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</si>
  <si>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</si>
  <si>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</si>
  <si>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</si>
  <si>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</si>
  <si>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</si>
  <si>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</si>
  <si>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</si>
  <si>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</si>
  <si>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</si>
  <si>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</si>
  <si>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</si>
  <si>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</si>
  <si>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</si>
  <si>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</si>
  <si>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</si>
  <si>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</si>
  <si>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</si>
  <si>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</si>
  <si>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</si>
  <si>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</si>
  <si>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</si>
  <si>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</si>
  <si>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</si>
  <si>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</si>
  <si>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</si>
  <si>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</si>
  <si>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</si>
  <si>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</si>
  <si>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</si>
  <si>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</si>
  <si>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</si>
  <si>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</si>
  <si>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</si>
  <si>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</si>
  <si>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</si>
  <si>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</si>
  <si>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</si>
  <si>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</si>
  <si>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</si>
  <si>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</si>
  <si>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</si>
  <si>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</si>
  <si>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</si>
  <si>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</si>
  <si>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</si>
  <si>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</si>
  <si>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</si>
  <si>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</si>
  <si>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</si>
  <si>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</si>
  <si>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</si>
  <si>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</si>
  <si>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</si>
  <si>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</si>
  <si>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</si>
  <si>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</si>
  <si>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</si>
  <si>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</si>
  <si>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</si>
  <si>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</si>
  <si>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</si>
  <si>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</si>
  <si>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</si>
  <si>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</si>
  <si>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</si>
  <si>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</si>
  <si>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</si>
  <si>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</si>
  <si>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</si>
  <si>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</si>
  <si>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</si>
  <si>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</si>
  <si>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</si>
  <si>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</si>
  <si>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</si>
  <si>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</si>
  <si>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</si>
  <si>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</si>
  <si>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</si>
  <si>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</si>
  <si>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</si>
  <si>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</si>
  <si>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</si>
  <si>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</si>
  <si>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</si>
  <si>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</si>
  <si>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</si>
  <si>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</si>
  <si>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</si>
  <si>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</si>
  <si>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</si>
  <si>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</si>
  <si>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</si>
  <si>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</si>
  <si>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</si>
  <si>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</si>
  <si>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</si>
  <si>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</si>
  <si>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</si>
  <si>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</si>
  <si>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</si>
  <si>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</si>
  <si>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</si>
  <si>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</si>
  <si>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</si>
  <si>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</si>
  <si>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</si>
  <si>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</si>
  <si>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</si>
  <si>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</si>
  <si>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</si>
  <si>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</si>
  <si>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</si>
  <si>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</si>
  <si>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</si>
  <si>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</si>
  <si>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</si>
  <si>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</si>
  <si>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</si>
  <si>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</si>
  <si>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</si>
  <si>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</si>
  <si>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</si>
  <si>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</si>
  <si>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</si>
  <si>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</si>
  <si>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</si>
  <si>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</si>
  <si>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</si>
  <si>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</si>
  <si>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</si>
  <si>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</si>
  <si>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</si>
  <si>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</si>
  <si>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</si>
  <si>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</si>
  <si>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</si>
  <si>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</si>
  <si>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</si>
  <si>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</si>
  <si>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</si>
  <si>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</si>
  <si>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</si>
  <si>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</si>
  <si>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</si>
  <si>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</si>
  <si>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</si>
  <si>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</si>
  <si>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</si>
  <si>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</si>
  <si>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</si>
  <si>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</si>
  <si>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</si>
  <si>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</si>
  <si>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</si>
  <si>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</si>
  <si>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</si>
  <si>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</si>
  <si>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</si>
  <si>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</si>
  <si>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</si>
  <si>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</si>
  <si>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</si>
  <si>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</si>
  <si>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</si>
  <si>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</si>
  <si>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</si>
  <si>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</si>
  <si>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</si>
  <si>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</si>
  <si>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</si>
  <si>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</si>
  <si>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</si>
  <si>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</si>
  <si>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</si>
  <si>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</si>
  <si>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</si>
  <si>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</si>
  <si>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</si>
  <si>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</si>
  <si>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</si>
  <si>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</si>
  <si>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</si>
  <si>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</si>
  <si>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</si>
  <si>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</si>
  <si>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</si>
  <si>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</si>
  <si>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</si>
  <si>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</si>
  <si>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</si>
  <si>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</si>
  <si>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</si>
  <si>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</si>
  <si>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</si>
  <si>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</si>
  <si>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</si>
  <si>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</si>
  <si>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</si>
  <si>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</si>
  <si>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</si>
  <si>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</si>
  <si>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</si>
  <si>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</si>
  <si>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</si>
  <si>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</si>
  <si>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</si>
  <si>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</si>
  <si>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</si>
  <si>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</si>
  <si>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</si>
  <si>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</si>
  <si>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</si>
  <si>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</si>
  <si>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</si>
  <si>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</si>
  <si>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</si>
  <si>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</si>
  <si>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</si>
  <si>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</si>
  <si>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</si>
  <si>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</si>
  <si>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</si>
  <si>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</si>
  <si>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</si>
  <si>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</si>
  <si>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</si>
  <si>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</si>
  <si>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</si>
  <si>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</si>
  <si>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</si>
  <si>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</si>
  <si>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</si>
  <si>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</si>
  <si>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</si>
  <si>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</si>
  <si>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</si>
  <si>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</si>
  <si>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</si>
  <si>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</si>
  <si>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</si>
  <si>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</si>
  <si>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</si>
  <si>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</si>
  <si>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</si>
  <si>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</si>
  <si>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</si>
  <si>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</si>
  <si>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</si>
  <si>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</si>
  <si>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</si>
  <si>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</si>
  <si>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</si>
  <si>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</si>
  <si>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</si>
  <si>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</si>
  <si>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</si>
  <si>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</si>
  <si>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</si>
  <si>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</si>
  <si>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</si>
  <si>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</si>
  <si>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</si>
  <si>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</si>
  <si>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</si>
  <si>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</si>
  <si>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</si>
  <si>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</si>
  <si>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</si>
  <si>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</si>
  <si>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</si>
  <si>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</si>
  <si>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</si>
  <si>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</si>
  <si>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</si>
  <si>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</si>
  <si>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</si>
  <si>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</si>
  <si>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</si>
  <si>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</si>
  <si>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</si>
  <si>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</si>
  <si>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</si>
  <si>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</si>
  <si>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</si>
  <si>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</si>
  <si>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</si>
  <si>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</si>
  <si>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</si>
  <si>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</si>
  <si>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</si>
  <si>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</si>
  <si>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</si>
  <si>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</si>
  <si>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</si>
  <si>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</si>
  <si>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</si>
  <si>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</si>
  <si>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</si>
  <si>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</si>
  <si>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</si>
  <si>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</si>
  <si>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</si>
  <si>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</si>
  <si>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</si>
  <si>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</si>
  <si>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</si>
  <si>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</si>
  <si>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</si>
  <si>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</si>
  <si>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</si>
  <si>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</si>
  <si>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</si>
  <si>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</si>
  <si>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</si>
  <si>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</si>
  <si>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</si>
  <si>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</si>
  <si>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</si>
  <si>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</si>
  <si>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</si>
  <si>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</si>
  <si>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</si>
  <si>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</si>
  <si>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</si>
  <si>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</si>
  <si>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</si>
  <si>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</si>
  <si>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</si>
  <si>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</si>
  <si>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</si>
  <si>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</si>
  <si>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</si>
  <si>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</si>
  <si>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</si>
  <si>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</si>
  <si>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</si>
  <si>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</si>
  <si>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</si>
  <si>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</si>
  <si>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</si>
  <si>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</si>
  <si>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</si>
  <si>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</si>
  <si>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</si>
  <si>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</si>
  <si>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</si>
  <si>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</si>
  <si>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</si>
  <si>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</si>
  <si>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</si>
  <si>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</si>
  <si>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</si>
  <si>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</si>
  <si>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</si>
  <si>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</si>
  <si>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</si>
  <si>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</si>
  <si>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</si>
  <si>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</si>
  <si>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</si>
  <si>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</si>
  <si>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</si>
  <si>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</si>
  <si>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</si>
  <si>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</si>
  <si>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</si>
  <si>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</si>
  <si>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</si>
  <si>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</si>
  <si>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</si>
  <si>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</si>
  <si>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</si>
  <si>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</si>
  <si>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</si>
  <si>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</si>
  <si>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</si>
  <si>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</si>
  <si>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</si>
  <si>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</si>
  <si>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</si>
  <si>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</si>
  <si>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</si>
  <si>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</si>
  <si>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</si>
  <si>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</si>
  <si>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</si>
  <si>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</si>
  <si>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</si>
  <si>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</si>
  <si>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</si>
  <si>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</si>
  <si>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</si>
  <si>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</si>
  <si>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</si>
  <si>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</si>
  <si>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</si>
  <si>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</si>
  <si>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</si>
  <si>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</si>
  <si>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</si>
  <si>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</si>
  <si>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</si>
  <si>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</si>
  <si>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</si>
  <si>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</si>
  <si>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</si>
  <si>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</si>
  <si>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</si>
  <si>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</si>
  <si>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</si>
  <si>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</si>
  <si>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</si>
  <si>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</si>
  <si>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</si>
  <si>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</si>
  <si>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</si>
  <si>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</si>
  <si>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</si>
  <si>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</si>
  <si>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</si>
  <si>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</si>
  <si>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</si>
  <si>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</si>
  <si>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</si>
  <si>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</si>
  <si>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</si>
  <si>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</si>
  <si>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</si>
  <si>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</si>
  <si>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</si>
  <si>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</si>
  <si>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</si>
  <si>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</si>
  <si>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</si>
  <si>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</si>
  <si>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</si>
  <si>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</si>
  <si>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</si>
  <si>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</si>
  <si>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</si>
  <si>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</si>
  <si>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</si>
  <si>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</si>
  <si>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</si>
  <si>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</si>
  <si>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</si>
  <si>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</si>
  <si>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</si>
  <si>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</si>
  <si>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</si>
  <si>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</si>
  <si>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</si>
  <si>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</si>
  <si>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</si>
  <si>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</si>
  <si>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</si>
  <si>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</si>
  <si>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</si>
  <si>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</si>
  <si>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</si>
  <si>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</si>
  <si>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</si>
  <si>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</si>
  <si>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</si>
  <si>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</si>
  <si>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</si>
  <si>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</si>
  <si>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</si>
  <si>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</si>
  <si>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</si>
  <si>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</si>
  <si>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</si>
  <si>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</si>
  <si>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</si>
  <si>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</si>
  <si>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</si>
  <si>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</si>
  <si>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</si>
  <si>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</si>
  <si>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</si>
  <si>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</si>
  <si>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</si>
  <si>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</si>
  <si>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</si>
  <si>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</si>
  <si>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</si>
  <si>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</si>
  <si>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</si>
  <si>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</si>
  <si>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</si>
  <si>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</si>
  <si>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</si>
  <si>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</si>
  <si>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</si>
  <si>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</si>
  <si>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</si>
  <si>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</si>
  <si>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</si>
  <si>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</si>
  <si>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</si>
  <si>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</si>
  <si>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</si>
  <si>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</si>
  <si>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</si>
  <si>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</si>
  <si>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</si>
  <si>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</si>
  <si>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</si>
  <si>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</si>
  <si>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</si>
  <si>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</si>
  <si>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</si>
  <si>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</si>
  <si>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</si>
  <si>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</si>
  <si>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</si>
  <si>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</si>
  <si>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</si>
  <si>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</si>
  <si>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</si>
  <si>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</si>
  <si>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</si>
  <si>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</si>
  <si>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</si>
  <si>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</si>
  <si>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</si>
  <si>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</si>
  <si>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</si>
  <si>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</si>
  <si>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</si>
  <si>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</si>
  <si>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</si>
  <si>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</si>
  <si>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</si>
  <si>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</si>
  <si>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</si>
  <si>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</si>
  <si>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</si>
  <si>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</si>
  <si>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</si>
  <si>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</si>
  <si>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</si>
  <si>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</si>
  <si>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</si>
  <si>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</si>
  <si>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</si>
  <si>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</si>
  <si>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</si>
  <si>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</si>
  <si>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</si>
  <si>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</si>
  <si>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</si>
  <si>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</si>
  <si>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</si>
  <si>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</si>
  <si>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</si>
  <si>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</si>
  <si>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</si>
  <si>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</si>
  <si>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</si>
  <si>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</si>
  <si>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</si>
  <si>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</si>
  <si>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</si>
  <si>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</si>
  <si>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</si>
  <si>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</si>
  <si>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</si>
  <si>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</si>
  <si>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</si>
  <si>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</si>
  <si>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</si>
  <si>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</si>
  <si>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</si>
  <si>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</si>
  <si>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</si>
  <si>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</si>
  <si>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</si>
  <si>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</si>
  <si>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</si>
  <si>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</si>
  <si>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</si>
  <si>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</si>
  <si>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</si>
  <si>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</si>
  <si>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</si>
  <si>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</si>
  <si>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</si>
  <si>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</si>
  <si>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</si>
  <si>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</si>
  <si>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</si>
  <si>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</si>
  <si>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</si>
  <si>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</si>
  <si>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CostOfRevenue=4803.6mm</t>
  </si>
  <si>
    <t>0001065280-24-000128</t>
  </si>
  <si>
    <t>inverted to match model sign convention</t>
  </si>
  <si>
    <t>not_run</t>
  </si>
  <si>
    <t>Mapped to SEC cost of revenue / cost of sales.</t>
  </si>
  <si>
    <t>G29</t>
  </si>
  <si>
    <t>CostOfRevenue=4673.5mm</t>
  </si>
  <si>
    <t>0001065280-24-000200</t>
  </si>
  <si>
    <t>H29</t>
  </si>
  <si>
    <t>CostOfRevenue=4930.8mm</t>
  </si>
  <si>
    <t>0001065280-24-000287</t>
  </si>
  <si>
    <t>I29</t>
  </si>
  <si>
    <t>CostOfRevenue=5307.5mm</t>
  </si>
  <si>
    <t>existing formula bridge updated with EDGAR annual total</t>
  </si>
  <si>
    <t>Mapped to SEC cost of revenue / cost of sales. Quarterly value was derived from Cost of Revenue less 1Q23, 2Q23, 3Q23. Updated the preserved formula's annual bridge constant from EDGAR so the model formula still drives the quarter.</t>
  </si>
  <si>
    <t>K29</t>
  </si>
  <si>
    <t>CostOfRevenue=4977.1mm</t>
  </si>
  <si>
    <t>0001065280-25-000176</t>
  </si>
  <si>
    <t>L29</t>
  </si>
  <si>
    <t>CostOfRevenue=5174.1mm</t>
  </si>
  <si>
    <t>0001065280-25-000323</t>
  </si>
  <si>
    <t>M29</t>
  </si>
  <si>
    <t>CostOfRevenue=5119.9mm</t>
  </si>
  <si>
    <t>0001065280-25-000406</t>
  </si>
  <si>
    <t>N29</t>
  </si>
  <si>
    <t>CostOfRevenue=5767.4mm</t>
  </si>
  <si>
    <t>Mapped to SEC cost of revenue / cost of sales. Quarterly value was derived from Cost of Revenue less 1Q24, 2Q24, 3Q24.</t>
  </si>
  <si>
    <t>P29</t>
  </si>
  <si>
    <t>CostOfRevenue=5263.1mm</t>
  </si>
  <si>
    <t>0001065280-26-000138</t>
  </si>
  <si>
    <t>Q29</t>
  </si>
  <si>
    <t>CostOfRevenue=5325.3mm</t>
  </si>
  <si>
    <t>R29</t>
  </si>
  <si>
    <t>CostOfRevenue=6164.3mm</t>
  </si>
  <si>
    <t>S29</t>
  </si>
  <si>
    <t>CostOfRevenue=6522.6mm</t>
  </si>
  <si>
    <t>Mapped to SEC cost of revenue / cost of sales. Quarterly value was derived from Cost of Revenue less 1Q25, 2Q25, 3Q25.</t>
  </si>
  <si>
    <t>U29</t>
  </si>
  <si>
    <t>CostOfRevenue=5888.2mm</t>
  </si>
  <si>
    <t>F32</t>
  </si>
  <si>
    <t>GeneralAndAdministrativeExpense=400.9mm</t>
  </si>
  <si>
    <t>G32</t>
  </si>
  <si>
    <t>GeneralAndAdministrativeExpense=401.5mm</t>
  </si>
  <si>
    <t>H32</t>
  </si>
  <si>
    <t>GeneralAndAdministrativeExpense=478.6mm</t>
  </si>
  <si>
    <t>I32</t>
  </si>
  <si>
    <t>formula</t>
  </si>
  <si>
    <t>SellingGeneralAndAdministrativeExpense; SellingAndMarketingExpense; SalesAndMarketingExpense; GeneralAndAdministrativeExpense</t>
  </si>
  <si>
    <t>existing formula cell</t>
  </si>
  <si>
    <t>low</t>
  </si>
  <si>
    <t>formula_preserved</t>
  </si>
  <si>
    <t>Formula preserved; EDGAR value was not written over an existing model formula.</t>
  </si>
  <si>
    <t>K32</t>
  </si>
  <si>
    <t>SellingAndMarketingExpense=654.3mm</t>
  </si>
  <si>
    <t>L32</t>
  </si>
  <si>
    <t>SellingAndMarketingExpense=644.1mm</t>
  </si>
  <si>
    <t>M32</t>
  </si>
  <si>
    <t>SellingAndMarketingExpense=642.9mm</t>
  </si>
  <si>
    <t>N32</t>
  </si>
  <si>
    <t>SellingAndMarketingExpense=976.2mm</t>
  </si>
  <si>
    <t>Quarterly value was derived from Selling and Marketing Expense less 1Q24, 2Q24, 3Q24.</t>
  </si>
  <si>
    <t>P32</t>
  </si>
  <si>
    <t>SellingAndMarketingExpense=688.4mm</t>
  </si>
  <si>
    <t>Q32</t>
  </si>
  <si>
    <t>SellingAndMarketingExpense=713.3mm</t>
  </si>
  <si>
    <t>R32</t>
  </si>
  <si>
    <t>SellingAndMarketingExpense=786.3mm</t>
  </si>
  <si>
    <t>S32</t>
  </si>
  <si>
    <t>SellingAndMarketingExpense=1113.4mm</t>
  </si>
  <si>
    <t>Quarterly value was derived from Selling and Marketing Expense less 1Q25, 2Q25, 3Q25.</t>
  </si>
  <si>
    <t>U32</t>
  </si>
  <si>
    <t>SellingAndMarketingExpense=842.2mm</t>
  </si>
  <si>
    <t>F33</t>
  </si>
  <si>
    <t>ResearchAndDevelopmentExpense=687.3mm</t>
  </si>
  <si>
    <t>G33</t>
  </si>
  <si>
    <t>ResearchAndDevelopmentExpense=658mm</t>
  </si>
  <si>
    <t>H33</t>
  </si>
  <si>
    <t>ResearchAndDevelopmentExpense=657.2mm</t>
  </si>
  <si>
    <t>I33</t>
  </si>
  <si>
    <t>ResearchAndDevelopmentExpense=673.3mm</t>
  </si>
  <si>
    <t>Quarterly value was derived from Research and Development Expense less 1Q23, 2Q23, 3Q23.</t>
  </si>
  <si>
    <t>K33</t>
  </si>
  <si>
    <t>ResearchAndDevelopmentExpense=702.5mm</t>
  </si>
  <si>
    <t>L33</t>
  </si>
  <si>
    <t>ResearchAndDevelopmentExpense=711.3mm</t>
  </si>
  <si>
    <t>M33</t>
  </si>
  <si>
    <t>ResearchAndDevelopmentExpense=735.1mm</t>
  </si>
  <si>
    <t>N33</t>
  </si>
  <si>
    <t>ResearchAndDevelopmentExpense=776.5mm</t>
  </si>
  <si>
    <t>Quarterly value was derived from Research and Development Expense less 1Q24, 2Q24, 3Q24.</t>
  </si>
  <si>
    <t>P33</t>
  </si>
  <si>
    <t>ResearchAndDevelopmentExpense=822.8mm</t>
  </si>
  <si>
    <t>Q33</t>
  </si>
  <si>
    <t>ResearchAndDevelopmentExpense=824.7mm</t>
  </si>
  <si>
    <t>R33</t>
  </si>
  <si>
    <t>ResearchAndDevelopmentExpense=853.6mm</t>
  </si>
  <si>
    <t>S33</t>
  </si>
  <si>
    <t>ResearchAndDevelopmentExpense=890.3mm</t>
  </si>
  <si>
    <t>Quarterly value was derived from Research and Development Expense less 1Q25, 2Q25, 3Q25.</t>
  </si>
  <si>
    <t>U33</t>
  </si>
  <si>
    <t>ResearchAndDevelopmentExpense=959.7mm</t>
  </si>
  <si>
    <t>F34</t>
  </si>
  <si>
    <t>DepreciationDepletionAndAmortization=90.3mm</t>
  </si>
  <si>
    <t>G34</t>
  </si>
  <si>
    <t>DepreciationDepletionAndAmortization=89.4mm</t>
  </si>
  <si>
    <t>H34</t>
  </si>
  <si>
    <t>DepreciationDepletionAndAmortization=90.7mm</t>
  </si>
  <si>
    <t>I34</t>
  </si>
  <si>
    <t>DepreciationDepletionAndAmortization=86.6mm</t>
  </si>
  <si>
    <t>Quarterly value was derived from Depreciation, Depletion and Amortization less 1Q23, 2Q23, 3Q23. Updated the preserved formula's annual bridge constant from EDGAR so the model formula still drives the quarter.</t>
  </si>
  <si>
    <t>K34</t>
  </si>
  <si>
    <t>DepreciationDepletionAndAmortization=87.2mm</t>
  </si>
  <si>
    <t>L34</t>
  </si>
  <si>
    <t>DepreciationDepletionAndAmortization=81.2mm</t>
  </si>
  <si>
    <t>M34</t>
  </si>
  <si>
    <t>DepreciationDepletionAndAmortization=80.9mm</t>
  </si>
  <si>
    <t>N34</t>
  </si>
  <si>
    <t>DepreciationDepletionAndAmortization=79.5mm</t>
  </si>
  <si>
    <t>Quarterly value was derived from Depreciation, Depletion and Amortization less 1Q24, 2Q24, 3Q24.</t>
  </si>
  <si>
    <t>P34</t>
  </si>
  <si>
    <t>DepreciationDepletionAndAmortization=80.1mm</t>
  </si>
  <si>
    <t>Q34</t>
  </si>
  <si>
    <t>DepreciationDepletionAndAmortization=80mm</t>
  </si>
  <si>
    <t>R34</t>
  </si>
  <si>
    <t>DepreciationDepletionAndAmortization=87.3mm</t>
  </si>
  <si>
    <t>S34</t>
  </si>
  <si>
    <t>DepreciationDepletionAndAmortization=86mm</t>
  </si>
  <si>
    <t>Quarterly value was derived from Depreciation, Depletion and Amortization less 1Q25, 2Q25, 3Q25.</t>
  </si>
  <si>
    <t>U34</t>
  </si>
  <si>
    <t>DepreciationDepletionAndAmortization=98.6mm</t>
  </si>
  <si>
    <t>F35</t>
  </si>
  <si>
    <t>NonoperatingIncomeExpense=-71.2mm</t>
  </si>
  <si>
    <t>medium</t>
  </si>
  <si>
    <t>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t>
  </si>
  <si>
    <t>G35</t>
  </si>
  <si>
    <t>NonoperatingIncomeExpense=27mm</t>
  </si>
  <si>
    <t>H35</t>
  </si>
  <si>
    <t>NonoperatingIncomeExpense=168.2mm</t>
  </si>
  <si>
    <t>I35</t>
  </si>
  <si>
    <t>NonoperatingIncomeExpense=-172.7mm</t>
  </si>
  <si>
    <t>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1Q23, 2Q23, 3Q23.</t>
  </si>
  <si>
    <t>K35</t>
  </si>
  <si>
    <t>NonoperatingIncomeExpense=155.4mm</t>
  </si>
  <si>
    <t>L35</t>
  </si>
  <si>
    <t>NonoperatingIncomeExpense=79mm</t>
  </si>
  <si>
    <t>M35</t>
  </si>
  <si>
    <t>NonoperatingIncomeExpense=-21.7mm</t>
  </si>
  <si>
    <t>N35</t>
  </si>
  <si>
    <t>NonoperatingIncomeExpense=54.1mm</t>
  </si>
  <si>
    <t>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1Q24, 2Q24, 3Q24.</t>
  </si>
  <si>
    <t>P35</t>
  </si>
  <si>
    <t>NonoperatingIncomeExpense=50.9mm</t>
  </si>
  <si>
    <t>Q35</t>
  </si>
  <si>
    <t>NonoperatingIncomeExpense=39.6mm</t>
  </si>
  <si>
    <t>R35</t>
  </si>
  <si>
    <t>NonoperatingIncomeExpense=36.5mm</t>
  </si>
  <si>
    <t>S35</t>
  </si>
  <si>
    <t>NonoperatingIncomeExpense=45.5mm</t>
  </si>
  <si>
    <t>LLM-assisted EDGAR mapping: The row label 'Other Operating Income (Expense)' in an income statement context typically maps to 'Other Noncash Income (Expense)' or 'Nonoperating Income (Expense)'. However, given the section header 'Debt and Interest Schedule' and the presence of 'Nonoperating Income (Expense)' in the candidates, 'Nonoperating Income (Expense)' is the most appropriate fit for items that are not part of core operating activities but are included in the income statement. The model sign convention is -1, which is applied to the mapping. Quarterly value was derived from Nonoperating Income (Expense) less 1Q25, 2Q25, 3Q25.</t>
  </si>
  <si>
    <t>U35</t>
  </si>
  <si>
    <t>NonoperatingIncomeExpense=2852.2mm</t>
  </si>
  <si>
    <t>I38</t>
  </si>
  <si>
    <t>InterestIncomeOperating=281mm</t>
  </si>
  <si>
    <t>0001065280-25-000044</t>
  </si>
  <si>
    <t>copied</t>
  </si>
  <si>
    <t>LLM-assisted EDGAR mapping: The row label 'Interest Income' in the 'Debt and Interest Schedule' section of the income statement matches the candidate concept 'Interest income Operating'. Although the candidate label includes 'Operating', it is the most semantically accurate match for interest income within an income statement context.</t>
  </si>
  <si>
    <t>N38</t>
  </si>
  <si>
    <t>InterestIncomeOperating=294mm</t>
  </si>
  <si>
    <t>F39</t>
  </si>
  <si>
    <t>InterestExpense=174.2mm</t>
  </si>
  <si>
    <t>Included SEC interest expense, including operating interest expense when that is the company's presentation.</t>
  </si>
  <si>
    <t>G39</t>
  </si>
  <si>
    <t>InterestExpense=174.8mm</t>
  </si>
  <si>
    <t>H39</t>
  </si>
  <si>
    <t>InterestExpense=175.6mm</t>
  </si>
  <si>
    <t>I39</t>
  </si>
  <si>
    <t>InterestExpense=175.2mm</t>
  </si>
  <si>
    <t>Included SEC interest expense, including operating interest expense when that is the company's presentation. Quarterly value was derived from Interest Expense less 1Q23, 2Q23, 3Q23. Updated the preserved formula's annual bridge constant from EDGAR so the model formula still drives the quarter.</t>
  </si>
  <si>
    <t>K39</t>
  </si>
  <si>
    <t>InterestExpense=173.3mm</t>
  </si>
  <si>
    <t>L39</t>
  </si>
  <si>
    <t>InterestExpense=168mm</t>
  </si>
  <si>
    <t>M39</t>
  </si>
  <si>
    <t>InterestExpense=184.8mm</t>
  </si>
  <si>
    <t>F41</t>
  </si>
  <si>
    <t>G41</t>
  </si>
  <si>
    <t>H41</t>
  </si>
  <si>
    <t>I41</t>
  </si>
  <si>
    <t>Quarterly value was derived from Nonoperating Income (Expense) less 1Q23, 2Q23, 3Q23.</t>
  </si>
  <si>
    <t>K41</t>
  </si>
  <si>
    <t>L41</t>
  </si>
  <si>
    <t>M41</t>
  </si>
  <si>
    <t>N41</t>
  </si>
  <si>
    <t>Quarterly value was derived from Nonoperating Income (Expense) less 1Q24, 2Q24, 3Q24.</t>
  </si>
  <si>
    <t>P41</t>
  </si>
  <si>
    <t>Q41</t>
  </si>
  <si>
    <t>R41</t>
  </si>
  <si>
    <t>S41</t>
  </si>
  <si>
    <t>OtherNonoperatingIncomeExpense; NonoperatingIncomeExpense; OtherIncomeExpenseNet; OtherIncome; OtherExpense</t>
  </si>
  <si>
    <t>U41</t>
  </si>
  <si>
    <t>F44</t>
  </si>
  <si>
    <t>IncomeTaxExpenseBenefit=163.8mm</t>
  </si>
  <si>
    <t>Mapped to EDGAR income tax expense/benefit using the model's negative-expense sign convention.</t>
  </si>
  <si>
    <t>G44</t>
  </si>
  <si>
    <t>IncomeTaxExpenseBenefit=191.7mm</t>
  </si>
  <si>
    <t>H44</t>
  </si>
  <si>
    <t>IncomeTaxExpenseBenefit=231.6mm</t>
  </si>
  <si>
    <t>I44</t>
  </si>
  <si>
    <t>IncomeTaxExpenseBenefit=210.3mm</t>
  </si>
  <si>
    <t>Mapped to EDGAR income tax expense/benefit using the model's negative-expense sign convention. Quarterly value was derived from Income Tax Expense (Benefit) less 1Q23, 2Q23, 3Q23. Updated the preserved formula's annual bridge constant from EDGAR so the model formula still drives the quarter.</t>
  </si>
  <si>
    <t>K44</t>
  </si>
  <si>
    <t>IncomeTaxExpenseBenefit=282.4mm</t>
  </si>
  <si>
    <t>L44</t>
  </si>
  <si>
    <t>IncomeTaxExpenseBenefit=366.6mm</t>
  </si>
  <si>
    <t>M44</t>
  </si>
  <si>
    <t>IncomeTaxExpenseBenefit=339.4mm</t>
  </si>
  <si>
    <t>N44</t>
  </si>
  <si>
    <t>IncomeTaxExpenseBenefit=265.7mm</t>
  </si>
  <si>
    <t>Mapped to EDGAR income tax expense/benefit using the model's negative-expense sign convention. Quarterly value was derived from Income Tax Expense (Benefit) less 1Q24, 2Q24, 3Q24.</t>
  </si>
  <si>
    <t>P44</t>
  </si>
  <si>
    <t>IncomeTaxExpenseBenefit=323.4mm</t>
  </si>
  <si>
    <t>Q44</t>
  </si>
  <si>
    <t>IncomeTaxExpenseBenefit=506.3mm</t>
  </si>
  <si>
    <t>R44</t>
  </si>
  <si>
    <t>IncomeTaxExpenseBenefit=562.5mm</t>
  </si>
  <si>
    <t>S44</t>
  </si>
  <si>
    <t>IncomeTaxExpenseBenefit=349.2mm</t>
  </si>
  <si>
    <t>Mapped to EDGAR income tax expense/benefit using the model's negative-expense sign convention. Quarterly value was derived from Income Tax Expense (Benefit) less 1Q25, 2Q25, 3Q25.</t>
  </si>
  <si>
    <t>U44</t>
  </si>
  <si>
    <t>IncomeTaxExpenseBenefit=1264.3mm</t>
  </si>
  <si>
    <t>H48</t>
  </si>
  <si>
    <t>F49</t>
  </si>
  <si>
    <t>grouped</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</si>
  <si>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</si>
  <si>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</si>
  <si>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</si>
  <si>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</si>
  <si>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</si>
  <si>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</si>
  <si>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</si>
  <si>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</si>
  <si>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</si>
  <si>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</si>
  <si>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</si>
  <si>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</si>
  <si>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</si>
  <si>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</si>
  <si>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</si>
  <si>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</si>
  <si>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</si>
  <si>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</si>
  <si>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</si>
  <si>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</si>
  <si>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</si>
  <si>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CashAndCashEquivalentsAtCarryingValue=7199.8mm</t>
  </si>
  <si>
    <t>Mapped to SEC cash and cash equivalents.</t>
  </si>
  <si>
    <t>Q120</t>
  </si>
  <si>
    <t>CashAndCashEquivalentsAtCarryingValue=8177.4mm</t>
  </si>
  <si>
    <t>R120</t>
  </si>
  <si>
    <t>CashAndCashEquivalentsAtCarryingValue=9287.3mm</t>
  </si>
  <si>
    <t>S120</t>
  </si>
  <si>
    <t>CashAndCashEquivalentsAtCarryingValue=9033.7mm</t>
  </si>
  <si>
    <t>0001065280-26-000034</t>
  </si>
  <si>
    <t>U120</t>
  </si>
  <si>
    <t>F123</t>
  </si>
  <si>
    <t>AssetsCurrent=10482.6mm; CashAndCashEquivalentsAtCarryingValue=6714.6mm; AccountsReceivableNetCurrent=0mm; InventoryNet=0mm</t>
  </si>
  <si>
    <t>0001065280-23-000120</t>
  </si>
  <si>
    <t>Grouped from EDGAR: Assets, Current, Cash and Cash Equivalents, at Carrying Value, Accounts Receivable net Current, Inventory net. Included current assets less separately modeled cash, receivables, and inventory.</t>
  </si>
  <si>
    <t>G123</t>
  </si>
  <si>
    <t>AssetsCurrent=11506.3mm; CashAndCashEquivalentsAtCarryingValue=7662.8mm; AccountsReceivableNetCurrent=0mm; InventoryNet=0mm</t>
  </si>
  <si>
    <t>0001065280-23-000198</t>
  </si>
  <si>
    <t>H123</t>
  </si>
  <si>
    <t>AssetsCurrent=10779.5mm; CashAndCashEquivalentsAtCarryingValue=7353.2mm; AccountsReceivableNetCurrent=0mm; InventoryNet=0mm</t>
  </si>
  <si>
    <t>0001065280-23-000273</t>
  </si>
  <si>
    <t>I123</t>
  </si>
  <si>
    <t>AssetsCurrent=9918.1mm; CashAndCashEquivalentsAtCarryingValue=7116.9mm; AccountsReceivableNetCurrent=0mm; InventoryNet=0mm</t>
  </si>
  <si>
    <t>K123</t>
  </si>
  <si>
    <t>AssetsCurrent=9921.3mm; CashAndCashEquivalentsAtCarryingValue=7024.8mm; AccountsReceivableNetCurrent=0mm; InventoryNet=0mm</t>
  </si>
  <si>
    <t>L123</t>
  </si>
  <si>
    <t>AssetsCurrent=9615.6mm; CashAndCashEquivalentsAtCarryingValue=6624.9mm; AccountsReceivableNetCurrent=0mm; InventoryNet=0mm</t>
  </si>
  <si>
    <t>M123</t>
  </si>
  <si>
    <t>AssetsCurrent=12129.1mm; CashAndCashEquivalentsAtCarryingValue=7457mm; AccountsReceivableNetCurrent=0mm; InventoryNet=0mm</t>
  </si>
  <si>
    <t>N123</t>
  </si>
  <si>
    <t>AssetsCurrent=13100.4mm; CashAndCashEquivalentsAtCarryingValue=7804.7mm; AccountsReceivableNetCurrent=0mm; InventoryNet=0mm</t>
  </si>
  <si>
    <t>P123</t>
  </si>
  <si>
    <t>AssetsCurrent=11697.6mm; CashAndCashEquivalentsAtCarryingValue=7199.8mm; AccountsReceivableNetCurrent=0mm; InventoryNet=0mm</t>
  </si>
  <si>
    <t>Q123</t>
  </si>
  <si>
    <t>AssetsCurrent=11993.1mm; CashAndCashEquivalentsAtCarryingValue=8177.4mm; AccountsReceivableNetCurrent=0mm; InventoryNet=0mm</t>
  </si>
  <si>
    <t>R123</t>
  </si>
  <si>
    <t>AssetsCurrent=12962.9mm; CashAndCashEquivalentsAtCarryingValue=9287.3mm; AccountsReceivableNetCurrent=0mm; InventoryNet=0mm</t>
  </si>
  <si>
    <t>S123</t>
  </si>
  <si>
    <t>AssetsCurrent=13020.2mm; CashAndCashEquivalentsAtCarryingValue=9033.7mm; AccountsReceivableNetCurrent=0mm; InventoryNet=0mm</t>
  </si>
  <si>
    <t>0001065280-26-000138; 0001065280-26-000034</t>
  </si>
  <si>
    <t>Grouped from EDGAR: Assets, Current, Cash and Cash Equivalents At Carrying Value, Accounts Receivable net Current, Inventory net. Included current assets less separately modeled cash, receivables, and inventory.</t>
  </si>
  <si>
    <t>U123</t>
  </si>
  <si>
    <t>AssetsCurrent=17071mm; CashAndCashEquivalentsAtCarryingValue=12259.8mm; AccountsReceivableNetCurrent=0mm; InventoryNet=0mm</t>
  </si>
  <si>
    <t>F126</t>
  </si>
  <si>
    <t>PropertyPlantAndEquipmentNet=1413.1mm</t>
  </si>
  <si>
    <t>Grouped from EDGAR: Property, Plant and Equipment, Net.</t>
  </si>
  <si>
    <t>G126</t>
  </si>
  <si>
    <t>PropertyPlantAndEquipmentNet=1472mm</t>
  </si>
  <si>
    <t>H126</t>
  </si>
  <si>
    <t>PropertyPlantAndEquipmentNet=1498.4mm</t>
  </si>
  <si>
    <t>I126</t>
  </si>
  <si>
    <t>PropertyPlantAndEquipmentNet=1491.4mm</t>
  </si>
  <si>
    <t>K126</t>
  </si>
  <si>
    <t>PropertyPlantAndEquipmentNet=1501.2mm</t>
  </si>
  <si>
    <t>L126</t>
  </si>
  <si>
    <t>PropertyPlantAndEquipmentNet=1511mm</t>
  </si>
  <si>
    <t>M126</t>
  </si>
  <si>
    <t>PropertyPlantAndEquipmentNet=1568.2mm</t>
  </si>
  <si>
    <t>N126</t>
  </si>
  <si>
    <t>PropertyPlantAndEquipmentNet=1593.8mm</t>
  </si>
  <si>
    <t>P126</t>
  </si>
  <si>
    <t>PropertyPlantAndEquipmentNet=1644.3mm</t>
  </si>
  <si>
    <t>Q126</t>
  </si>
  <si>
    <t>PropertyPlantAndEquipmentNet=1743.6mm</t>
  </si>
  <si>
    <t>R126</t>
  </si>
  <si>
    <t>PropertyPlantAndEquipmentNet=1837.9mm</t>
  </si>
  <si>
    <t>S126</t>
  </si>
  <si>
    <t>PropertyPlantAndEquipmentNet=2004.4mm</t>
  </si>
  <si>
    <t>Grouped from EDGAR: Property Plant and Equipment net.</t>
  </si>
  <si>
    <t>U126</t>
  </si>
  <si>
    <t>PropertyPlantAndEquipmentNet=2147.8mm</t>
  </si>
  <si>
    <t>F127</t>
  </si>
  <si>
    <t>ContentAssetsNet=32349.2mm</t>
  </si>
  <si>
    <t>LLM-assisted EDGAR mapping: The model row 'Intangible Assets, Net' in the context of Netflix (NFLX) refers to their content assets. The candidate 'ContentAssetsNet' matches the values and the specific nature of Netflix's balance sheet where content is their primary intangible asset. 'FiniteLivedIntangibleAssetsNet' was also a candidate but 'ContentAssetsNet' is the standard representation for their primary non-current intangible asset class.</t>
  </si>
  <si>
    <t>G127</t>
  </si>
  <si>
    <t>ContentAssetsNet=32520.8mm</t>
  </si>
  <si>
    <t>H127</t>
  </si>
  <si>
    <t>ContentAssetsNet=31749.9mm</t>
  </si>
  <si>
    <t>I127</t>
  </si>
  <si>
    <t>ContentAssetsNet=31658.1mm</t>
  </si>
  <si>
    <t>K127</t>
  </si>
  <si>
    <t>ContentAssetsNet=31662.1mm</t>
  </si>
  <si>
    <t>L127</t>
  </si>
  <si>
    <t>ContentAssetsNet=31927.4mm</t>
  </si>
  <si>
    <t>M127</t>
  </si>
  <si>
    <t>ContentAssetsNet=32175.4mm</t>
  </si>
  <si>
    <t>N127</t>
  </si>
  <si>
    <t>ContentAssetsNet=32452.5mm</t>
  </si>
  <si>
    <t>F129</t>
  </si>
  <si>
    <t>G129</t>
  </si>
  <si>
    <t>H129</t>
  </si>
  <si>
    <t>I129</t>
  </si>
  <si>
    <t>K129</t>
  </si>
  <si>
    <t>L129</t>
  </si>
  <si>
    <t>M129</t>
  </si>
  <si>
    <t>N129</t>
  </si>
  <si>
    <t>P129</t>
  </si>
  <si>
    <t>Assets=52087.6mm; AssetsCurrent=11697.6mm; PropertyPlantAndEquipmentNet=1644.3mm; FiniteLivedIntangibleAssetsNet=32040.8mm; Goodwill=0mm</t>
  </si>
  <si>
    <t>Grouped from EDGAR: Assets, Assets, Current, Property, Plant and Equipment, Net, Finite-Lived Intangible Assets, Net, Goodwill. Calculated from SEC total assets less current assets and separately modeled PP&amp;E, intangible assets, and goodwill.</t>
  </si>
  <si>
    <t>Q129</t>
  </si>
  <si>
    <t>Assets=53099.7mm; AssetsCurrent=11993.1mm; PropertyPlantAndEquipmentNet=1743.6mm; FiniteLivedIntangibleAssetsNet=32089.4mm; Goodwill=0mm</t>
  </si>
  <si>
    <t>R129</t>
  </si>
  <si>
    <t>Assets=54934.8mm; AssetsCurrent=12962.9mm; PropertyPlantAndEquipmentNet=1837.9mm; FiniteLivedIntangibleAssetsNet=32639.9mm; Goodwill=0mm</t>
  </si>
  <si>
    <t>S129</t>
  </si>
  <si>
    <t>Assets=55597mm; AssetsCurrent=13020.2mm; PropertyPlantAndEquipmentNet=2004.4mm; FiniteLivedIntangibleAssetsNet=32778.4mm; Goodwill=0mm</t>
  </si>
  <si>
    <t>0001065280-26-000034; 0001065280-26-000138</t>
  </si>
  <si>
    <t>Grouped from EDGAR: Assets, Assets, Current, Property Plant and Equipment net, Finite Lived Intangible Assets net, Goodwill. Calculated from SEC total assets less current assets and separately modeled PP&amp;E, intangible assets, and goodwill.</t>
  </si>
  <si>
    <t>U129</t>
  </si>
  <si>
    <t>F134</t>
  </si>
  <si>
    <t>AccountsPayableCurrent=592mm</t>
  </si>
  <si>
    <t>Grouped from EDGAR: Accounts Payable, Current.</t>
  </si>
  <si>
    <t>G134</t>
  </si>
  <si>
    <t>AccountsPayableCurrent=615.4mm</t>
  </si>
  <si>
    <t>H134</t>
  </si>
  <si>
    <t>AccountsPayableCurrent=534.4mm</t>
  </si>
  <si>
    <t>I134</t>
  </si>
  <si>
    <t>AccountsPayableCurrent=747.4mm</t>
  </si>
  <si>
    <t>K134</t>
  </si>
  <si>
    <t>AccountsPayableCurrent=607.3mm</t>
  </si>
  <si>
    <t>L134</t>
  </si>
  <si>
    <t>AccountsPayableCurrent=598.6mm</t>
  </si>
  <si>
    <t>M134</t>
  </si>
  <si>
    <t>AccountsPayableCurrent=642mm</t>
  </si>
  <si>
    <t>N134</t>
  </si>
  <si>
    <t>AccountsPayableCurrent=899.9mm</t>
  </si>
  <si>
    <t>P134</t>
  </si>
  <si>
    <t>AccountsPayableCurrent=614.5mm</t>
  </si>
  <si>
    <t>Q134</t>
  </si>
  <si>
    <t>AccountsPayableCurrent=632.7mm</t>
  </si>
  <si>
    <t>R134</t>
  </si>
  <si>
    <t>AccountsPayableCurrent=793.2mm</t>
  </si>
  <si>
    <t>S134</t>
  </si>
  <si>
    <t>AccountsPayableCurrent=900.6mm</t>
  </si>
  <si>
    <t>Grouped from EDGAR: Accounts Payable Current.</t>
  </si>
  <si>
    <t>U134</t>
  </si>
  <si>
    <t>AccountsPayableCurrent=894.7mm</t>
  </si>
  <si>
    <t>F135</t>
  </si>
  <si>
    <t>AccruedLiabilitiesCurrent=1718.1mm</t>
  </si>
  <si>
    <t>G135</t>
  </si>
  <si>
    <t>AccruedLiabilitiesCurrent=1908.7mm</t>
  </si>
  <si>
    <t>H135</t>
  </si>
  <si>
    <t>AccruedLiabilitiesCurrent=1838.9mm</t>
  </si>
  <si>
    <t>I135</t>
  </si>
  <si>
    <t>AccruedLiabilitiesCurrent=1804mm</t>
  </si>
  <si>
    <t>K135</t>
  </si>
  <si>
    <t>AccruedLiabilitiesCurrent=1977.4mm</t>
  </si>
  <si>
    <t>L135</t>
  </si>
  <si>
    <t>AccruedLiabilitiesCurrent=1876.2mm</t>
  </si>
  <si>
    <t>M135</t>
  </si>
  <si>
    <t>AccruedLiabilitiesCurrent=2241.8mm</t>
  </si>
  <si>
    <t>N135</t>
  </si>
  <si>
    <t>AccruedLiabilitiesCurrent=2156.5mm</t>
  </si>
  <si>
    <t>P135</t>
  </si>
  <si>
    <t>AccruedLiabilitiesCurrent=2359.5mm</t>
  </si>
  <si>
    <t>Q135</t>
  </si>
  <si>
    <t>AccruedLiabilitiesCurrent=2489.5mm</t>
  </si>
  <si>
    <t>R135</t>
  </si>
  <si>
    <t>AccruedLiabilitiesCurrent=3111.3mm</t>
  </si>
  <si>
    <t>S135</t>
  </si>
  <si>
    <t>AccruedLiabilitiesCurrent=3220.9mm</t>
  </si>
  <si>
    <t>U135</t>
  </si>
  <si>
    <t>AccruedLiabilitiesCurrent=4442mm</t>
  </si>
  <si>
    <t>F136</t>
  </si>
  <si>
    <t>G136</t>
  </si>
  <si>
    <t>H136</t>
  </si>
  <si>
    <t>I136</t>
  </si>
  <si>
    <t>K136</t>
  </si>
  <si>
    <t>L136</t>
  </si>
  <si>
    <t>M136</t>
  </si>
  <si>
    <t>N136</t>
  </si>
  <si>
    <t>P136</t>
  </si>
  <si>
    <t>Liabilities=28059.6mm; ShortTermBorrowings=1005.9mm; AccountsPayableCurrent=614.5mm; SecuritiesLoaned=0mm; ShortTermBorrowings=1005.9mm; LongTermDebtNoncurrent=14011mm; DeferredTaxLiabilitiesNoncurrent=0mm; OtherLiabilitiesNoncurrent=2633.4mm</t>
  </si>
  <si>
    <t>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</si>
  <si>
    <t>Q136</t>
  </si>
  <si>
    <t>Liabilities=28147.8mm; ShortTermBorrowings=0mm; AccountsPayableCurrent=632.7mm; SecuritiesLoaned=0mm; ShortTermBorrowings=0mm; LongTermDebtNoncurrent=14453.2mm; DeferredTaxLiabilitiesNoncurrent=0mm; OtherLiabilitiesNoncurrent=3145.8mm</t>
  </si>
  <si>
    <t>R136</t>
  </si>
  <si>
    <t>Liabilities=28980.8mm; ShortTermBorrowings=0mm; AccountsPayableCurrent=793.2mm; SecuritiesLoaned=0mm; ShortTermBorrowings=0mm; LongTermDebtNoncurrent=14463mm; DeferredTaxLiabilitiesNoncurrent=0mm; OtherLiabilitiesNoncurrent=3193.9mm</t>
  </si>
  <si>
    <t>S136</t>
  </si>
  <si>
    <t>Liabilities=28981.5mm; ShortTermBorrowings=998.9mm; AccountsPayableCurrent=900.6mm; SecuritiesLoaned=0mm; ShortTermBorrowings=998.9mm; LongTermDebtNoncurrent=13464mm; DeferredTaxLiabilitiesNoncurrent=0mm; OtherLiabilitiesNoncurrent=2957.1mm</t>
  </si>
  <si>
    <t>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</si>
  <si>
    <t>U136</t>
  </si>
  <si>
    <t>F140</t>
  </si>
  <si>
    <t>G140</t>
  </si>
  <si>
    <t>H140</t>
  </si>
  <si>
    <t>I140</t>
  </si>
  <si>
    <t>K140</t>
  </si>
  <si>
    <t>L140</t>
  </si>
  <si>
    <t>M140</t>
  </si>
  <si>
    <t>N140</t>
  </si>
  <si>
    <t>P140</t>
  </si>
  <si>
    <t>ShortTermBorrowings=1005.9mm; LongTermDebtNoncurrent=14011mm</t>
  </si>
  <si>
    <t>Grouped from EDGAR: Short-term Debt, Long-term Debt, Excluding Current Maturities.</t>
  </si>
  <si>
    <t>Q140</t>
  </si>
  <si>
    <t>ShortTermBorrowings=0mm; LongTermDebtNoncurrent=14453.2mm</t>
  </si>
  <si>
    <t>R140</t>
  </si>
  <si>
    <t>ShortTermBorrowings=0mm; LongTermDebtNoncurrent=14463mm</t>
  </si>
  <si>
    <t>S140</t>
  </si>
  <si>
    <t>ShortTermBorrowings=998.9mm; LongTermDebtNoncurrent=13464mm</t>
  </si>
  <si>
    <t>Grouped from EDGAR: Short Term Borrowings, Long Term Debt Noncurrent.</t>
  </si>
  <si>
    <t>U140</t>
  </si>
  <si>
    <t>F142</t>
  </si>
  <si>
    <t>G142</t>
  </si>
  <si>
    <t>H142</t>
  </si>
  <si>
    <t>I142</t>
  </si>
  <si>
    <t>K142</t>
  </si>
  <si>
    <t>L142</t>
  </si>
  <si>
    <t>M142</t>
  </si>
  <si>
    <t>N142</t>
  </si>
  <si>
    <t>P142</t>
  </si>
  <si>
    <t>Assets=52087.6mm; LiabilitiesCurrent=9718.5mm; ShortTermBorrowings=1005.9mm; ShortTermBorrowings=1005.9mm; LongTermDebtNoncurrent=14011mm; DeferredTaxLiabilitiesNoncurrent=0mm; StockholdersEquity=24028.1mm; NoncontrollingInterestInConsolidatedEntity=0mm</t>
  </si>
  <si>
    <t>0001065280-25-000176; 0001065280-26-000138</t>
  </si>
  <si>
    <t>Grouped from EDGAR: Assets, Liabilities, Current, Short-term Debt, Long-term Debt, Excluding Current Maturities, Deferred Tax Liabilities Noncurrent, Stockholders' Equity Attributable to Parent, Noncontrolling Interest In Consolidated Entity. Included total assets less current liabilities, debt, deferred taxes, shareholder equity, and noncontrolling interests.</t>
  </si>
  <si>
    <t>Q142</t>
  </si>
  <si>
    <t>Assets=53099.7mm; LiabilitiesCurrent=8942.3mm; ShortTermBorrowings=0mm; ShortTermBorrowings=0mm; LongTermDebtNoncurrent=14453.2mm; DeferredTaxLiabilitiesNoncurrent=0mm; StockholdersEquity=24951.9mm; NoncontrollingInterestInConsolidatedEntity=0mm</t>
  </si>
  <si>
    <t>0001065280-25-000323; 0001065280-25-000406</t>
  </si>
  <si>
    <t>R142</t>
  </si>
  <si>
    <t>Assets=54934.8mm; LiabilitiesCurrent=9731.9mm; ShortTermBorrowings=0mm; ShortTermBorrowings=0mm; LongTermDebtNoncurrent=14463mm; DeferredTaxLiabilitiesNoncurrent=0mm; StockholdersEquity=25954mm; NoncontrollingInterestInConsolidatedEntity=0mm</t>
  </si>
  <si>
    <t>S142</t>
  </si>
  <si>
    <t>Assets=55597mm; LiabilitiesCurrent=10980.9mm; ShortTermBorrowings=998.9mm; ShortTermBorrowings=998.9mm; LongTermDebtNoncurrent=13464mm; DeferredTaxLiabilitiesNoncurrent=0mm; StockholdersEquity=26615.5mm; NoncontrollingInterestInConsolidatedEntity=0mm</t>
  </si>
  <si>
    <t>Grouped from EDGAR: Assets, Liabilities Current, Short Term Borrowings, Long Term Debt Noncurrent, Deferred Tax Liabilities Noncurrent, Stockholders Equity, Noncontrolling Interest In Consolidated Entity. Included total assets less current liabilities, debt, deferred taxes, shareholder equity, and noncontrolling interests.</t>
  </si>
  <si>
    <t>U142</t>
  </si>
  <si>
    <t>F147</t>
  </si>
  <si>
    <t>StockholdersEquity=21828.2mm; RetainedEarningsAccumulatedDeficit=18486.4mm; TreasuryStockValue=0mm; AccumulatedOtherComprehensiveIncomeLossNetOfTax=-191.7mm</t>
  </si>
  <si>
    <t>0001065280-24-000200; 0001065280-23-000120</t>
  </si>
  <si>
    <t>Grouped from EDGAR: Stockholders' Equity Attributable to Parent, Retained Earnings (Accumulated Deficit), Treasury Stock Value, Accumulated Other Comprehensive Income (Loss), Net of Tax. Included stockholders' equity less retained earnings, treasury stock, and AOCI.</t>
  </si>
  <si>
    <t>G147</t>
  </si>
  <si>
    <t>StockholdersEquity=22832.2mm; RetainedEarningsAccumulatedDeficit=19974mm; TreasuryStockValue=0mm; AccumulatedOtherComprehensiveIncomeLossNetOfTax=-139.3mm</t>
  </si>
  <si>
    <t>0001065280-24-000287; 0001065280-23-000198</t>
  </si>
  <si>
    <t>H147</t>
  </si>
  <si>
    <t>StockholdersEquity=22107.6mm; RetainedEarningsAccumulatedDeficit=21651.4mm; TreasuryStockValue=0mm; AccumulatedOtherComprehensiveIncomeLossNetOfTax=-155.6mm</t>
  </si>
  <si>
    <t>0001065280-24-000287; 0001065280-23-000273</t>
  </si>
  <si>
    <t>I147</t>
  </si>
  <si>
    <t>StockholdersEquity=20588.3mm; RetainedEarningsAccumulatedDeficit=22589.3mm; TreasuryStockValue=0mm; AccumulatedOtherComprehensiveIncomeLossNetOfTax=-223.9mm</t>
  </si>
  <si>
    <t>0001065280-26-000034; 0001065280-25-000044</t>
  </si>
  <si>
    <t>K147</t>
  </si>
  <si>
    <t>StockholdersEquity=21365.4mm; RetainedEarningsAccumulatedDeficit=24921.5mm; TreasuryStockValue=0mm; AccumulatedOtherComprehensiveIncomeLossNetOfTax=-111.9mm</t>
  </si>
  <si>
    <t>0001065280-25-000323; 0001065280-24-000128</t>
  </si>
  <si>
    <t>L147</t>
  </si>
  <si>
    <t>StockholdersEquity=22112.7mm; RetainedEarningsAccumulatedDeficit=27068.8mm; TreasuryStockValue=0mm; AccumulatedOtherComprehensiveIncomeLossNetOfTax=-89.1mm</t>
  </si>
  <si>
    <t>0001065280-25-000406; 0001065280-24-000200</t>
  </si>
  <si>
    <t>M147</t>
  </si>
  <si>
    <t>StockholdersEquity=22720.7mm; RetainedEarningsAccumulatedDeficit=29432.3mm; TreasuryStockValue=0mm; AccumulatedOtherComprehensiveIncomeLossNetOfTax=-344.6mm</t>
  </si>
  <si>
    <t>0001065280-25-000406; 0001065280-24-000287</t>
  </si>
  <si>
    <t>N147</t>
  </si>
  <si>
    <t>StockholdersEquity=24743.6mm; RetainedEarningsAccumulatedDeficit=31300.9mm; TreasuryStockValue=0mm; AccumulatedOtherComprehensiveIncomeLossNetOfTax=362.2mm</t>
  </si>
  <si>
    <t>Grouped from EDGAR: Stockholders Equity, Retained Earnings (Accumulated Deficit), Treasury Stock Value, Accumulated Other Comprehensive Income (Loss), Net of Tax. Included stockholders' equity less retained earnings, treasury stock, and AOCI.</t>
  </si>
  <si>
    <t>P147</t>
  </si>
  <si>
    <t>StockholdersEquity=24028.1mm; RetainedEarningsAccumulatedDeficit=34191.3mm; TreasuryStockValue=0mm; AccumulatedOtherComprehensiveIncomeLossNetOfTax=-85.7mm</t>
  </si>
  <si>
    <t>0001065280-26-000138; 0001065280-25-000176</t>
  </si>
  <si>
    <t>Q147</t>
  </si>
  <si>
    <t>StockholdersEquity=24951.9mm; RetainedEarningsAccumulatedDeficit=37316.7mm; TreasuryStockValue=0mm; AccumulatedOtherComprehensiveIncomeLossNetOfTax=-904.7mm</t>
  </si>
  <si>
    <t>0001065280-25-000406; 0001065280-25-000323</t>
  </si>
  <si>
    <t>R147</t>
  </si>
  <si>
    <t>StockholdersEquity=25954mm; RetainedEarningsAccumulatedDeficit=39863.6mm; TreasuryStockValue=0mm; AccumulatedOtherComprehensiveIncomeLossNetOfTax=-719.3mm</t>
  </si>
  <si>
    <t>S147</t>
  </si>
  <si>
    <t>StockholdersEquity=26615.5mm; RetainedEarningsAccumulatedDeficit=42282.1mm; TreasuryStockValue=0mm; AccumulatedOtherComprehensiveIncomeLossNetOfTax=-580.4mm</t>
  </si>
  <si>
    <t>Grouped from EDGAR: Stockholders Equity, Retained Earnings Accumulated Deficit, Treasury Stock Value, Accumulated Other Comprehensive income loss net of Tax. Included stockholders' equity less retained earnings, treasury stock, and AOCI.</t>
  </si>
  <si>
    <t>U147</t>
  </si>
  <si>
    <t>StockholdersEquity=31126.4mm; RetainedEarningsAccumulatedDeficit=47564.9mm; TreasuryStockValue=0mm; AccumulatedOtherComprehensiveIncomeLossNetOfTax=-235mm</t>
  </si>
  <si>
    <t>F148</t>
  </si>
  <si>
    <t>RetainedEarningsAccumulatedDeficit=18486.4mm</t>
  </si>
  <si>
    <t>G148</t>
  </si>
  <si>
    <t>RetainedEarningsAccumulatedDeficit=19974mm</t>
  </si>
  <si>
    <t>H148</t>
  </si>
  <si>
    <t>RetainedEarningsAccumulatedDeficit=21651.4mm</t>
  </si>
  <si>
    <t>I148</t>
  </si>
  <si>
    <t>RetainedEarningsAccumulatedDeficit=22589.3mm</t>
  </si>
  <si>
    <t>K148</t>
  </si>
  <si>
    <t>RetainedEarningsAccumulatedDeficit=24921.5mm</t>
  </si>
  <si>
    <t>L148</t>
  </si>
  <si>
    <t>RetainedEarningsAccumulatedDeficit=27068.8mm</t>
  </si>
  <si>
    <t>M148</t>
  </si>
  <si>
    <t>RetainedEarningsAccumulatedDeficit=29432.3mm</t>
  </si>
  <si>
    <t>N148</t>
  </si>
  <si>
    <t>RetainedEarningsAccumulatedDeficit=31300.9mm</t>
  </si>
  <si>
    <t>P148</t>
  </si>
  <si>
    <t>RetainedEarningsAccumulatedDeficit=34191.3mm</t>
  </si>
  <si>
    <t>Q148</t>
  </si>
  <si>
    <t>RetainedEarningsAccumulatedDeficit=37316.7mm</t>
  </si>
  <si>
    <t>R148</t>
  </si>
  <si>
    <t>RetainedEarningsAccumulatedDeficit=39863.6mm</t>
  </si>
  <si>
    <t>S148</t>
  </si>
  <si>
    <t>RetainedEarningsAccumulatedDeficit=42282.1mm</t>
  </si>
  <si>
    <t>U148</t>
  </si>
  <si>
    <t>RetainedEarningsAccumulatedDeficit=47564.9mm</t>
  </si>
  <si>
    <t>F149</t>
  </si>
  <si>
    <t>TreasuryStockValue=0mm</t>
  </si>
  <si>
    <t>Grouped from EDGAR: Treasury Stock Value.</t>
  </si>
  <si>
    <t>G149</t>
  </si>
  <si>
    <t>H149</t>
  </si>
  <si>
    <t>I149</t>
  </si>
  <si>
    <t>K149</t>
  </si>
  <si>
    <t>L149</t>
  </si>
  <si>
    <t>M149</t>
  </si>
  <si>
    <t>N149</t>
  </si>
  <si>
    <t>P149</t>
  </si>
  <si>
    <t>Q149</t>
  </si>
  <si>
    <t>R149</t>
  </si>
  <si>
    <t>S149</t>
  </si>
  <si>
    <t>U149</t>
  </si>
  <si>
    <t>F150</t>
  </si>
  <si>
    <t>AccumulatedOtherComprehensiveIncomeLossNetOfTax=-191.7mm</t>
  </si>
  <si>
    <t>G150</t>
  </si>
  <si>
    <t>AccumulatedOtherComprehensiveIncomeLossNetOfTax=-139.3mm</t>
  </si>
  <si>
    <t>H150</t>
  </si>
  <si>
    <t>AccumulatedOtherComprehensiveIncomeLossNetOfTax=-155.6mm</t>
  </si>
  <si>
    <t>I150</t>
  </si>
  <si>
    <t>AccumulatedOtherComprehensiveIncomeLossNetOfTax=-223.9mm</t>
  </si>
  <si>
    <t>K150</t>
  </si>
  <si>
    <t>AccumulatedOtherComprehensiveIncomeLossNetOfTax=-111.9mm</t>
  </si>
  <si>
    <t>L150</t>
  </si>
  <si>
    <t>AccumulatedOtherComprehensiveIncomeLossNetOfTax=-89.1mm</t>
  </si>
  <si>
    <t>M150</t>
  </si>
  <si>
    <t>AccumulatedOtherComprehensiveIncomeLossNetOfTax=-344.6mm</t>
  </si>
  <si>
    <t>N150</t>
  </si>
  <si>
    <t>AccumulatedOtherComprehensiveIncomeLossNetOfTax=362.2mm</t>
  </si>
  <si>
    <t>P150</t>
  </si>
  <si>
    <t>AccumulatedOtherComprehensiveIncomeLossNetOfTax=-85.7mm</t>
  </si>
  <si>
    <t>Q150</t>
  </si>
  <si>
    <t>AccumulatedOtherComprehensiveIncomeLossNetOfTax=-904.7mm</t>
  </si>
  <si>
    <t>R150</t>
  </si>
  <si>
    <t>AccumulatedOtherComprehensiveIncomeLossNetOfTax=-719.3mm</t>
  </si>
  <si>
    <t>S150</t>
  </si>
  <si>
    <t>AccumulatedOtherComprehensiveIncomeLossNetOfTax=-580.4mm</t>
  </si>
  <si>
    <t>U150</t>
  </si>
  <si>
    <t>AccumulatedOtherComprehensiveIncomeLossNetOfTax=-235mm</t>
  </si>
  <si>
    <t>F246</t>
  </si>
  <si>
    <t>ShareBasedCompensation=99.1mm</t>
  </si>
  <si>
    <t>support</t>
  </si>
  <si>
    <t>G246</t>
  </si>
  <si>
    <t>ShareBasedCompensation</t>
  </si>
  <si>
    <t>H246</t>
  </si>
  <si>
    <t>I246</t>
  </si>
  <si>
    <t>ShareBasedCompensation=82.5mm</t>
  </si>
  <si>
    <t>Quarterly value was derived from Share-based Payment Arrangement, Noncash Expense less 1Q23, 2Q23, 3Q23.</t>
  </si>
  <si>
    <t>K246</t>
  </si>
  <si>
    <t>ShareBasedCompensation=76.3mm</t>
  </si>
  <si>
    <t>L246</t>
  </si>
  <si>
    <t>M246</t>
  </si>
  <si>
    <t>ShareBasedCompensation=65.7mm</t>
  </si>
  <si>
    <t>N246</t>
  </si>
  <si>
    <t>ShareBasedCompensation=61.8mm</t>
  </si>
  <si>
    <t>Quarterly value was derived from Share-based Payment Arrangement, Noncash Expense less 1Q24, 2Q24, 3Q24. Updated the preserved formula's annual bridge constant from EDGAR so the model formula still drives the quarter.</t>
  </si>
  <si>
    <t>P246</t>
  </si>
  <si>
    <t>ShareBasedCompensation=72mm</t>
  </si>
  <si>
    <t>Q246</t>
  </si>
  <si>
    <t>ShareBasedCompensation=80.9mm</t>
  </si>
  <si>
    <t>R246</t>
  </si>
  <si>
    <t>ShareBasedCompensation=81mm</t>
  </si>
  <si>
    <t>S246</t>
  </si>
  <si>
    <t>ShareBasedCompensation=134.6mm</t>
  </si>
  <si>
    <t>Quarterly value was derived from Share-based Payment Arrangement, Noncash Expense less 1Q25, 2Q25, 3Q25. Updated the preserved formula's annual bridge constant from EDGAR so the model formula still drives the quarter.</t>
  </si>
  <si>
    <t>U246</t>
  </si>
  <si>
    <t>ShareBasedCompensation=140.4mm</t>
  </si>
  <si>
    <t>F252</t>
  </si>
  <si>
    <t>G252</t>
  </si>
  <si>
    <t>H252</t>
  </si>
  <si>
    <t>I252</t>
  </si>
  <si>
    <t>K252</t>
  </si>
  <si>
    <t>L252</t>
  </si>
  <si>
    <t>M252</t>
  </si>
  <si>
    <t>N252</t>
  </si>
  <si>
    <t>P252</t>
  </si>
  <si>
    <t>Q252</t>
  </si>
  <si>
    <t>R252</t>
  </si>
  <si>
    <t>S252</t>
  </si>
  <si>
    <t>U252</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</si>
  <si>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</si>
  <si>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</si>
  <si>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</si>
  <si>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</si>
  <si>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</si>
  <si>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</si>
  <si>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</si>
  <si>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</si>
  <si>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</si>
  <si>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</si>
  <si>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</si>
  <si>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</si>
  <si>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</si>
  <si>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</si>
  <si>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</si>
  <si>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</si>
  <si>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</si>
  <si>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</si>
  <si>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</si>
  <si>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</si>
  <si>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</si>
  <si>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</si>
  <si>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</si>
  <si>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</si>
  <si>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</si>
  <si>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</si>
  <si>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</si>
  <si>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</si>
  <si>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</si>
  <si>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</si>
  <si>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</si>
  <si>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</si>
  <si>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</si>
  <si>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</si>
  <si>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</si>
  <si>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</si>
  <si>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</si>
  <si>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</si>
  <si>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</si>
  <si>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</si>
  <si>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</si>
  <si>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needs_review</t>
  </si>
  <si>
    <t>Needs review: Segment Analysis row was not filled because the template label is blank, generic, or does not confidently match an EDGAR reportable segment.</t>
  </si>
  <si>
    <t>G8</t>
  </si>
  <si>
    <t>H8</t>
  </si>
  <si>
    <t>I8</t>
  </si>
  <si>
    <t>K8</t>
  </si>
  <si>
    <t>L8</t>
  </si>
  <si>
    <t>M8</t>
  </si>
  <si>
    <t>N8</t>
  </si>
  <si>
    <t>P8</t>
  </si>
  <si>
    <t>Q8</t>
  </si>
  <si>
    <t>R8</t>
  </si>
  <si>
    <t>S8</t>
  </si>
  <si>
    <t>U8</t>
  </si>
  <si>
    <t>F52</t>
  </si>
  <si>
    <t>G52</t>
  </si>
  <si>
    <t>H52</t>
  </si>
  <si>
    <t>I52</t>
  </si>
  <si>
    <t>K52</t>
  </si>
  <si>
    <t>L52</t>
  </si>
  <si>
    <t>M52</t>
  </si>
  <si>
    <t>N52</t>
  </si>
  <si>
    <t>P52</t>
  </si>
  <si>
    <t>Q52</t>
  </si>
  <si>
    <t>R52</t>
  </si>
  <si>
    <t>S52</t>
  </si>
  <si>
    <t>U52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</si>
  <si>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</si>
  <si>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</si>
  <si>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</si>
  <si>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</si>
  <si>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</si>
  <si>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</si>
  <si>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</si>
  <si>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</si>
  <si>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</si>
  <si>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Calculated as the residual needed for the Income Statement EBIT formula to tie to EDGAR pre-tax operating income.</t>
  </si>
  <si>
    <t>IncomeLossFromContinuingOperationsIncludingPortionAttributableToNoncontrollingInterest, NetIncomeLoss</t>
  </si>
  <si>
    <t>existing formula bridge updated with EDGAR net income residual</t>
  </si>
  <si>
    <t>Calculated as the residual needed for the model's net income formula to tie to EDGAR net income.</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</si>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</sst>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_);\(#,##0.0%_)"/>
    <numFmt numFmtId="168" formatCode="#,##0.0_);\(#,##0.0\)"/>
    <numFmt numFmtId="169" formatCode="0.0%"/>
    <numFmt numFmtId="170" formatCode="yyyy&quot;A&quot;"/>
    <numFmt numFmtId="171" formatCode="yyyy&quot;E&quot;"/>
    <numFmt numFmtId="172" formatCode="0.0\x_);\(0.0\x\)"/>
    <numFmt numFmtId="173" formatCode="&quot;$&quot;#,##0.00"/>
    <numFmt numFmtId="174" formatCode="0.0&quot;x&quot;"/>
    <numFmt numFmtId="175" formatCode="_([$$-409]* #,##0_);_([$$-409]* \(#,##0\);_([$$-409]* &quot;-&quot;??_);_(@_)"/>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0.0;\(#,##0.0\)"/>
    <numFmt numFmtId="187" formatCode="&quot;$&quot;#,##0.00_);\(&quot;$&quot;#,##0.00\);&quot;OK!&quot;"/>
    <numFmt numFmtId="188" formatCode="#.#\x;\(#.#\x\)"/>
    <numFmt numFmtId="189" formatCode="#,##0.000000_);\(#,##0.000000\)"/>
    <numFmt numFmtId="190" formatCode="0.00%;\(0.00%\)"/>
    <numFmt numFmtId="191" formatCode="&quot;$&quot;#,##0.0"/>
    <numFmt numFmtId="192" formatCode="#,##0.0%_);\(#,##0.0%\);_(@_)"/>
    <numFmt numFmtId="193" formatCode="#,##0.0%_);\(#,##0.0\)%"/>
    <numFmt numFmtId="194" formatCode="[$-409]d\-mmm"/>
    <numFmt numFmtId="195" formatCode="0.0\x"/>
    <numFmt numFmtId="196" formatCode="0.00_);\(0.00\)"/>
    <numFmt numFmtId="197" formatCode="#,##0.0\x_);\(#,##0.0\x_)"/>
    <numFmt numFmtId="198" formatCode="_(0.0%_);\(0.0%\);_(&quot;-&quot;_)_%"/>
    <numFmt numFmtId="199" formatCode="0.0"/>
    <numFmt numFmtId="200" formatCode="&quot;&quot;"/>
    <numFmt numFmtId="201" formatCode="#,##0.00%_);\(#,##0.00%\)"/>
    <numFmt numFmtId="202" formatCode="&quot;$&quot;#,##0"/>
    <numFmt numFmtId="203" formatCode="#,##0.00%_);\(#,##0.00%_)"/>
    <numFmt numFmtId="204" formatCode="0.0\ \x"/>
    <numFmt numFmtId="205" formatCode="#,##0.0%_);\(#,##0.0%\);* &quot;-&quot;;_(@_)"/>
    <numFmt numFmtId="206" formatCode="0.00%_);\(0.00%\)"/>
    <numFmt numFmtId="207" formatCode="_(&quot;$&quot;* #,##0.0_);_(&quot;$&quot;* \(#,##0.0\);_(&quot;$&quot;* &quot;-&quot;??_);_(@_)"/>
    <numFmt numFmtId="208" formatCode="#,##0.0%_);\(#,##0.0%\);&quot;-&quot;"/>
    <numFmt numFmtId="209" formatCode="_(&quot;$&quot;* #,##0_);_(&quot;$&quot;* \(#,##0\);_(&quot;$&quot;* &quot;-&quot;??_);_(@_)"/>
    <numFmt numFmtId="210" formatCode="yyyy"/>
    <numFmt numFmtId="211" formatCode="#,##0.0\x_);\(#,##0.0\x\);&quot;-&quot;"/>
  </numFmts>
  <fonts count="62">
    <font>
      <sz val="11"/>
      <color theme="1"/>
      <name val="Calibri"/>
      <family val="2"/>
      <scheme val="minor"/>
    </font>
    <font>
      <sz val="11"/>
      <color rgb="FFC8C8C8"/>
      <name val="Abadi"/>
    </font>
    <font>
      <sz val="14"/>
      <color theme="1"/>
      <name val="Abadi"/>
    </font>
    <font>
      <sz val="11"/>
      <color theme="1"/>
      <name val="Abadi"/>
    </font>
    <font>
      <sz val="10"/>
      <color rgb="FF000000"/>
      <name val="Abadi"/>
    </font>
    <font>
      <sz val="11"/>
      <color theme="0"/>
      <name val="Abadi"/>
    </font>
    <font>
      <sz val="11"/>
      <name val="Calibri"/>
      <family val="2"/>
    </font>
    <font>
      <sz val="10"/>
      <color theme="1"/>
      <name val="Abadi"/>
    </font>
    <font>
      <u/>
      <sz val="11"/>
      <color theme="1"/>
      <name val="Abadi"/>
    </font>
    <font>
      <u/>
      <sz val="14"/>
      <color theme="1"/>
      <name val="Abadi"/>
    </font>
    <font>
      <i/>
      <sz val="11"/>
      <color theme="1"/>
      <name val="Abadi"/>
    </font>
    <font>
      <sz val="11"/>
      <color rgb="FF0000FF"/>
      <name val="Abadi"/>
    </font>
    <font>
      <sz val="10"/>
      <color rgb="FFC8C8C8"/>
      <name val="Abadi"/>
    </font>
    <font>
      <sz val="10"/>
      <color theme="0"/>
      <name val="Abadi"/>
    </font>
    <font>
      <sz val="10"/>
      <color rgb="FF008000"/>
      <name val="Abadi"/>
    </font>
    <font>
      <sz val="11"/>
      <color rgb="FF008000"/>
      <name val="Abadi"/>
    </font>
    <font>
      <sz val="10"/>
      <color rgb="FF0000FF"/>
      <name val="Abadi"/>
    </font>
    <font>
      <sz val="10"/>
      <color rgb="FF0000FF"/>
      <name val="Arial"/>
      <family val="2"/>
    </font>
    <font>
      <u/>
      <sz val="11"/>
      <color theme="10"/>
      <name val="Abadi"/>
    </font>
    <font>
      <sz val="10"/>
      <color theme="1"/>
      <name val="Arial"/>
      <family val="2"/>
    </font>
    <font>
      <sz val="10"/>
      <color rgb="FF7F7F7F"/>
      <name val="Abadi"/>
    </font>
    <font>
      <sz val="11"/>
      <color theme="1"/>
      <name val="Calibri"/>
      <family val="2"/>
      <scheme val="minor"/>
    </font>
    <font>
      <sz val="10"/>
      <color rgb="FFC00000"/>
      <name val="Abadi"/>
    </font>
    <font>
      <sz val="11"/>
      <color theme="0"/>
      <name val="Garamond"/>
      <family val="1"/>
    </font>
    <font>
      <i/>
      <sz val="10"/>
      <color theme="1"/>
      <name val="Abadi"/>
    </font>
    <font>
      <sz val="16"/>
      <color theme="1"/>
      <name val="Abadi"/>
    </font>
    <font>
      <sz val="11"/>
      <color theme="1"/>
      <name val="Calibri"/>
      <family val="2"/>
    </font>
    <font>
      <sz val="1"/>
      <color theme="1"/>
      <name val="Abadi"/>
    </font>
    <font>
      <sz val="1"/>
      <color theme="0"/>
      <name val="Abadi"/>
    </font>
    <font>
      <sz val="10"/>
      <color rgb="FFB4B4B4"/>
      <name val="Abadi"/>
    </font>
    <font>
      <sz val="11"/>
      <color rgb="FF000000"/>
      <name val="Abadi"/>
    </font>
    <font>
      <u/>
      <sz val="10"/>
      <color theme="1"/>
      <name val="Abadi"/>
    </font>
    <font>
      <sz val="10"/>
      <color rgb="FFD8D8D8"/>
      <name val="Abadi"/>
    </font>
    <font>
      <sz val="10"/>
      <color rgb="FFFFFFFF"/>
      <name val="Abadi"/>
    </font>
    <font>
      <sz val="10"/>
      <color rgb="FF002060"/>
      <name val="Abadi"/>
    </font>
    <font>
      <i/>
      <sz val="10"/>
      <color rgb="FFD8D8D8"/>
      <name val="Abadi Extra Light"/>
      <family val="2"/>
    </font>
    <font>
      <i/>
      <sz val="10"/>
      <color theme="1"/>
      <name val="Abadi Extra Light"/>
      <family val="2"/>
    </font>
    <font>
      <i/>
      <sz val="10"/>
      <color rgb="FF000000"/>
      <name val="Abadi"/>
    </font>
    <font>
      <i/>
      <sz val="10"/>
      <color rgb="FF008000"/>
      <name val="Abadi Extra Light"/>
      <family val="2"/>
    </font>
    <font>
      <i/>
      <sz val="10"/>
      <color rgb="FFD8D8D8"/>
      <name val="Abadi"/>
    </font>
    <font>
      <i/>
      <sz val="10"/>
      <color rgb="FF008000"/>
      <name val="Abadi"/>
    </font>
    <font>
      <i/>
      <sz val="10"/>
      <color rgb="FF0000FF"/>
      <name val="Abadi"/>
    </font>
    <font>
      <u/>
      <sz val="11"/>
      <color rgb="FFD8D8D8"/>
      <name val="Abadi"/>
    </font>
    <font>
      <sz val="11"/>
      <color rgb="FFD8D8D8"/>
      <name val="Abadi"/>
    </font>
    <font>
      <u/>
      <sz val="11"/>
      <color theme="0"/>
      <name val="Abadi"/>
    </font>
    <font>
      <u/>
      <sz val="10"/>
      <color theme="0"/>
      <name val="Abadi"/>
    </font>
    <font>
      <u/>
      <sz val="10"/>
      <color rgb="FFFFFFFF"/>
      <name val="Abadi"/>
    </font>
    <font>
      <u/>
      <sz val="10"/>
      <color rgb="FF000000"/>
      <name val="Abadi"/>
    </font>
    <font>
      <i/>
      <sz val="10"/>
      <color theme="0"/>
      <name val="Abadi"/>
    </font>
    <font>
      <b/>
      <sz val="24"/>
      <color rgb="FFFFFFFF"/>
      <name val="Abadi"/>
    </font>
    <font>
      <b/>
      <sz val="10"/>
      <color theme="1"/>
      <name val="Abadi"/>
    </font>
    <font>
      <sz val="10"/>
      <color rgb="FF00355F"/>
      <name val="Abadi"/>
    </font>
    <font>
      <i/>
      <sz val="11"/>
      <color theme="1"/>
      <name val="Garamond"/>
      <family val="1"/>
    </font>
    <font>
      <u/>
      <sz val="14"/>
      <color rgb="FF000000"/>
      <name val="Abadi"/>
    </font>
    <font>
      <sz val="11"/>
      <color rgb="FFFF0000"/>
      <name val="Abadi"/>
    </font>
    <font>
      <sz val="10"/>
      <color rgb="FF760000"/>
      <name val="Abadi"/>
    </font>
    <font>
      <sz val="10"/>
      <color rgb="FFB40000"/>
      <name val="Abadi"/>
    </font>
    <font>
      <sz val="10"/>
      <color rgb="FFFF0000"/>
      <name val="Abadi"/>
    </font>
    <font>
      <b/>
      <sz val="11"/>
      <name val="Calibri"/>
      <family val="2"/>
    </font>
    <font>
      <i/>
      <u/>
      <sz val="10"/>
      <color theme="1"/>
      <name val="Abadi"/>
    </font>
    <font>
      <sz val="11"/>
      <color rgb="FF000000"/>
      <name val="Calibri"/>
      <family val="2"/>
    </font>
    <font>
      <b/>
      <sz val="11"/>
      <color rgb="FF000000"/>
      <name val="Calibri"/>
      <family val="2"/>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31">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6" fontId="14" fillId="0" borderId="0" xfId="0" applyNumberFormat="1" applyFont="1"/>
    <xf numFmtId="166" fontId="14" fillId="0" borderId="9" xfId="0" applyNumberFormat="1" applyFont="1" applyBorder="1"/>
    <xf numFmtId="0" fontId="3" fillId="0" borderId="12" xfId="0" applyFont="1" applyBorder="1"/>
    <xf numFmtId="0" fontId="3" fillId="0" borderId="13" xfId="0" applyFont="1" applyBorder="1"/>
    <xf numFmtId="5" fontId="14" fillId="0" borderId="14" xfId="0" applyNumberFormat="1" applyFont="1" applyBorder="1"/>
    <xf numFmtId="0" fontId="10" fillId="0" borderId="15" xfId="0" applyFont="1" applyBorder="1" applyAlignment="1">
      <alignment horizontal="left"/>
    </xf>
    <xf numFmtId="0" fontId="3" fillId="0" borderId="16" xfId="0" applyFont="1" applyBorder="1"/>
    <xf numFmtId="166" fontId="14" fillId="0" borderId="17" xfId="0" applyNumberFormat="1" applyFont="1" applyBorder="1"/>
    <xf numFmtId="0" fontId="3" fillId="0" borderId="15" xfId="0" applyFont="1" applyBorder="1"/>
    <xf numFmtId="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7" fontId="16" fillId="5" borderId="6" xfId="0" applyNumberFormat="1" applyFont="1" applyFill="1" applyBorder="1" applyAlignment="1">
      <alignment horizontal="center"/>
    </xf>
    <xf numFmtId="167" fontId="14" fillId="5" borderId="6" xfId="0" applyNumberFormat="1" applyFont="1" applyFill="1" applyBorder="1" applyAlignment="1">
      <alignment horizontal="center"/>
    </xf>
    <xf numFmtId="168"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43" fontId="7" fillId="0" borderId="0" xfId="0" applyNumberFormat="1" applyFont="1"/>
    <xf numFmtId="43" fontId="7" fillId="0" borderId="0" xfId="0" applyNumberFormat="1" applyFont="1" applyAlignment="1">
      <alignment horizontal="center"/>
    </xf>
    <xf numFmtId="4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43" fontId="7" fillId="3" borderId="15" xfId="0" applyNumberFormat="1" applyFont="1" applyFill="1" applyBorder="1"/>
    <xf numFmtId="43" fontId="7" fillId="3" borderId="16" xfId="0" applyNumberFormat="1" applyFont="1" applyFill="1" applyBorder="1" applyAlignment="1">
      <alignment horizontal="center"/>
    </xf>
    <xf numFmtId="43" fontId="7" fillId="3" borderId="17" xfId="0" applyNumberFormat="1" applyFont="1" applyFill="1" applyBorder="1" applyAlignment="1">
      <alignment horizontal="center"/>
    </xf>
    <xf numFmtId="43" fontId="7" fillId="0" borderId="20" xfId="0" applyNumberFormat="1" applyFont="1" applyBorder="1"/>
    <xf numFmtId="43" fontId="7" fillId="0" borderId="21" xfId="0" applyNumberFormat="1" applyFont="1" applyBorder="1" applyAlignment="1">
      <alignment horizontal="center"/>
    </xf>
    <xf numFmtId="4" fontId="16" fillId="0" borderId="22" xfId="0" applyNumberFormat="1" applyFont="1" applyBorder="1" applyAlignment="1">
      <alignment horizontal="center"/>
    </xf>
    <xf numFmtId="43" fontId="7" fillId="0" borderId="18" xfId="0" applyNumberFormat="1" applyFont="1" applyBorder="1"/>
    <xf numFmtId="4" fontId="16" fillId="0" borderId="19" xfId="0" applyNumberFormat="1" applyFont="1" applyBorder="1" applyAlignment="1">
      <alignment horizontal="center"/>
    </xf>
    <xf numFmtId="43" fontId="7" fillId="0" borderId="23" xfId="0" applyNumberFormat="1" applyFont="1" applyBorder="1"/>
    <xf numFmtId="4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69" fontId="16" fillId="0" borderId="0" xfId="0" applyNumberFormat="1" applyFont="1" applyAlignment="1">
      <alignment horizontal="center"/>
    </xf>
    <xf numFmtId="0" fontId="7" fillId="0" borderId="24" xfId="0" applyFont="1" applyBorder="1"/>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0" borderId="29" xfId="0" applyFont="1" applyBorder="1"/>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13" fillId="2" borderId="30" xfId="0" applyFont="1" applyFill="1" applyBorder="1" applyAlignment="1">
      <alignment horizontal="center"/>
    </xf>
    <xf numFmtId="0" fontId="7" fillId="0" borderId="31" xfId="0" applyFont="1" applyBorder="1"/>
    <xf numFmtId="5" fontId="7" fillId="0" borderId="0" xfId="0" applyNumberFormat="1" applyFont="1"/>
    <xf numFmtId="5" fontId="7" fillId="0" borderId="32" xfId="0" applyNumberFormat="1" applyFont="1" applyBorder="1"/>
    <xf numFmtId="5" fontId="7" fillId="0" borderId="33" xfId="0" applyNumberFormat="1" applyFont="1" applyBorder="1"/>
    <xf numFmtId="166" fontId="24" fillId="0" borderId="34" xfId="0" applyNumberFormat="1" applyFont="1" applyBorder="1" applyAlignment="1">
      <alignment horizontal="center"/>
    </xf>
    <xf numFmtId="0" fontId="24" fillId="0" borderId="0" xfId="0" applyFont="1" applyAlignment="1">
      <alignment horizontal="left"/>
    </xf>
    <xf numFmtId="166" fontId="24" fillId="0" borderId="0" xfId="0" applyNumberFormat="1" applyFont="1"/>
    <xf numFmtId="166" fontId="24" fillId="0" borderId="32" xfId="0" applyNumberFormat="1" applyFont="1" applyBorder="1"/>
    <xf numFmtId="166" fontId="24" fillId="0" borderId="33" xfId="0" applyNumberFormat="1" applyFont="1" applyBorder="1"/>
    <xf numFmtId="0" fontId="7" fillId="0" borderId="32" xfId="0" applyFont="1" applyBorder="1"/>
    <xf numFmtId="0" fontId="7" fillId="0" borderId="33" xfId="0" applyFont="1" applyBorder="1"/>
    <xf numFmtId="167" fontId="24" fillId="0" borderId="34" xfId="0" applyNumberFormat="1" applyFont="1" applyBorder="1" applyAlignment="1">
      <alignment horizontal="center"/>
    </xf>
    <xf numFmtId="7" fontId="7" fillId="0" borderId="0" xfId="0" applyNumberFormat="1" applyFont="1"/>
    <xf numFmtId="7" fontId="7" fillId="0" borderId="32" xfId="0" applyNumberFormat="1" applyFont="1" applyBorder="1"/>
    <xf numFmtId="7"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67"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6" fontId="7" fillId="0" borderId="21" xfId="0" applyNumberFormat="1" applyFont="1" applyBorder="1"/>
    <xf numFmtId="6" fontId="7" fillId="0" borderId="37" xfId="0" applyNumberFormat="1" applyFont="1" applyBorder="1"/>
    <xf numFmtId="6" fontId="7" fillId="0" borderId="36" xfId="0" applyNumberFormat="1" applyFont="1" applyBorder="1"/>
    <xf numFmtId="6" fontId="7" fillId="0" borderId="0" xfId="0" applyNumberFormat="1" applyFont="1"/>
    <xf numFmtId="37" fontId="7" fillId="0" borderId="16" xfId="0" applyNumberFormat="1" applyFont="1" applyBorder="1"/>
    <xf numFmtId="170" fontId="13" fillId="0" borderId="0" xfId="0" applyNumberFormat="1" applyFont="1" applyAlignment="1">
      <alignment horizontal="center"/>
    </xf>
    <xf numFmtId="171" fontId="13" fillId="0" borderId="0" xfId="0" applyNumberFormat="1" applyFont="1" applyAlignment="1">
      <alignment horizontal="center"/>
    </xf>
    <xf numFmtId="166" fontId="7" fillId="0" borderId="0" xfId="0" applyNumberFormat="1" applyFont="1"/>
    <xf numFmtId="166" fontId="7" fillId="0" borderId="32" xfId="0" applyNumberFormat="1" applyFont="1" applyBorder="1"/>
    <xf numFmtId="166" fontId="7" fillId="0" borderId="33" xfId="0" applyNumberFormat="1" applyFont="1" applyBorder="1"/>
    <xf numFmtId="172" fontId="7" fillId="0" borderId="0" xfId="0" applyNumberFormat="1" applyFont="1" applyAlignment="1">
      <alignment horizontal="right"/>
    </xf>
    <xf numFmtId="172" fontId="7" fillId="0" borderId="32" xfId="0" applyNumberFormat="1" applyFont="1" applyBorder="1" applyAlignment="1">
      <alignment horizontal="right"/>
    </xf>
    <xf numFmtId="172" fontId="7" fillId="0" borderId="33" xfId="0" applyNumberFormat="1" applyFont="1" applyBorder="1" applyAlignment="1">
      <alignment horizontal="right"/>
    </xf>
    <xf numFmtId="172" fontId="7" fillId="0" borderId="33" xfId="0" applyNumberFormat="1" applyFont="1" applyBorder="1"/>
    <xf numFmtId="172" fontId="7" fillId="0" borderId="0" xfId="0" applyNumberFormat="1" applyFont="1"/>
    <xf numFmtId="172" fontId="7" fillId="0" borderId="32" xfId="0" applyNumberFormat="1"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3" fontId="7" fillId="0" borderId="0" xfId="0" applyNumberFormat="1" applyFont="1" applyAlignment="1">
      <alignment horizontal="right"/>
    </xf>
    <xf numFmtId="0" fontId="26" fillId="0" borderId="8" xfId="0" applyFont="1" applyBorder="1"/>
    <xf numFmtId="0" fontId="26" fillId="0" borderId="9"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6" fontId="24" fillId="0" borderId="31" xfId="0" applyNumberFormat="1" applyFont="1" applyBorder="1" applyAlignment="1">
      <alignment horizontal="center"/>
    </xf>
    <xf numFmtId="166"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4" fontId="7" fillId="0" borderId="21" xfId="0" applyNumberFormat="1" applyFont="1" applyBorder="1" applyAlignment="1">
      <alignment horizontal="center"/>
    </xf>
    <xf numFmtId="174" fontId="7" fillId="0" borderId="0" xfId="0" applyNumberFormat="1" applyFont="1" applyAlignment="1">
      <alignment horizontal="center"/>
    </xf>
    <xf numFmtId="175" fontId="7" fillId="0" borderId="0" xfId="0" applyNumberFormat="1" applyFont="1"/>
    <xf numFmtId="169"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2" fontId="24" fillId="0" borderId="31" xfId="0" applyNumberFormat="1" applyFont="1" applyBorder="1" applyAlignment="1">
      <alignment horizontal="center"/>
    </xf>
    <xf numFmtId="172" fontId="24" fillId="0" borderId="34" xfId="0" applyNumberFormat="1" applyFont="1" applyBorder="1" applyAlignment="1">
      <alignment horizontal="center"/>
    </xf>
    <xf numFmtId="5" fontId="24" fillId="0" borderId="34" xfId="0" applyNumberFormat="1" applyFont="1" applyBorder="1" applyAlignment="1">
      <alignment horizontal="center"/>
    </xf>
    <xf numFmtId="37" fontId="24" fillId="0" borderId="34" xfId="0" applyNumberFormat="1" applyFont="1" applyBorder="1" applyAlignment="1">
      <alignment horizontal="center"/>
    </xf>
    <xf numFmtId="168" fontId="24" fillId="0" borderId="34" xfId="0" applyNumberFormat="1" applyFont="1" applyBorder="1" applyAlignment="1">
      <alignment horizontal="center"/>
    </xf>
    <xf numFmtId="168"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44" fontId="7" fillId="0" borderId="0" xfId="0" applyNumberFormat="1" applyFont="1"/>
    <xf numFmtId="176" fontId="7" fillId="0" borderId="0" xfId="0" applyNumberFormat="1" applyFont="1"/>
    <xf numFmtId="39" fontId="14" fillId="0" borderId="0" xfId="0" applyNumberFormat="1" applyFont="1"/>
    <xf numFmtId="177" fontId="7" fillId="0" borderId="0" xfId="0" applyNumberFormat="1" applyFont="1"/>
    <xf numFmtId="177" fontId="14" fillId="0" borderId="0" xfId="0" applyNumberFormat="1" applyFont="1"/>
    <xf numFmtId="0" fontId="7" fillId="0" borderId="26" xfId="0" applyFont="1" applyBorder="1"/>
    <xf numFmtId="7" fontId="7" fillId="0" borderId="29" xfId="0" applyNumberFormat="1" applyFont="1" applyBorder="1"/>
    <xf numFmtId="7" fontId="7" fillId="0" borderId="27" xfId="0" applyNumberFormat="1"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78"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79" fontId="14" fillId="12" borderId="0" xfId="0" applyNumberFormat="1" applyFont="1" applyFill="1"/>
    <xf numFmtId="179" fontId="14" fillId="0" borderId="0" xfId="0" applyNumberFormat="1" applyFont="1"/>
    <xf numFmtId="179" fontId="7" fillId="13" borderId="0" xfId="0" applyNumberFormat="1" applyFont="1" applyFill="1"/>
    <xf numFmtId="179" fontId="7" fillId="0" borderId="0" xfId="0" applyNumberFormat="1" applyFont="1"/>
    <xf numFmtId="0" fontId="7" fillId="0" borderId="45" xfId="0" applyFont="1" applyBorder="1"/>
    <xf numFmtId="179" fontId="14" fillId="12" borderId="0" xfId="0" applyNumberFormat="1" applyFont="1" applyFill="1" applyAlignment="1">
      <alignment horizontal="right"/>
    </xf>
    <xf numFmtId="179" fontId="14" fillId="0" borderId="0" xfId="0" applyNumberFormat="1" applyFont="1" applyAlignment="1">
      <alignment horizontal="right"/>
    </xf>
    <xf numFmtId="179" fontId="7" fillId="13" borderId="0" xfId="0" applyNumberFormat="1" applyFont="1" applyFill="1" applyAlignment="1">
      <alignment horizontal="right"/>
    </xf>
    <xf numFmtId="179" fontId="7" fillId="0" borderId="0" xfId="0" applyNumberFormat="1" applyFont="1" applyAlignment="1">
      <alignment horizontal="right"/>
    </xf>
    <xf numFmtId="180" fontId="24" fillId="0" borderId="8" xfId="0" applyNumberFormat="1" applyFont="1" applyBorder="1" applyAlignment="1">
      <alignment horizontal="center"/>
    </xf>
    <xf numFmtId="180"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69" fontId="38" fillId="12" borderId="0" xfId="0" applyNumberFormat="1" applyFont="1" applyFill="1" applyAlignment="1">
      <alignment horizontal="right"/>
    </xf>
    <xf numFmtId="180" fontId="38" fillId="12" borderId="0" xfId="0" applyNumberFormat="1" applyFont="1" applyFill="1" applyAlignment="1">
      <alignment horizontal="right"/>
    </xf>
    <xf numFmtId="180" fontId="38" fillId="0" borderId="0" xfId="0" applyNumberFormat="1" applyFont="1" applyAlignment="1">
      <alignment horizontal="right"/>
    </xf>
    <xf numFmtId="180" fontId="36" fillId="13" borderId="0" xfId="0" applyNumberFormat="1" applyFont="1" applyFill="1" applyAlignment="1">
      <alignment horizontal="right"/>
    </xf>
    <xf numFmtId="180"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69" fontId="40" fillId="12" borderId="0" xfId="0" applyNumberFormat="1" applyFont="1" applyFill="1" applyAlignment="1">
      <alignment horizontal="right"/>
    </xf>
    <xf numFmtId="180" fontId="24" fillId="13" borderId="0" xfId="0" applyNumberFormat="1" applyFont="1" applyFill="1" applyAlignment="1">
      <alignment horizontal="right"/>
    </xf>
    <xf numFmtId="180" fontId="24" fillId="0" borderId="0" xfId="0" applyNumberFormat="1" applyFont="1" applyAlignment="1">
      <alignment horizontal="right"/>
    </xf>
    <xf numFmtId="0" fontId="24" fillId="0" borderId="8" xfId="0" applyFont="1" applyBorder="1"/>
    <xf numFmtId="0" fontId="24" fillId="0" borderId="9" xfId="0" applyFont="1" applyBorder="1"/>
    <xf numFmtId="180" fontId="40" fillId="12" borderId="0" xfId="0" applyNumberFormat="1" applyFont="1" applyFill="1" applyAlignment="1">
      <alignment horizontal="right"/>
    </xf>
    <xf numFmtId="180"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79" fontId="7" fillId="12" borderId="0" xfId="0" applyNumberFormat="1" applyFont="1" applyFill="1" applyAlignment="1">
      <alignment horizontal="right"/>
    </xf>
    <xf numFmtId="180" fontId="24" fillId="12" borderId="0" xfId="0" applyNumberFormat="1" applyFont="1" applyFill="1" applyAlignment="1">
      <alignment horizontal="right"/>
    </xf>
    <xf numFmtId="0" fontId="7" fillId="12" borderId="0" xfId="0" applyFont="1" applyFill="1" applyAlignment="1">
      <alignment horizontal="right"/>
    </xf>
    <xf numFmtId="180" fontId="41" fillId="13" borderId="0" xfId="0" applyNumberFormat="1" applyFont="1" applyFill="1" applyAlignment="1">
      <alignment horizontal="right"/>
    </xf>
    <xf numFmtId="180"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1" fontId="7" fillId="12" borderId="0" xfId="0" applyNumberFormat="1" applyFont="1" applyFill="1" applyAlignment="1">
      <alignment horizontal="right"/>
    </xf>
    <xf numFmtId="181" fontId="7" fillId="0" borderId="0" xfId="0" applyNumberFormat="1" applyFont="1" applyAlignment="1">
      <alignment horizontal="right"/>
    </xf>
    <xf numFmtId="181" fontId="7" fillId="13" borderId="0" xfId="0" applyNumberFormat="1" applyFont="1" applyFill="1" applyAlignment="1">
      <alignment horizontal="right"/>
    </xf>
    <xf numFmtId="181" fontId="7" fillId="12" borderId="0" xfId="0" applyNumberFormat="1" applyFont="1" applyFill="1"/>
    <xf numFmtId="181" fontId="7" fillId="0" borderId="0" xfId="0" applyNumberFormat="1" applyFont="1"/>
    <xf numFmtId="181" fontId="7" fillId="13" borderId="0" xfId="0" applyNumberFormat="1" applyFont="1" applyFill="1"/>
    <xf numFmtId="181" fontId="16" fillId="12" borderId="0" xfId="0" applyNumberFormat="1" applyFont="1" applyFill="1" applyAlignment="1">
      <alignment horizontal="right"/>
    </xf>
    <xf numFmtId="182" fontId="7" fillId="12" borderId="0" xfId="0" applyNumberFormat="1" applyFont="1" applyFill="1" applyAlignment="1">
      <alignment horizontal="right"/>
    </xf>
    <xf numFmtId="182" fontId="7" fillId="0" borderId="0" xfId="0" applyNumberFormat="1" applyFont="1" applyAlignment="1">
      <alignment horizontal="right"/>
    </xf>
    <xf numFmtId="182" fontId="7" fillId="13" borderId="0" xfId="0" applyNumberFormat="1" applyFont="1" applyFill="1" applyAlignment="1">
      <alignment horizontal="right"/>
    </xf>
    <xf numFmtId="182" fontId="24" fillId="12" borderId="0" xfId="0" applyNumberFormat="1" applyFont="1" applyFill="1" applyAlignment="1">
      <alignment horizontal="right"/>
    </xf>
    <xf numFmtId="182" fontId="24" fillId="0" borderId="0" xfId="0" applyNumberFormat="1" applyFont="1" applyAlignment="1">
      <alignment horizontal="right"/>
    </xf>
    <xf numFmtId="182" fontId="41" fillId="13" borderId="0" xfId="0" applyNumberFormat="1" applyFont="1" applyFill="1" applyAlignment="1">
      <alignment horizontal="right"/>
    </xf>
    <xf numFmtId="182" fontId="41" fillId="0" borderId="0" xfId="0" applyNumberFormat="1" applyFont="1" applyAlignment="1">
      <alignment horizontal="right"/>
    </xf>
    <xf numFmtId="183" fontId="7" fillId="12" borderId="0" xfId="0" applyNumberFormat="1" applyFont="1" applyFill="1" applyAlignment="1">
      <alignment horizontal="right"/>
    </xf>
    <xf numFmtId="183" fontId="7" fillId="0" borderId="0" xfId="0" applyNumberFormat="1" applyFont="1" applyAlignment="1">
      <alignment horizontal="right"/>
    </xf>
    <xf numFmtId="180" fontId="41" fillId="13" borderId="0" xfId="0" applyNumberFormat="1" applyFont="1" applyFill="1"/>
    <xf numFmtId="180"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79" fontId="7" fillId="12" borderId="0" xfId="0" applyNumberFormat="1" applyFont="1" applyFill="1"/>
    <xf numFmtId="168" fontId="16" fillId="12" borderId="16" xfId="0" applyNumberFormat="1" applyFont="1" applyFill="1" applyBorder="1"/>
    <xf numFmtId="168" fontId="7" fillId="0" borderId="16" xfId="0" applyNumberFormat="1" applyFont="1" applyBorder="1"/>
    <xf numFmtId="168" fontId="7" fillId="13" borderId="16" xfId="0" applyNumberFormat="1" applyFont="1" applyFill="1" applyBorder="1"/>
    <xf numFmtId="184" fontId="7" fillId="12" borderId="0" xfId="0" applyNumberFormat="1" applyFont="1" applyFill="1"/>
    <xf numFmtId="168" fontId="16" fillId="12" borderId="0" xfId="0" applyNumberFormat="1" applyFont="1" applyFill="1"/>
    <xf numFmtId="168" fontId="7" fillId="13" borderId="0" xfId="0" applyNumberFormat="1" applyFont="1" applyFill="1"/>
    <xf numFmtId="184" fontId="7" fillId="13" borderId="0" xfId="0" applyNumberFormat="1" applyFont="1" applyFill="1"/>
    <xf numFmtId="168" fontId="14" fillId="13" borderId="0" xfId="0" applyNumberFormat="1" applyFont="1" applyFill="1"/>
    <xf numFmtId="168" fontId="14" fillId="0" borderId="0" xfId="0" applyNumberFormat="1" applyFont="1"/>
    <xf numFmtId="185" fontId="7" fillId="12" borderId="0" xfId="0" applyNumberFormat="1" applyFont="1" applyFill="1"/>
    <xf numFmtId="185" fontId="7" fillId="13" borderId="0" xfId="0" applyNumberFormat="1" applyFont="1" applyFill="1"/>
    <xf numFmtId="168" fontId="16" fillId="13" borderId="0" xfId="0" applyNumberFormat="1" applyFont="1" applyFill="1"/>
    <xf numFmtId="168" fontId="16" fillId="0" borderId="0" xfId="0" applyNumberFormat="1" applyFont="1"/>
    <xf numFmtId="168" fontId="16" fillId="4" borderId="16" xfId="0" applyNumberFormat="1" applyFont="1" applyFill="1" applyBorder="1"/>
    <xf numFmtId="168" fontId="16" fillId="13" borderId="16" xfId="0" applyNumberFormat="1" applyFont="1" applyFill="1" applyBorder="1"/>
    <xf numFmtId="168" fontId="16" fillId="0" borderId="16" xfId="0" applyNumberFormat="1" applyFont="1" applyBorder="1"/>
    <xf numFmtId="7" fontId="7" fillId="12" borderId="0" xfId="0" applyNumberFormat="1" applyFont="1" applyFill="1"/>
    <xf numFmtId="7" fontId="7" fillId="13" borderId="0" xfId="0" applyNumberFormat="1" applyFont="1" applyFill="1"/>
    <xf numFmtId="168"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0" fontId="7" fillId="12" borderId="0" xfId="0" applyNumberFormat="1" applyFont="1" applyFill="1" applyAlignment="1">
      <alignment horizontal="right"/>
    </xf>
    <xf numFmtId="180" fontId="7" fillId="0" borderId="0" xfId="0" applyNumberFormat="1" applyFont="1" applyAlignment="1">
      <alignment horizontal="right"/>
    </xf>
    <xf numFmtId="180" fontId="7" fillId="13" borderId="0" xfId="0" applyNumberFormat="1" applyFont="1" applyFill="1" applyAlignment="1">
      <alignment horizontal="right"/>
    </xf>
    <xf numFmtId="180" fontId="14" fillId="13" borderId="0" xfId="0" applyNumberFormat="1" applyFont="1" applyFill="1" applyAlignment="1">
      <alignment horizontal="right"/>
    </xf>
    <xf numFmtId="180" fontId="14" fillId="0" borderId="0" xfId="0" applyNumberFormat="1" applyFont="1" applyAlignment="1">
      <alignment horizontal="right"/>
    </xf>
    <xf numFmtId="186" fontId="7" fillId="12" borderId="0" xfId="0" applyNumberFormat="1" applyFont="1" applyFill="1"/>
    <xf numFmtId="186" fontId="7" fillId="13" borderId="0" xfId="0" applyNumberFormat="1" applyFont="1" applyFill="1"/>
    <xf numFmtId="168" fontId="7" fillId="12" borderId="0" xfId="0" applyNumberFormat="1" applyFont="1" applyFill="1"/>
    <xf numFmtId="168"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79" fontId="7" fillId="12" borderId="29" xfId="0" applyNumberFormat="1" applyFont="1" applyFill="1" applyBorder="1"/>
    <xf numFmtId="179" fontId="7" fillId="0" borderId="29" xfId="0" applyNumberFormat="1" applyFont="1" applyBorder="1"/>
    <xf numFmtId="179" fontId="7" fillId="13" borderId="29" xfId="0" applyNumberFormat="1" applyFont="1" applyFill="1" applyBorder="1"/>
    <xf numFmtId="168" fontId="14" fillId="0" borderId="16" xfId="0" applyNumberFormat="1" applyFont="1" applyBorder="1"/>
    <xf numFmtId="179" fontId="16" fillId="12" borderId="0" xfId="0" applyNumberFormat="1" applyFont="1" applyFill="1"/>
    <xf numFmtId="179" fontId="4" fillId="12" borderId="0" xfId="0" applyNumberFormat="1" applyFont="1" applyFill="1"/>
    <xf numFmtId="168" fontId="4" fillId="12" borderId="16" xfId="0" applyNumberFormat="1" applyFont="1" applyFill="1" applyBorder="1"/>
    <xf numFmtId="179" fontId="16" fillId="0" borderId="0" xfId="0" applyNumberFormat="1" applyFont="1"/>
    <xf numFmtId="0" fontId="7" fillId="3" borderId="3" xfId="0" applyFont="1" applyFill="1" applyBorder="1"/>
    <xf numFmtId="180" fontId="7" fillId="12" borderId="0" xfId="0" applyNumberFormat="1" applyFont="1" applyFill="1"/>
    <xf numFmtId="180" fontId="7" fillId="0" borderId="0" xfId="0" applyNumberFormat="1" applyFont="1"/>
    <xf numFmtId="180" fontId="7" fillId="13" borderId="0" xfId="0" applyNumberFormat="1" applyFont="1" applyFill="1"/>
    <xf numFmtId="0" fontId="24" fillId="0" borderId="29" xfId="0" applyFont="1" applyBorder="1" applyAlignment="1">
      <alignment horizontal="left"/>
    </xf>
    <xf numFmtId="0" fontId="24" fillId="0" borderId="29" xfId="0" applyFont="1" applyBorder="1"/>
    <xf numFmtId="187" fontId="24" fillId="12" borderId="29" xfId="0" applyNumberFormat="1" applyFont="1" applyFill="1" applyBorder="1" applyAlignment="1">
      <alignment horizontal="right"/>
    </xf>
    <xf numFmtId="187" fontId="24" fillId="0" borderId="29" xfId="0" applyNumberFormat="1" applyFont="1" applyBorder="1" applyAlignment="1">
      <alignment horizontal="right"/>
    </xf>
    <xf numFmtId="187" fontId="24" fillId="13" borderId="29" xfId="0" applyNumberFormat="1" applyFont="1" applyFill="1" applyBorder="1" applyAlignment="1">
      <alignment horizontal="right"/>
    </xf>
    <xf numFmtId="187" fontId="24" fillId="0" borderId="27" xfId="0" applyNumberFormat="1" applyFont="1" applyBorder="1" applyAlignment="1">
      <alignment horizontal="right"/>
    </xf>
    <xf numFmtId="0" fontId="7" fillId="0" borderId="26" xfId="0" applyFont="1" applyBorder="1" applyAlignment="1">
      <alignment horizontal="left"/>
    </xf>
    <xf numFmtId="179" fontId="7" fillId="0" borderId="27" xfId="0" applyNumberFormat="1" applyFont="1" applyBorder="1"/>
    <xf numFmtId="0" fontId="7" fillId="12" borderId="24" xfId="0" applyFont="1" applyFill="1" applyBorder="1"/>
    <xf numFmtId="0" fontId="7" fillId="13" borderId="24" xfId="0" applyFont="1" applyFill="1" applyBorder="1"/>
    <xf numFmtId="169" fontId="7" fillId="12" borderId="0" xfId="0" applyNumberFormat="1" applyFont="1" applyFill="1"/>
    <xf numFmtId="169" fontId="14" fillId="13" borderId="0" xfId="0" applyNumberFormat="1" applyFont="1" applyFill="1"/>
    <xf numFmtId="169" fontId="14" fillId="0" borderId="0" xfId="0" applyNumberFormat="1" applyFont="1"/>
    <xf numFmtId="181" fontId="16" fillId="12" borderId="0" xfId="0" applyNumberFormat="1" applyFont="1" applyFill="1"/>
    <xf numFmtId="181" fontId="7" fillId="0" borderId="16" xfId="0" applyNumberFormat="1" applyFont="1" applyBorder="1"/>
    <xf numFmtId="169" fontId="7" fillId="13" borderId="0" xfId="0" applyNumberFormat="1" applyFont="1" applyFill="1"/>
    <xf numFmtId="179" fontId="16" fillId="4" borderId="0" xfId="0" applyNumberFormat="1" applyFont="1" applyFill="1"/>
    <xf numFmtId="181" fontId="16" fillId="13" borderId="0" xfId="0" applyNumberFormat="1" applyFont="1" applyFill="1"/>
    <xf numFmtId="181" fontId="16" fillId="0" borderId="0" xfId="0" applyNumberFormat="1" applyFont="1"/>
    <xf numFmtId="181" fontId="16" fillId="12" borderId="16" xfId="0" applyNumberFormat="1" applyFont="1" applyFill="1" applyBorder="1"/>
    <xf numFmtId="181" fontId="16" fillId="13" borderId="16" xfId="0" applyNumberFormat="1" applyFont="1" applyFill="1" applyBorder="1"/>
    <xf numFmtId="181" fontId="16" fillId="0" borderId="16" xfId="0" applyNumberFormat="1" applyFont="1" applyBorder="1"/>
    <xf numFmtId="180" fontId="14" fillId="13" borderId="0" xfId="0" applyNumberFormat="1" applyFont="1" applyFill="1"/>
    <xf numFmtId="180" fontId="14" fillId="0" borderId="0" xfId="0" applyNumberFormat="1" applyFont="1"/>
    <xf numFmtId="0" fontId="24" fillId="12" borderId="0" xfId="0" applyFont="1" applyFill="1"/>
    <xf numFmtId="179" fontId="24" fillId="12" borderId="0" xfId="0" applyNumberFormat="1" applyFont="1" applyFill="1"/>
    <xf numFmtId="179" fontId="24" fillId="0" borderId="0" xfId="0" applyNumberFormat="1" applyFont="1"/>
    <xf numFmtId="179" fontId="24" fillId="13" borderId="0" xfId="0" applyNumberFormat="1" applyFont="1" applyFill="1"/>
    <xf numFmtId="188" fontId="7" fillId="12" borderId="0" xfId="0" applyNumberFormat="1" applyFont="1" applyFill="1"/>
    <xf numFmtId="183" fontId="7" fillId="12" borderId="0" xfId="0" applyNumberFormat="1" applyFont="1" applyFill="1"/>
    <xf numFmtId="183" fontId="7" fillId="0" borderId="0" xfId="0" applyNumberFormat="1" applyFont="1"/>
    <xf numFmtId="183" fontId="7" fillId="13" borderId="0" xfId="0" applyNumberFormat="1" applyFont="1" applyFill="1"/>
    <xf numFmtId="7" fontId="16" fillId="12" borderId="0" xfId="0" applyNumberFormat="1" applyFont="1" applyFill="1"/>
    <xf numFmtId="7" fontId="16" fillId="4" borderId="0" xfId="0" applyNumberFormat="1" applyFont="1" applyFill="1"/>
    <xf numFmtId="7" fontId="14" fillId="13" borderId="0" xfId="0" applyNumberFormat="1" applyFont="1" applyFill="1"/>
    <xf numFmtId="7" fontId="16" fillId="13" borderId="0" xfId="0" applyNumberFormat="1" applyFont="1" applyFill="1"/>
    <xf numFmtId="7" fontId="16" fillId="0" borderId="0" xfId="0" applyNumberFormat="1" applyFont="1"/>
    <xf numFmtId="168" fontId="7" fillId="4" borderId="0" xfId="0" applyNumberFormat="1" applyFont="1" applyFill="1"/>
    <xf numFmtId="168" fontId="16" fillId="4" borderId="0" xfId="0" applyNumberFormat="1" applyFont="1" applyFill="1"/>
    <xf numFmtId="189" fontId="7" fillId="12" borderId="0" xfId="0" applyNumberFormat="1" applyFont="1" applyFill="1"/>
    <xf numFmtId="7" fontId="7" fillId="4" borderId="0" xfId="0" applyNumberFormat="1" applyFont="1" applyFill="1"/>
    <xf numFmtId="0" fontId="7" fillId="4" borderId="0" xfId="0" applyFont="1" applyFill="1"/>
    <xf numFmtId="39" fontId="7" fillId="12" borderId="0" xfId="0" applyNumberFormat="1" applyFont="1" applyFill="1"/>
    <xf numFmtId="181" fontId="16" fillId="4" borderId="0" xfId="0" applyNumberFormat="1" applyFont="1" applyFill="1"/>
    <xf numFmtId="179" fontId="7" fillId="4" borderId="0" xfId="0" applyNumberFormat="1" applyFont="1" applyFill="1"/>
    <xf numFmtId="169" fontId="24" fillId="12" borderId="0" xfId="0" applyNumberFormat="1" applyFont="1" applyFill="1"/>
    <xf numFmtId="169" fontId="24" fillId="0" borderId="0" xfId="0" applyNumberFormat="1" applyFont="1"/>
    <xf numFmtId="169" fontId="24" fillId="4" borderId="0" xfId="0" applyNumberFormat="1" applyFont="1" applyFill="1"/>
    <xf numFmtId="169" fontId="41" fillId="13" borderId="0" xfId="0" applyNumberFormat="1" applyFont="1" applyFill="1"/>
    <xf numFmtId="169" fontId="41" fillId="0" borderId="0" xfId="0" applyNumberFormat="1" applyFont="1"/>
    <xf numFmtId="168" fontId="7" fillId="4" borderId="16" xfId="0" applyNumberFormat="1" applyFont="1" applyFill="1" applyBorder="1"/>
    <xf numFmtId="8" fontId="7" fillId="13" borderId="0" xfId="0" applyNumberFormat="1" applyFont="1" applyFill="1"/>
    <xf numFmtId="8" fontId="7" fillId="0" borderId="0" xfId="0" applyNumberFormat="1" applyFont="1"/>
    <xf numFmtId="184" fontId="7" fillId="0" borderId="0" xfId="0" applyNumberFormat="1" applyFont="1"/>
    <xf numFmtId="184" fontId="16" fillId="12" borderId="0" xfId="0" applyNumberFormat="1" applyFont="1" applyFill="1"/>
    <xf numFmtId="184" fontId="16" fillId="0" borderId="0" xfId="0" applyNumberFormat="1" applyFont="1"/>
    <xf numFmtId="184" fontId="16" fillId="12" borderId="16" xfId="0" applyNumberFormat="1" applyFont="1" applyFill="1" applyBorder="1"/>
    <xf numFmtId="184" fontId="16" fillId="0" borderId="16" xfId="0" applyNumberFormat="1" applyFont="1" applyBorder="1"/>
    <xf numFmtId="184" fontId="7" fillId="13" borderId="16" xfId="0" applyNumberFormat="1" applyFont="1" applyFill="1" applyBorder="1"/>
    <xf numFmtId="184" fontId="7" fillId="0" borderId="16" xfId="0" applyNumberFormat="1" applyFont="1" applyBorder="1"/>
    <xf numFmtId="181" fontId="14" fillId="13" borderId="0" xfId="0" applyNumberFormat="1" applyFont="1" applyFill="1"/>
    <xf numFmtId="0" fontId="14" fillId="0" borderId="0" xfId="0" applyFont="1"/>
    <xf numFmtId="181" fontId="14" fillId="0" borderId="0" xfId="0" applyNumberFormat="1" applyFont="1"/>
    <xf numFmtId="180" fontId="24" fillId="12" borderId="0" xfId="0" applyNumberFormat="1" applyFont="1" applyFill="1"/>
    <xf numFmtId="180" fontId="24" fillId="0" borderId="0" xfId="0" applyNumberFormat="1" applyFont="1"/>
    <xf numFmtId="180" fontId="24" fillId="13" borderId="0" xfId="0" applyNumberFormat="1" applyFont="1" applyFill="1"/>
    <xf numFmtId="190" fontId="41" fillId="13" borderId="0" xfId="0" applyNumberFormat="1" applyFont="1" applyFill="1"/>
    <xf numFmtId="190" fontId="41" fillId="0" borderId="0" xfId="0" applyNumberFormat="1" applyFont="1"/>
    <xf numFmtId="0" fontId="7" fillId="12" borderId="29" xfId="0" applyFont="1" applyFill="1" applyBorder="1"/>
    <xf numFmtId="168" fontId="16" fillId="12" borderId="0" xfId="0" applyNumberFormat="1" applyFont="1" applyFill="1" applyAlignment="1">
      <alignment horizontal="right"/>
    </xf>
    <xf numFmtId="168" fontId="7" fillId="0" borderId="0" xfId="0" applyNumberFormat="1" applyFont="1" applyAlignment="1">
      <alignment horizontal="right"/>
    </xf>
    <xf numFmtId="168" fontId="14" fillId="13" borderId="0" xfId="0" applyNumberFormat="1" applyFont="1" applyFill="1" applyAlignment="1">
      <alignment horizontal="right"/>
    </xf>
    <xf numFmtId="168" fontId="14" fillId="0" borderId="0" xfId="0" applyNumberFormat="1" applyFont="1" applyAlignment="1">
      <alignment horizontal="right"/>
    </xf>
    <xf numFmtId="168" fontId="7" fillId="12" borderId="0" xfId="0" applyNumberFormat="1" applyFont="1" applyFill="1" applyAlignment="1">
      <alignment horizontal="right"/>
    </xf>
    <xf numFmtId="169" fontId="7" fillId="12" borderId="0" xfId="0" applyNumberFormat="1" applyFont="1" applyFill="1" applyAlignment="1">
      <alignment horizontal="right"/>
    </xf>
    <xf numFmtId="169" fontId="7" fillId="13" borderId="0" xfId="0" applyNumberFormat="1" applyFont="1" applyFill="1" applyAlignment="1">
      <alignment horizontal="right"/>
    </xf>
    <xf numFmtId="0" fontId="16" fillId="0" borderId="0" xfId="0" applyFont="1" applyAlignment="1">
      <alignment horizontal="left"/>
    </xf>
    <xf numFmtId="168" fontId="16" fillId="13" borderId="0" xfId="0" applyNumberFormat="1" applyFont="1" applyFill="1" applyAlignment="1">
      <alignment horizontal="right"/>
    </xf>
    <xf numFmtId="168" fontId="16" fillId="0" borderId="0" xfId="0" applyNumberFormat="1" applyFont="1" applyAlignment="1">
      <alignment horizontal="right"/>
    </xf>
    <xf numFmtId="169" fontId="7" fillId="0" borderId="0" xfId="0" applyNumberFormat="1" applyFont="1" applyAlignment="1">
      <alignment horizontal="right"/>
    </xf>
    <xf numFmtId="168" fontId="7" fillId="13" borderId="0" xfId="0" applyNumberFormat="1" applyFont="1" applyFill="1" applyAlignment="1">
      <alignment horizontal="right"/>
    </xf>
    <xf numFmtId="186" fontId="16" fillId="12" borderId="0" xfId="0" applyNumberFormat="1" applyFont="1" applyFill="1" applyAlignment="1">
      <alignment horizontal="right"/>
    </xf>
    <xf numFmtId="186" fontId="16"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24" fillId="13" borderId="0" xfId="0" applyNumberFormat="1" applyFont="1" applyFill="1" applyAlignment="1">
      <alignment horizontal="right"/>
    </xf>
    <xf numFmtId="179" fontId="14" fillId="13" borderId="0" xfId="0" applyNumberFormat="1" applyFont="1" applyFill="1" applyAlignment="1">
      <alignment horizontal="right"/>
    </xf>
    <xf numFmtId="168" fontId="4" fillId="0" borderId="0" xfId="0" applyNumberFormat="1" applyFont="1" applyAlignment="1">
      <alignment horizontal="right"/>
    </xf>
    <xf numFmtId="168" fontId="4" fillId="13" borderId="0" xfId="0" applyNumberFormat="1" applyFont="1" applyFill="1" applyAlignment="1">
      <alignment horizontal="right"/>
    </xf>
    <xf numFmtId="187" fontId="40" fillId="12" borderId="0" xfId="0" applyNumberFormat="1" applyFont="1" applyFill="1" applyAlignment="1">
      <alignment horizontal="right"/>
    </xf>
    <xf numFmtId="187" fontId="24" fillId="15" borderId="0" xfId="0" applyNumberFormat="1" applyFont="1" applyFill="1" applyAlignment="1">
      <alignment horizontal="right"/>
    </xf>
    <xf numFmtId="0" fontId="4" fillId="0" borderId="0" xfId="0" applyFont="1" applyAlignment="1">
      <alignment horizontal="left"/>
    </xf>
    <xf numFmtId="180" fontId="4" fillId="0" borderId="0" xfId="0" applyNumberFormat="1" applyFont="1" applyAlignment="1">
      <alignment horizontal="right"/>
    </xf>
    <xf numFmtId="186" fontId="7" fillId="12" borderId="0" xfId="0" applyNumberFormat="1" applyFont="1" applyFill="1" applyAlignment="1">
      <alignment horizontal="right"/>
    </xf>
    <xf numFmtId="179" fontId="7" fillId="15" borderId="0" xfId="0" applyNumberFormat="1" applyFont="1" applyFill="1" applyAlignment="1">
      <alignment horizontal="right"/>
    </xf>
    <xf numFmtId="186"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4" fontId="7" fillId="12" borderId="0" xfId="0" applyNumberFormat="1" applyFont="1" applyFill="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1" fontId="16" fillId="13" borderId="0" xfId="0" applyNumberFormat="1" applyFont="1" applyFill="1" applyAlignment="1">
      <alignment horizontal="right"/>
    </xf>
    <xf numFmtId="181"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0" fontId="14" fillId="12" borderId="0" xfId="0" applyNumberFormat="1" applyFont="1" applyFill="1" applyAlignment="1">
      <alignment horizontal="right"/>
    </xf>
    <xf numFmtId="181" fontId="41" fillId="13" borderId="0" xfId="0" applyNumberFormat="1" applyFont="1" applyFill="1" applyAlignment="1">
      <alignment horizontal="right"/>
    </xf>
    <xf numFmtId="181" fontId="41" fillId="0" borderId="0" xfId="0" applyNumberFormat="1" applyFont="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191" fontId="41" fillId="13" borderId="0" xfId="0" applyNumberFormat="1" applyFont="1" applyFill="1" applyAlignment="1">
      <alignment horizontal="right"/>
    </xf>
    <xf numFmtId="191" fontId="41" fillId="0" borderId="0" xfId="0" applyNumberFormat="1" applyFont="1" applyAlignment="1">
      <alignment horizontal="right"/>
    </xf>
    <xf numFmtId="173" fontId="41" fillId="0" borderId="0" xfId="0" applyNumberFormat="1" applyFont="1" applyAlignment="1">
      <alignment horizontal="right"/>
    </xf>
    <xf numFmtId="179" fontId="41" fillId="13" borderId="0" xfId="0" applyNumberFormat="1" applyFont="1" applyFill="1" applyAlignment="1">
      <alignment horizontal="right"/>
    </xf>
    <xf numFmtId="179" fontId="41" fillId="0" borderId="0" xfId="0" applyNumberFormat="1" applyFont="1" applyAlignment="1">
      <alignment horizontal="right"/>
    </xf>
    <xf numFmtId="0" fontId="44" fillId="0" borderId="0" xfId="0" applyFont="1"/>
    <xf numFmtId="0" fontId="5"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1" fontId="31" fillId="0" borderId="0" xfId="0" applyNumberFormat="1" applyFont="1" applyAlignment="1">
      <alignment horizontal="center"/>
    </xf>
    <xf numFmtId="9" fontId="7" fillId="0" borderId="0" xfId="0" applyNumberFormat="1" applyFont="1" applyAlignment="1">
      <alignment horizontal="center"/>
    </xf>
    <xf numFmtId="5" fontId="13" fillId="2" borderId="7" xfId="0" applyNumberFormat="1" applyFont="1" applyFill="1" applyBorder="1" applyAlignment="1">
      <alignment horizontal="center"/>
    </xf>
    <xf numFmtId="192" fontId="13" fillId="2" borderId="7" xfId="0" applyNumberFormat="1" applyFont="1" applyFill="1" applyBorder="1" applyAlignment="1">
      <alignment horizontal="center"/>
    </xf>
    <xf numFmtId="172" fontId="13" fillId="2" borderId="7" xfId="0" applyNumberFormat="1" applyFont="1" applyFill="1" applyBorder="1" applyAlignment="1">
      <alignment horizontal="center"/>
    </xf>
    <xf numFmtId="172" fontId="13" fillId="2" borderId="3" xfId="0" applyNumberFormat="1" applyFont="1" applyFill="1" applyBorder="1" applyAlignment="1">
      <alignment horizontal="center"/>
    </xf>
    <xf numFmtId="193" fontId="13" fillId="2" borderId="7" xfId="0" applyNumberFormat="1" applyFont="1" applyFill="1" applyBorder="1" applyAlignment="1">
      <alignment horizontal="center"/>
    </xf>
    <xf numFmtId="194" fontId="7" fillId="0" borderId="0" xfId="0" applyNumberFormat="1" applyFont="1" applyAlignment="1">
      <alignment horizontal="center"/>
    </xf>
    <xf numFmtId="193" fontId="7" fillId="0" borderId="0" xfId="0" applyNumberFormat="1" applyFont="1" applyAlignment="1">
      <alignment horizontal="center"/>
    </xf>
    <xf numFmtId="195" fontId="7" fillId="0" borderId="0" xfId="0" applyNumberFormat="1" applyFont="1" applyAlignment="1">
      <alignment horizontal="center"/>
    </xf>
    <xf numFmtId="37" fontId="7" fillId="0" borderId="0" xfId="0" applyNumberFormat="1" applyFont="1" applyAlignment="1">
      <alignment horizontal="center"/>
    </xf>
    <xf numFmtId="192" fontId="7" fillId="0" borderId="0" xfId="0" applyNumberFormat="1" applyFont="1" applyAlignment="1">
      <alignment horizontal="center"/>
    </xf>
    <xf numFmtId="172" fontId="7" fillId="0" borderId="0" xfId="0" applyNumberFormat="1" applyFont="1" applyAlignment="1">
      <alignment horizontal="center"/>
    </xf>
    <xf numFmtId="166"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5" fontId="7" fillId="4" borderId="59" xfId="0" applyNumberFormat="1" applyFont="1" applyFill="1" applyBorder="1" applyAlignment="1">
      <alignment horizontal="center"/>
    </xf>
    <xf numFmtId="192" fontId="7" fillId="4" borderId="59" xfId="0" applyNumberFormat="1" applyFont="1" applyFill="1" applyBorder="1" applyAlignment="1">
      <alignment horizontal="center"/>
    </xf>
    <xf numFmtId="195" fontId="7" fillId="4" borderId="59" xfId="0" applyNumberFormat="1" applyFont="1" applyFill="1" applyBorder="1" applyAlignment="1">
      <alignment horizontal="center"/>
    </xf>
    <xf numFmtId="172" fontId="7" fillId="4" borderId="59" xfId="0" applyNumberFormat="1" applyFont="1" applyFill="1" applyBorder="1" applyAlignment="1">
      <alignment horizontal="center"/>
    </xf>
    <xf numFmtId="172" fontId="7" fillId="4" borderId="60" xfId="0" applyNumberFormat="1" applyFont="1" applyFill="1" applyBorder="1" applyAlignment="1">
      <alignment horizontal="center"/>
    </xf>
    <xf numFmtId="193"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2" fontId="7" fillId="4" borderId="0" xfId="0" applyNumberFormat="1" applyFont="1" applyFill="1" applyAlignment="1">
      <alignment horizontal="center"/>
    </xf>
    <xf numFmtId="195" fontId="7" fillId="4" borderId="0" xfId="0" applyNumberFormat="1" applyFont="1" applyFill="1" applyAlignment="1">
      <alignment horizontal="center"/>
    </xf>
    <xf numFmtId="172" fontId="7" fillId="4" borderId="0" xfId="0" applyNumberFormat="1" applyFont="1" applyFill="1" applyAlignment="1">
      <alignment horizontal="center"/>
    </xf>
    <xf numFmtId="172" fontId="7" fillId="4" borderId="32" xfId="0" applyNumberFormat="1" applyFont="1" applyFill="1" applyBorder="1" applyAlignment="1">
      <alignment horizontal="center"/>
    </xf>
    <xf numFmtId="193"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2" fontId="7" fillId="4" borderId="1" xfId="0" applyNumberFormat="1" applyFont="1" applyFill="1" applyBorder="1" applyAlignment="1">
      <alignment horizontal="center"/>
    </xf>
    <xf numFmtId="195" fontId="7" fillId="4" borderId="1" xfId="0" applyNumberFormat="1" applyFont="1" applyFill="1" applyBorder="1" applyAlignment="1">
      <alignment horizontal="center"/>
    </xf>
    <xf numFmtId="172" fontId="7" fillId="4" borderId="1" xfId="0" applyNumberFormat="1" applyFont="1" applyFill="1" applyBorder="1" applyAlignment="1">
      <alignment horizontal="center"/>
    </xf>
    <xf numFmtId="172" fontId="7" fillId="4" borderId="63" xfId="0" applyNumberFormat="1" applyFont="1" applyFill="1" applyBorder="1" applyAlignment="1">
      <alignment horizontal="center"/>
    </xf>
    <xf numFmtId="193" fontId="7" fillId="4" borderId="1" xfId="0" applyNumberFormat="1" applyFont="1" applyFill="1" applyBorder="1" applyAlignment="1">
      <alignment horizontal="center"/>
    </xf>
    <xf numFmtId="0" fontId="47" fillId="0" borderId="0" xfId="0" applyFont="1" applyAlignment="1">
      <alignment horizontal="center"/>
    </xf>
    <xf numFmtId="196" fontId="13" fillId="2" borderId="7" xfId="0" applyNumberFormat="1" applyFont="1" applyFill="1" applyBorder="1" applyAlignment="1">
      <alignment horizontal="center"/>
    </xf>
    <xf numFmtId="197" fontId="7" fillId="0" borderId="0" xfId="0" applyNumberFormat="1" applyFont="1" applyAlignment="1">
      <alignment horizontal="center"/>
    </xf>
    <xf numFmtId="196" fontId="7" fillId="0" borderId="0" xfId="0" applyNumberFormat="1" applyFont="1" applyAlignment="1">
      <alignment horizontal="center"/>
    </xf>
    <xf numFmtId="167"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198" fontId="7" fillId="0" borderId="1" xfId="0" applyNumberFormat="1" applyFont="1" applyBorder="1" applyAlignment="1">
      <alignment horizontal="center"/>
    </xf>
    <xf numFmtId="0" fontId="7" fillId="0" borderId="1" xfId="0" applyFont="1" applyBorder="1" applyAlignment="1">
      <alignment horizontal="center"/>
    </xf>
    <xf numFmtId="172" fontId="7" fillId="0" borderId="1" xfId="0" applyNumberFormat="1" applyFont="1" applyBorder="1" applyAlignment="1">
      <alignment horizontal="center"/>
    </xf>
    <xf numFmtId="195" fontId="7" fillId="0" borderId="1" xfId="0" applyNumberFormat="1" applyFont="1" applyBorder="1" applyAlignment="1">
      <alignment horizontal="center"/>
    </xf>
    <xf numFmtId="198"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5" fontId="7" fillId="16" borderId="7" xfId="0" applyNumberFormat="1" applyFont="1" applyFill="1" applyBorder="1" applyAlignment="1">
      <alignment horizontal="center"/>
    </xf>
    <xf numFmtId="193" fontId="7" fillId="16" borderId="7" xfId="0" applyNumberFormat="1" applyFont="1" applyFill="1" applyBorder="1" applyAlignment="1">
      <alignment horizontal="center"/>
    </xf>
    <xf numFmtId="172" fontId="7" fillId="16" borderId="7" xfId="0" applyNumberFormat="1" applyFont="1" applyFill="1" applyBorder="1" applyAlignment="1">
      <alignment horizontal="center"/>
    </xf>
    <xf numFmtId="172" fontId="7" fillId="16" borderId="3" xfId="0" applyNumberFormat="1" applyFont="1" applyFill="1" applyBorder="1" applyAlignment="1">
      <alignment horizontal="center"/>
    </xf>
    <xf numFmtId="169"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5" fontId="13" fillId="2" borderId="65" xfId="0" applyNumberFormat="1" applyFont="1" applyFill="1" applyBorder="1" applyAlignment="1">
      <alignment horizontal="center"/>
    </xf>
    <xf numFmtId="193" fontId="13" fillId="2" borderId="65" xfId="0" applyNumberFormat="1" applyFont="1" applyFill="1" applyBorder="1" applyAlignment="1">
      <alignment horizontal="center"/>
    </xf>
    <xf numFmtId="195" fontId="13" fillId="2" borderId="65" xfId="0" applyNumberFormat="1" applyFont="1" applyFill="1" applyBorder="1" applyAlignment="1">
      <alignment horizontal="center"/>
    </xf>
    <xf numFmtId="172" fontId="13" fillId="2" borderId="65" xfId="0" applyNumberFormat="1" applyFont="1" applyFill="1" applyBorder="1" applyAlignment="1">
      <alignment horizontal="center"/>
    </xf>
    <xf numFmtId="172"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3"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172" fontId="13" fillId="2" borderId="29" xfId="0" applyNumberFormat="1" applyFont="1" applyFill="1" applyBorder="1" applyAlignment="1">
      <alignment horizontal="center"/>
    </xf>
    <xf numFmtId="172"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3"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172" fontId="13" fillId="2" borderId="70" xfId="0" applyNumberFormat="1" applyFont="1" applyFill="1" applyBorder="1" applyAlignment="1">
      <alignment horizontal="center"/>
    </xf>
    <xf numFmtId="172" fontId="13" fillId="2" borderId="71" xfId="0" applyNumberFormat="1" applyFont="1" applyFill="1" applyBorder="1" applyAlignment="1">
      <alignment horizontal="center"/>
    </xf>
    <xf numFmtId="196" fontId="7" fillId="16" borderId="7" xfId="0" applyNumberFormat="1" applyFont="1" applyFill="1" applyBorder="1" applyAlignment="1">
      <alignment horizontal="center"/>
    </xf>
    <xf numFmtId="0" fontId="7" fillId="16" borderId="3" xfId="0" applyFont="1" applyFill="1" applyBorder="1" applyAlignment="1">
      <alignment horizontal="center"/>
    </xf>
    <xf numFmtId="176"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4"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4"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0" fontId="13" fillId="0" borderId="0" xfId="0" applyNumberFormat="1" applyFont="1" applyAlignment="1">
      <alignment horizontal="left"/>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1" fontId="7" fillId="0" borderId="0" xfId="0" applyNumberFormat="1" applyFont="1"/>
    <xf numFmtId="5" fontId="7" fillId="0" borderId="0" xfId="0" applyNumberFormat="1" applyFont="1" applyAlignment="1">
      <alignment horizontal="center"/>
    </xf>
    <xf numFmtId="166" fontId="4" fillId="0" borderId="0" xfId="0" applyNumberFormat="1" applyFont="1" applyAlignment="1">
      <alignment horizontal="center"/>
    </xf>
    <xf numFmtId="37" fontId="16" fillId="0" borderId="0" xfId="0" applyNumberFormat="1" applyFont="1" applyAlignment="1">
      <alignment horizontal="center"/>
    </xf>
    <xf numFmtId="202" fontId="7" fillId="0" borderId="21" xfId="0" applyNumberFormat="1" applyFont="1" applyBorder="1" applyAlignment="1">
      <alignment horizontal="center"/>
    </xf>
    <xf numFmtId="166" fontId="7" fillId="0" borderId="21" xfId="0" applyNumberFormat="1" applyFont="1" applyBorder="1" applyAlignment="1">
      <alignment horizontal="center"/>
    </xf>
    <xf numFmtId="167" fontId="16" fillId="0" borderId="0" xfId="0" applyNumberFormat="1" applyFont="1"/>
    <xf numFmtId="0" fontId="7" fillId="0" borderId="2" xfId="0" applyFont="1" applyBorder="1"/>
    <xf numFmtId="0" fontId="7" fillId="0" borderId="7" xfId="0" applyFont="1" applyBorder="1"/>
    <xf numFmtId="201" fontId="7" fillId="0" borderId="3" xfId="0" applyNumberFormat="1" applyFont="1" applyBorder="1" applyAlignment="1">
      <alignment horizontal="center"/>
    </xf>
    <xf numFmtId="201" fontId="7" fillId="0" borderId="21" xfId="0" applyNumberFormat="1" applyFont="1" applyBorder="1"/>
    <xf numFmtId="178" fontId="24" fillId="0" borderId="0" xfId="0" applyNumberFormat="1" applyFont="1" applyAlignment="1">
      <alignment horizontal="center"/>
    </xf>
    <xf numFmtId="44" fontId="13" fillId="0" borderId="0" xfId="0" applyNumberFormat="1" applyFont="1"/>
    <xf numFmtId="166" fontId="7" fillId="0" borderId="16" xfId="0" applyNumberFormat="1" applyFont="1" applyBorder="1" applyAlignment="1">
      <alignment horizontal="center"/>
    </xf>
    <xf numFmtId="166" fontId="16" fillId="0" borderId="16" xfId="0" applyNumberFormat="1" applyFont="1" applyBorder="1" applyAlignment="1">
      <alignment horizontal="center"/>
    </xf>
    <xf numFmtId="39" fontId="7" fillId="0" borderId="16" xfId="0" applyNumberFormat="1" applyFont="1" applyBorder="1"/>
    <xf numFmtId="166" fontId="7" fillId="0" borderId="9" xfId="0" applyNumberFormat="1" applyFont="1" applyBorder="1" applyAlignment="1">
      <alignment horizontal="center"/>
    </xf>
    <xf numFmtId="201" fontId="7" fillId="0" borderId="47" xfId="0" applyNumberFormat="1" applyFont="1" applyBorder="1" applyAlignment="1">
      <alignment horizontal="center"/>
    </xf>
    <xf numFmtId="201" fontId="7" fillId="0" borderId="21" xfId="0" applyNumberFormat="1" applyFont="1" applyBorder="1" applyAlignment="1">
      <alignment horizontal="center"/>
    </xf>
    <xf numFmtId="201" fontId="7" fillId="0" borderId="45" xfId="0" applyNumberFormat="1" applyFont="1" applyBorder="1" applyAlignment="1">
      <alignment horizontal="center"/>
    </xf>
    <xf numFmtId="201" fontId="7" fillId="0" borderId="8" xfId="0" applyNumberFormat="1" applyFont="1" applyBorder="1" applyAlignment="1">
      <alignment horizontal="center"/>
    </xf>
    <xf numFmtId="201" fontId="13" fillId="2" borderId="0" xfId="0" applyNumberFormat="1" applyFont="1" applyFill="1" applyAlignment="1">
      <alignment horizontal="center"/>
    </xf>
    <xf numFmtId="201" fontId="7" fillId="0" borderId="9" xfId="0" applyNumberFormat="1" applyFont="1" applyBorder="1" applyAlignment="1">
      <alignment horizontal="center"/>
    </xf>
    <xf numFmtId="166" fontId="16" fillId="0" borderId="9" xfId="0" applyNumberFormat="1" applyFont="1" applyBorder="1" applyAlignment="1">
      <alignment horizontal="center"/>
    </xf>
    <xf numFmtId="201" fontId="7" fillId="0" borderId="15" xfId="0" applyNumberFormat="1" applyFont="1" applyBorder="1" applyAlignment="1">
      <alignment horizontal="center"/>
    </xf>
    <xf numFmtId="201" fontId="7" fillId="0" borderId="16" xfId="0" applyNumberFormat="1" applyFont="1" applyBorder="1" applyAlignment="1">
      <alignment horizontal="center"/>
    </xf>
    <xf numFmtId="201" fontId="7" fillId="0" borderId="17" xfId="0" applyNumberFormat="1" applyFont="1" applyBorder="1" applyAlignment="1">
      <alignment horizontal="center"/>
    </xf>
    <xf numFmtId="167" fontId="14" fillId="0" borderId="0" xfId="0" applyNumberFormat="1" applyFont="1"/>
    <xf numFmtId="39" fontId="7" fillId="0" borderId="0" xfId="0" applyNumberFormat="1" applyFont="1"/>
    <xf numFmtId="39" fontId="14" fillId="0" borderId="0" xfId="0" applyNumberFormat="1" applyFont="1" applyAlignment="1">
      <alignment horizontal="center"/>
    </xf>
    <xf numFmtId="195" fontId="14" fillId="0" borderId="0" xfId="0" applyNumberFormat="1" applyFont="1" applyAlignment="1">
      <alignment horizontal="center"/>
    </xf>
    <xf numFmtId="166" fontId="14" fillId="0" borderId="0" xfId="0" applyNumberFormat="1" applyFont="1" applyAlignment="1">
      <alignment horizontal="center"/>
    </xf>
    <xf numFmtId="39" fontId="7" fillId="0" borderId="0" xfId="0" applyNumberFormat="1" applyFont="1" applyAlignment="1">
      <alignment horizontal="center"/>
    </xf>
    <xf numFmtId="201" fontId="7" fillId="5" borderId="6" xfId="0" applyNumberFormat="1" applyFont="1" applyFill="1" applyBorder="1" applyAlignment="1">
      <alignment horizontal="center"/>
    </xf>
    <xf numFmtId="166" fontId="16"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195" fontId="14" fillId="0" borderId="16" xfId="0" applyNumberFormat="1" applyFont="1" applyBorder="1" applyAlignment="1">
      <alignment horizontal="center"/>
    </xf>
    <xf numFmtId="167"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195" fontId="14" fillId="0" borderId="29" xfId="0" applyNumberFormat="1" applyFont="1" applyBorder="1" applyAlignment="1">
      <alignment horizontal="center"/>
    </xf>
    <xf numFmtId="166"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3"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199" fontId="14" fillId="0" borderId="0" xfId="0" applyNumberFormat="1" applyFont="1" applyAlignment="1">
      <alignment horizontal="center"/>
    </xf>
    <xf numFmtId="8" fontId="14" fillId="0" borderId="0" xfId="0" applyNumberFormat="1" applyFont="1" applyAlignment="1">
      <alignment horizontal="center"/>
    </xf>
    <xf numFmtId="164" fontId="7" fillId="0" borderId="0" xfId="0" applyNumberFormat="1" applyFont="1" applyAlignment="1">
      <alignment horizontal="center"/>
    </xf>
    <xf numFmtId="6" fontId="24" fillId="0" borderId="0" xfId="0" applyNumberFormat="1" applyFont="1" applyAlignment="1">
      <alignment horizontal="center"/>
    </xf>
    <xf numFmtId="0" fontId="13" fillId="0" borderId="0" xfId="0" applyFont="1" applyAlignment="1">
      <alignment shrinkToFit="1"/>
    </xf>
    <xf numFmtId="166"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3" fontId="7" fillId="13" borderId="47" xfId="0" applyNumberFormat="1" applyFont="1" applyFill="1" applyBorder="1" applyAlignment="1">
      <alignment horizontal="center"/>
    </xf>
    <xf numFmtId="183" fontId="7" fillId="13" borderId="45" xfId="0" applyNumberFormat="1" applyFont="1" applyFill="1" applyBorder="1" applyAlignment="1">
      <alignment horizontal="center"/>
    </xf>
    <xf numFmtId="183" fontId="7" fillId="0" borderId="0" xfId="0" applyNumberFormat="1" applyFont="1" applyAlignment="1">
      <alignment horizontal="center"/>
    </xf>
    <xf numFmtId="183" fontId="7" fillId="13" borderId="15" xfId="0" applyNumberFormat="1" applyFont="1" applyFill="1" applyBorder="1" applyAlignment="1">
      <alignment horizontal="center"/>
    </xf>
    <xf numFmtId="183"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6" fontId="24" fillId="0" borderId="16" xfId="0" applyNumberFormat="1" applyFont="1" applyBorder="1" applyAlignment="1">
      <alignment horizontal="center"/>
    </xf>
    <xf numFmtId="166" fontId="24" fillId="0" borderId="16" xfId="0" applyNumberFormat="1" applyFont="1" applyBorder="1" applyAlignment="1">
      <alignment horizontal="center"/>
    </xf>
    <xf numFmtId="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79" fontId="7" fillId="15" borderId="76" xfId="0" applyNumberFormat="1" applyFont="1" applyFill="1" applyBorder="1"/>
    <xf numFmtId="179" fontId="7" fillId="15" borderId="0" xfId="0" applyNumberFormat="1" applyFont="1" applyFill="1"/>
    <xf numFmtId="179" fontId="7" fillId="15" borderId="33" xfId="0" applyNumberFormat="1" applyFont="1" applyFill="1" applyBorder="1"/>
    <xf numFmtId="181" fontId="7" fillId="15" borderId="76" xfId="0" applyNumberFormat="1" applyFont="1" applyFill="1" applyBorder="1"/>
    <xf numFmtId="181" fontId="7" fillId="15" borderId="0" xfId="0" applyNumberFormat="1" applyFont="1" applyFill="1"/>
    <xf numFmtId="181" fontId="7" fillId="15" borderId="33" xfId="0" applyNumberFormat="1" applyFont="1" applyFill="1" applyBorder="1"/>
    <xf numFmtId="181" fontId="7" fillId="15" borderId="77" xfId="0" applyNumberFormat="1" applyFont="1" applyFill="1" applyBorder="1"/>
    <xf numFmtId="181" fontId="7" fillId="15" borderId="16" xfId="0" applyNumberFormat="1" applyFont="1" applyFill="1" applyBorder="1"/>
    <xf numFmtId="181" fontId="7" fillId="15" borderId="78" xfId="0" applyNumberFormat="1" applyFont="1" applyFill="1" applyBorder="1"/>
    <xf numFmtId="180" fontId="7" fillId="15" borderId="76" xfId="0" applyNumberFormat="1" applyFont="1" applyFill="1" applyBorder="1"/>
    <xf numFmtId="180" fontId="7" fillId="15" borderId="0" xfId="0" applyNumberFormat="1" applyFont="1" applyFill="1"/>
    <xf numFmtId="180" fontId="7" fillId="15" borderId="33" xfId="0" applyNumberFormat="1" applyFont="1" applyFill="1" applyBorder="1"/>
    <xf numFmtId="179" fontId="7" fillId="15" borderId="79" xfId="0" applyNumberFormat="1" applyFont="1" applyFill="1" applyBorder="1"/>
    <xf numFmtId="179" fontId="7" fillId="15" borderId="29" xfId="0" applyNumberFormat="1" applyFont="1" applyFill="1" applyBorder="1"/>
    <xf numFmtId="179" fontId="7" fillId="15" borderId="80" xfId="0" applyNumberFormat="1" applyFont="1" applyFill="1" applyBorder="1"/>
    <xf numFmtId="4" fontId="24" fillId="0" borderId="0" xfId="0" applyNumberFormat="1" applyFont="1" applyAlignment="1">
      <alignment horizontal="right"/>
    </xf>
    <xf numFmtId="179" fontId="7" fillId="0" borderId="9" xfId="0" applyNumberFormat="1" applyFont="1" applyBorder="1"/>
    <xf numFmtId="5" fontId="7" fillId="0" borderId="9" xfId="0" applyNumberFormat="1" applyFont="1" applyBorder="1"/>
    <xf numFmtId="204" fontId="7" fillId="0" borderId="6" xfId="0" applyNumberFormat="1" applyFont="1" applyBorder="1"/>
    <xf numFmtId="205" fontId="7" fillId="0" borderId="6" xfId="0" applyNumberFormat="1" applyFont="1" applyBorder="1"/>
    <xf numFmtId="37" fontId="7" fillId="0" borderId="9" xfId="0" applyNumberFormat="1" applyFont="1" applyBorder="1"/>
    <xf numFmtId="5" fontId="7" fillId="0" borderId="45" xfId="0" applyNumberFormat="1" applyFont="1" applyBorder="1"/>
    <xf numFmtId="37" fontId="14" fillId="0" borderId="9" xfId="0" applyNumberFormat="1" applyFont="1" applyBorder="1"/>
    <xf numFmtId="37" fontId="16" fillId="0" borderId="9" xfId="0" applyNumberFormat="1" applyFont="1" applyBorder="1"/>
    <xf numFmtId="168" fontId="14" fillId="0" borderId="9" xfId="0" applyNumberFormat="1" applyFont="1" applyBorder="1"/>
    <xf numFmtId="168" fontId="7" fillId="0" borderId="9" xfId="0" applyNumberFormat="1" applyFont="1" applyBorder="1"/>
    <xf numFmtId="7" fontId="7" fillId="0" borderId="45" xfId="0" applyNumberFormat="1" applyFont="1" applyBorder="1"/>
    <xf numFmtId="0" fontId="24" fillId="0" borderId="15" xfId="0" applyFont="1" applyBorder="1" applyAlignment="1">
      <alignment horizontal="left"/>
    </xf>
    <xf numFmtId="166" fontId="24" fillId="0" borderId="17" xfId="0" applyNumberFormat="1" applyFont="1" applyBorder="1"/>
    <xf numFmtId="204" fontId="7" fillId="5" borderId="6" xfId="0" applyNumberFormat="1" applyFont="1" applyFill="1" applyBorder="1" applyAlignment="1">
      <alignment horizontal="center"/>
    </xf>
    <xf numFmtId="205" fontId="7" fillId="5" borderId="6" xfId="0" applyNumberFormat="1" applyFont="1" applyFill="1" applyBorder="1" applyAlignment="1">
      <alignment horizontal="center"/>
    </xf>
    <xf numFmtId="10" fontId="14" fillId="0" borderId="0" xfId="0" applyNumberFormat="1" applyFont="1" applyAlignment="1">
      <alignment horizontal="center"/>
    </xf>
    <xf numFmtId="183" fontId="16" fillId="0" borderId="0" xfId="0" applyNumberFormat="1" applyFont="1" applyAlignment="1">
      <alignment horizontal="center"/>
    </xf>
    <xf numFmtId="169" fontId="14" fillId="0" borderId="0" xfId="0" applyNumberFormat="1" applyFont="1" applyAlignment="1">
      <alignment horizontal="center"/>
    </xf>
    <xf numFmtId="10" fontId="16" fillId="0" borderId="0" xfId="0" applyNumberFormat="1" applyFont="1" applyAlignment="1">
      <alignment horizontal="center"/>
    </xf>
    <xf numFmtId="167" fontId="7" fillId="5" borderId="6" xfId="0" applyNumberFormat="1" applyFont="1" applyFill="1" applyBorder="1" applyAlignment="1">
      <alignment horizontal="center"/>
    </xf>
    <xf numFmtId="204" fontId="16"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206" fontId="16" fillId="0" borderId="0" xfId="0" applyNumberFormat="1" applyFont="1"/>
    <xf numFmtId="7" fontId="13" fillId="0" borderId="0" xfId="0" applyNumberFormat="1" applyFont="1"/>
    <xf numFmtId="195" fontId="7" fillId="0" borderId="16" xfId="0" applyNumberFormat="1" applyFont="1" applyBorder="1" applyAlignment="1">
      <alignment horizontal="center"/>
    </xf>
    <xf numFmtId="195" fontId="16" fillId="0" borderId="16" xfId="0" applyNumberFormat="1" applyFont="1" applyBorder="1" applyAlignment="1">
      <alignment horizontal="center"/>
    </xf>
    <xf numFmtId="166" fontId="13" fillId="0" borderId="0" xfId="0" applyNumberFormat="1" applyFont="1"/>
    <xf numFmtId="166" fontId="7" fillId="0" borderId="9" xfId="0" applyNumberFormat="1" applyFont="1" applyBorder="1"/>
    <xf numFmtId="8" fontId="7" fillId="0" borderId="47" xfId="0" applyNumberFormat="1" applyFont="1" applyBorder="1" applyAlignment="1">
      <alignment horizontal="center"/>
    </xf>
    <xf numFmtId="8" fontId="7" fillId="0" borderId="21" xfId="0" applyNumberFormat="1" applyFont="1" applyBorder="1" applyAlignment="1">
      <alignment horizontal="center"/>
    </xf>
    <xf numFmtId="8" fontId="7" fillId="0" borderId="45" xfId="0" applyNumberFormat="1" applyFont="1" applyBorder="1" applyAlignment="1">
      <alignment horizontal="center"/>
    </xf>
    <xf numFmtId="166" fontId="7" fillId="0" borderId="47" xfId="0" applyNumberFormat="1" applyFont="1" applyBorder="1" applyAlignment="1">
      <alignment horizontal="center"/>
    </xf>
    <xf numFmtId="166" fontId="7" fillId="0" borderId="45" xfId="0" applyNumberFormat="1" applyFont="1" applyBorder="1" applyAlignment="1">
      <alignment horizontal="center"/>
    </xf>
    <xf numFmtId="8" fontId="7" fillId="0" borderId="8" xfId="0" applyNumberFormat="1" applyFont="1" applyBorder="1" applyAlignment="1">
      <alignment horizontal="center"/>
    </xf>
    <xf numFmtId="8" fontId="13" fillId="2" borderId="0" xfId="0" applyNumberFormat="1" applyFont="1" applyFill="1" applyAlignment="1">
      <alignment horizontal="center"/>
    </xf>
    <xf numFmtId="8" fontId="7" fillId="0" borderId="9" xfId="0" applyNumberFormat="1" applyFont="1" applyBorder="1" applyAlignment="1">
      <alignment horizontal="center"/>
    </xf>
    <xf numFmtId="166" fontId="7" fillId="0" borderId="8" xfId="0" applyNumberFormat="1" applyFont="1" applyBorder="1" applyAlignment="1">
      <alignment horizontal="center"/>
    </xf>
    <xf numFmtId="166" fontId="16" fillId="0" borderId="81" xfId="0" applyNumberFormat="1" applyFont="1" applyBorder="1"/>
    <xf numFmtId="8" fontId="7" fillId="0" borderId="0" xfId="0" applyNumberFormat="1" applyFont="1" applyAlignment="1">
      <alignment horizontal="center"/>
    </xf>
    <xf numFmtId="8" fontId="7" fillId="0" borderId="15" xfId="0" applyNumberFormat="1" applyFont="1" applyBorder="1" applyAlignment="1">
      <alignment horizontal="center"/>
    </xf>
    <xf numFmtId="8" fontId="7" fillId="0" borderId="16" xfId="0" applyNumberFormat="1" applyFont="1" applyBorder="1" applyAlignment="1">
      <alignment horizontal="center"/>
    </xf>
    <xf numFmtId="8" fontId="7" fillId="0" borderId="17" xfId="0" applyNumberFormat="1" applyFont="1" applyBorder="1" applyAlignment="1">
      <alignment horizontal="center"/>
    </xf>
    <xf numFmtId="166" fontId="7" fillId="0" borderId="15" xfId="0" applyNumberFormat="1" applyFont="1" applyBorder="1" applyAlignment="1">
      <alignment horizontal="center"/>
    </xf>
    <xf numFmtId="166" fontId="7" fillId="0" borderId="17" xfId="0" applyNumberFormat="1" applyFont="1" applyBorder="1" applyAlignment="1">
      <alignment horizontal="center"/>
    </xf>
    <xf numFmtId="166" fontId="16" fillId="0" borderId="82" xfId="0" applyNumberFormat="1" applyFont="1" applyBorder="1" applyAlignment="1">
      <alignment horizontal="center"/>
    </xf>
    <xf numFmtId="166" fontId="16" fillId="0" borderId="9" xfId="0" applyNumberFormat="1" applyFont="1" applyBorder="1"/>
    <xf numFmtId="183" fontId="7" fillId="0" borderId="9" xfId="0" applyNumberFormat="1" applyFont="1" applyBorder="1"/>
    <xf numFmtId="166" fontId="24" fillId="0" borderId="9" xfId="0" applyNumberFormat="1" applyFont="1" applyBorder="1"/>
    <xf numFmtId="166" fontId="24" fillId="0" borderId="9" xfId="0" applyNumberFormat="1" applyFont="1" applyBorder="1" applyAlignment="1">
      <alignment horizontal="right"/>
    </xf>
    <xf numFmtId="166" fontId="41" fillId="0" borderId="9" xfId="0" applyNumberFormat="1" applyFont="1" applyBorder="1"/>
    <xf numFmtId="8" fontId="7" fillId="0" borderId="9" xfId="0" applyNumberFormat="1" applyFont="1" applyBorder="1"/>
    <xf numFmtId="0" fontId="4" fillId="0" borderId="8" xfId="0" applyFont="1" applyBorder="1"/>
    <xf numFmtId="6" fontId="7" fillId="0" borderId="9" xfId="0" applyNumberFormat="1" applyFont="1" applyBorder="1"/>
    <xf numFmtId="164" fontId="7" fillId="0" borderId="9" xfId="0" applyNumberFormat="1" applyFont="1" applyBorder="1"/>
    <xf numFmtId="37" fontId="4" fillId="0" borderId="9" xfId="0" applyNumberFormat="1" applyFont="1" applyBorder="1"/>
    <xf numFmtId="8" fontId="7" fillId="0" borderId="45" xfId="0" applyNumberFormat="1" applyFont="1" applyBorder="1"/>
    <xf numFmtId="8" fontId="7" fillId="0" borderId="17" xfId="0" applyNumberFormat="1" applyFont="1" applyBorder="1"/>
    <xf numFmtId="37" fontId="7" fillId="0" borderId="17" xfId="0" applyNumberFormat="1" applyFont="1" applyBorder="1"/>
    <xf numFmtId="7" fontId="4" fillId="5" borderId="6" xfId="0" applyNumberFormat="1" applyFont="1" applyFill="1" applyBorder="1" applyAlignment="1">
      <alignment horizontal="center"/>
    </xf>
    <xf numFmtId="178" fontId="37" fillId="0" borderId="0" xfId="0" applyNumberFormat="1" applyFont="1" applyAlignment="1">
      <alignment horizontal="center"/>
    </xf>
    <xf numFmtId="178" fontId="52" fillId="0" borderId="0" xfId="0" applyNumberFormat="1" applyFont="1" applyAlignment="1">
      <alignment horizontal="center"/>
    </xf>
    <xf numFmtId="5" fontId="4" fillId="5" borderId="6" xfId="0" applyNumberFormat="1" applyFont="1" applyFill="1" applyBorder="1" applyAlignment="1">
      <alignment horizontal="center"/>
    </xf>
    <xf numFmtId="4" fontId="7" fillId="0" borderId="0" xfId="0" applyNumberFormat="1" applyFont="1"/>
    <xf numFmtId="167" fontId="16" fillId="0" borderId="0" xfId="0" applyNumberFormat="1" applyFont="1" applyAlignment="1">
      <alignment horizontal="center"/>
    </xf>
    <xf numFmtId="7" fontId="7" fillId="0" borderId="9" xfId="0" applyNumberFormat="1" applyFont="1" applyBorder="1"/>
    <xf numFmtId="7" fontId="16" fillId="0" borderId="9" xfId="0" applyNumberFormat="1" applyFont="1" applyBorder="1"/>
    <xf numFmtId="5" fontId="16" fillId="0" borderId="9" xfId="0" applyNumberFormat="1" applyFont="1" applyBorder="1"/>
    <xf numFmtId="181" fontId="14" fillId="0" borderId="9" xfId="0" applyNumberFormat="1" applyFont="1" applyBorder="1"/>
    <xf numFmtId="181" fontId="7" fillId="0" borderId="9" xfId="0" applyNumberFormat="1" applyFont="1" applyBorder="1"/>
    <xf numFmtId="0" fontId="7" fillId="0" borderId="0" xfId="0" applyFont="1" applyAlignment="1">
      <alignment horizontal="center" vertical="center" wrapText="1"/>
    </xf>
    <xf numFmtId="5" fontId="14" fillId="0" borderId="0" xfId="0" applyNumberFormat="1" applyFont="1"/>
    <xf numFmtId="195"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3" fontId="16" fillId="0" borderId="8" xfId="0" applyNumberFormat="1" applyFont="1" applyBorder="1" applyAlignment="1">
      <alignment horizontal="center"/>
    </xf>
    <xf numFmtId="183"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1" fontId="7" fillId="0" borderId="0" xfId="0" applyNumberFormat="1" applyFont="1"/>
    <xf numFmtId="0" fontId="7" fillId="0" borderId="34" xfId="0" applyFont="1" applyBorder="1"/>
    <xf numFmtId="166" fontId="40" fillId="0" borderId="0" xfId="0" applyNumberFormat="1" applyFont="1"/>
    <xf numFmtId="207" fontId="16" fillId="0" borderId="0" xfId="0" applyNumberFormat="1" applyFont="1"/>
    <xf numFmtId="0" fontId="7" fillId="0" borderId="38" xfId="0" applyFont="1" applyBorder="1"/>
    <xf numFmtId="208" fontId="40" fillId="0" borderId="0" xfId="0" applyNumberFormat="1" applyFont="1"/>
    <xf numFmtId="0" fontId="14" fillId="0" borderId="34" xfId="0" applyFont="1" applyBorder="1"/>
    <xf numFmtId="208" fontId="41" fillId="0" borderId="0" xfId="0" applyNumberFormat="1" applyFont="1"/>
    <xf numFmtId="208" fontId="24" fillId="0" borderId="0" xfId="0" applyNumberFormat="1" applyFont="1"/>
    <xf numFmtId="7" fontId="14" fillId="0" borderId="0" xfId="0" applyNumberFormat="1" applyFont="1"/>
    <xf numFmtId="5"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69" fontId="24" fillId="0" borderId="6" xfId="0" applyNumberFormat="1" applyFont="1" applyBorder="1"/>
    <xf numFmtId="209"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0" fontId="16" fillId="0" borderId="7" xfId="0" applyNumberFormat="1" applyFont="1" applyBorder="1" applyAlignment="1">
      <alignment horizontal="center" vertical="center" wrapText="1"/>
    </xf>
    <xf numFmtId="210" fontId="7" fillId="0" borderId="7" xfId="0" applyNumberFormat="1" applyFont="1" applyBorder="1" applyAlignment="1">
      <alignment horizontal="center" vertical="center" wrapText="1"/>
    </xf>
    <xf numFmtId="210" fontId="7" fillId="0" borderId="3" xfId="0" applyNumberFormat="1" applyFont="1" applyBorder="1" applyAlignment="1">
      <alignment horizontal="center" vertical="center" wrapText="1"/>
    </xf>
    <xf numFmtId="14" fontId="16" fillId="0" borderId="0" xfId="0" applyNumberFormat="1" applyFont="1"/>
    <xf numFmtId="43" fontId="16" fillId="0" borderId="0" xfId="0" applyNumberFormat="1" applyFont="1"/>
    <xf numFmtId="170" fontId="7" fillId="0" borderId="45" xfId="0" applyNumberFormat="1" applyFont="1" applyBorder="1" applyAlignment="1">
      <alignment horizontal="center"/>
    </xf>
    <xf numFmtId="171" fontId="7" fillId="0" borderId="9" xfId="0" applyNumberFormat="1" applyFont="1" applyBorder="1" applyAlignment="1">
      <alignment horizontal="center"/>
    </xf>
    <xf numFmtId="171" fontId="7" fillId="0" borderId="17" xfId="0" applyNumberFormat="1" applyFont="1" applyBorder="1" applyAlignment="1">
      <alignment horizontal="center"/>
    </xf>
    <xf numFmtId="0" fontId="55" fillId="0" borderId="0" xfId="0" applyFont="1"/>
    <xf numFmtId="208" fontId="14" fillId="0" borderId="0" xfId="0" applyNumberFormat="1" applyFont="1"/>
    <xf numFmtId="208" fontId="56" fillId="0" borderId="0" xfId="0" applyNumberFormat="1" applyFont="1"/>
    <xf numFmtId="208" fontId="7" fillId="0" borderId="0" xfId="0" applyNumberFormat="1" applyFont="1"/>
    <xf numFmtId="208" fontId="51" fillId="0" borderId="0" xfId="0" applyNumberFormat="1" applyFont="1"/>
    <xf numFmtId="0" fontId="51" fillId="0" borderId="0" xfId="0" applyFont="1" applyAlignment="1">
      <alignment horizontal="right"/>
    </xf>
    <xf numFmtId="211" fontId="14" fillId="0" borderId="0" xfId="0" applyNumberFormat="1" applyFont="1"/>
    <xf numFmtId="211" fontId="56" fillId="0" borderId="0" xfId="0" applyNumberFormat="1" applyFont="1"/>
    <xf numFmtId="211" fontId="7" fillId="0" borderId="0" xfId="0" applyNumberFormat="1" applyFont="1"/>
    <xf numFmtId="211" fontId="51" fillId="0" borderId="0" xfId="0" applyNumberFormat="1" applyFont="1"/>
    <xf numFmtId="169"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79" fontId="14" fillId="0" borderId="0" xfId="0" applyNumberFormat="1" applyFont="1" applyAlignment="1">
      <alignment horizontal="center"/>
    </xf>
    <xf numFmtId="179" fontId="16" fillId="0" borderId="0" xfId="0" applyNumberFormat="1" applyFont="1" applyAlignment="1">
      <alignment horizontal="center"/>
    </xf>
    <xf numFmtId="198" fontId="7" fillId="0" borderId="61" xfId="0" applyNumberFormat="1" applyFont="1" applyBorder="1" applyAlignment="1">
      <alignment horizontal="center"/>
    </xf>
    <xf numFmtId="168" fontId="14" fillId="0" borderId="0" xfId="0" applyNumberFormat="1" applyFont="1" applyAlignment="1">
      <alignment horizontal="center"/>
    </xf>
    <xf numFmtId="168" fontId="16" fillId="0" borderId="0" xfId="0" applyNumberFormat="1" applyFont="1" applyAlignment="1">
      <alignment horizontal="center"/>
    </xf>
    <xf numFmtId="169" fontId="40" fillId="0" borderId="0" xfId="0" applyNumberFormat="1" applyFont="1" applyAlignment="1">
      <alignment horizontal="center"/>
    </xf>
    <xf numFmtId="169" fontId="41" fillId="0" borderId="0" xfId="0" applyNumberFormat="1" applyFont="1" applyAlignment="1">
      <alignment horizontal="center"/>
    </xf>
    <xf numFmtId="198" fontId="24" fillId="0" borderId="61" xfId="0" applyNumberFormat="1" applyFont="1" applyBorder="1" applyAlignment="1">
      <alignment horizontal="center"/>
    </xf>
    <xf numFmtId="198" fontId="24" fillId="0" borderId="0" xfId="0" applyNumberFormat="1" applyFont="1" applyAlignment="1">
      <alignment horizontal="center"/>
    </xf>
    <xf numFmtId="169" fontId="24" fillId="0" borderId="0" xfId="0" applyNumberFormat="1" applyFont="1" applyAlignment="1">
      <alignment horizontal="center"/>
    </xf>
    <xf numFmtId="7" fontId="14" fillId="0" borderId="0" xfId="0" applyNumberFormat="1" applyFont="1" applyAlignment="1">
      <alignment horizontal="center"/>
    </xf>
    <xf numFmtId="7" fontId="16" fillId="0" borderId="0" xfId="0" applyNumberFormat="1" applyFont="1" applyAlignment="1">
      <alignment horizontal="center"/>
    </xf>
    <xf numFmtId="168" fontId="14" fillId="0" borderId="1" xfId="0" applyNumberFormat="1" applyFont="1" applyBorder="1" applyAlignment="1">
      <alignment horizontal="center"/>
    </xf>
    <xf numFmtId="168" fontId="16" fillId="0" borderId="1" xfId="0" applyNumberFormat="1" applyFont="1" applyBorder="1" applyAlignment="1">
      <alignment horizontal="center"/>
    </xf>
    <xf numFmtId="198" fontId="7" fillId="0" borderId="62" xfId="0" applyNumberFormat="1" applyFont="1" applyBorder="1" applyAlignment="1">
      <alignment horizontal="center"/>
    </xf>
    <xf numFmtId="181" fontId="14" fillId="0" borderId="1" xfId="0" applyNumberFormat="1" applyFont="1" applyBorder="1" applyAlignment="1">
      <alignment horizontal="center"/>
    </xf>
    <xf numFmtId="181" fontId="16" fillId="0" borderId="1" xfId="0" applyNumberFormat="1" applyFont="1" applyBorder="1" applyAlignment="1">
      <alignment horizontal="center"/>
    </xf>
    <xf numFmtId="0" fontId="57" fillId="0" borderId="0" xfId="0" applyFont="1" applyAlignment="1">
      <alignment horizontal="center"/>
    </xf>
    <xf numFmtId="198" fontId="7" fillId="0" borderId="39" xfId="0" applyNumberFormat="1" applyFont="1" applyBorder="1" applyAlignment="1">
      <alignment horizontal="center"/>
    </xf>
    <xf numFmtId="198" fontId="7" fillId="0" borderId="40" xfId="0" applyNumberFormat="1" applyFont="1" applyBorder="1" applyAlignment="1">
      <alignment horizontal="center"/>
    </xf>
    <xf numFmtId="0" fontId="58"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0" fontId="7" fillId="0" borderId="18" xfId="0" applyFont="1" applyBorder="1" applyAlignment="1">
      <alignment horizontal="center"/>
    </xf>
    <xf numFmtId="0" fontId="14" fillId="0" borderId="18" xfId="0"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13" fillId="9" borderId="26" xfId="0" applyFont="1" applyFill="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0" xfId="0" applyFont="1" applyAlignment="1">
      <alignment horizontal="left"/>
    </xf>
    <xf numFmtId="0" fontId="7" fillId="0" borderId="0" xfId="0" applyFont="1" applyAlignment="1">
      <alignment horizontal="right"/>
    </xf>
    <xf numFmtId="0" fontId="7" fillId="0" borderId="0" xfId="0" applyFont="1"/>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7" fillId="4" borderId="2" xfId="0" applyFont="1" applyFill="1" applyBorder="1" applyAlignment="1">
      <alignment horizontal="center"/>
    </xf>
    <xf numFmtId="5"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5" fontId="7" fillId="0" borderId="13" xfId="0" applyNumberFormat="1" applyFont="1" applyBorder="1"/>
    <xf numFmtId="0" fontId="6" fillId="0" borderId="14" xfId="0" applyFont="1" applyBorder="1"/>
    <xf numFmtId="166" fontId="7" fillId="0" borderId="16" xfId="0" applyNumberFormat="1" applyFont="1" applyBorder="1"/>
    <xf numFmtId="0" fontId="6" fillId="0" borderId="17" xfId="0" applyFont="1" applyBorder="1"/>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13" fillId="2" borderId="47" xfId="0" applyFont="1" applyFill="1" applyBorder="1" applyAlignment="1">
      <alignment horizontal="center"/>
    </xf>
    <xf numFmtId="0" fontId="33" fillId="2" borderId="2" xfId="0" applyFont="1" applyFill="1" applyBorder="1" applyAlignment="1">
      <alignment horizontal="center"/>
    </xf>
    <xf numFmtId="0" fontId="31" fillId="0" borderId="0" xfId="0" applyFont="1" applyAlignment="1">
      <alignment horizontal="center"/>
    </xf>
    <xf numFmtId="0" fontId="7" fillId="0" borderId="0" xfId="0" applyFont="1" applyAlignment="1">
      <alignment horizontal="left" vertical="top" wrapText="1"/>
    </xf>
    <xf numFmtId="0" fontId="7" fillId="0" borderId="1" xfId="0" applyFont="1" applyBorder="1" applyAlignment="1">
      <alignment horizontal="center"/>
    </xf>
    <xf numFmtId="0" fontId="6" fillId="0" borderId="1" xfId="0" applyFont="1" applyBorder="1"/>
    <xf numFmtId="0" fontId="7" fillId="0" borderId="72" xfId="0" applyFont="1" applyBorder="1" applyAlignment="1">
      <alignment horizontal="center" vertical="center" wrapText="1"/>
    </xf>
    <xf numFmtId="0" fontId="6" fillId="0" borderId="73" xfId="0" applyFont="1" applyBorder="1"/>
    <xf numFmtId="0" fontId="6" fillId="0" borderId="74" xfId="0" applyFont="1" applyBorder="1"/>
    <xf numFmtId="0" fontId="7" fillId="3" borderId="2"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0" fontId="7" fillId="0" borderId="16" xfId="0" applyFont="1" applyBorder="1" applyAlignment="1">
      <alignment horizontal="center"/>
    </xf>
    <xf numFmtId="0" fontId="6" fillId="0" borderId="16" xfId="0" applyFont="1" applyBorder="1"/>
    <xf numFmtId="0" fontId="13" fillId="2" borderId="7" xfId="0" applyFont="1" applyFill="1" applyBorder="1" applyAlignment="1">
      <alignment horizontal="center"/>
    </xf>
    <xf numFmtId="183" fontId="7" fillId="0" borderId="0" xfId="0" applyNumberFormat="1"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7" fillId="0" borderId="0" xfId="0" applyFont="1" applyAlignment="1">
      <alignment horizontal="center"/>
    </xf>
    <xf numFmtId="0" fontId="7" fillId="3" borderId="0" xfId="0" applyFont="1" applyFill="1" applyAlignment="1">
      <alignment horizontal="center"/>
    </xf>
  </cellXfs>
  <cellStyles count="1">
    <cellStyle name="Normal" xfId="0" builtinId="0"/>
  </cellStyles>
  <dxfs count="14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xdr:col>
      <xdr:colOff>504825</xdr:colOff>
      <xdr:row>2</xdr:row>
      <xdr:rowOff>9525</xdr:rowOff>
    </xdr:from>
    <xdr:ext cx="5210175" cy="4810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428625</xdr:colOff>
      <xdr:row>6</xdr:row>
      <xdr:rowOff>28575</xdr:rowOff>
    </xdr:from>
    <xdr:ext cx="3667125" cy="14192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6</xdr:col>
      <xdr:colOff>0</xdr:colOff>
      <xdr:row>8</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DEF6"/>
  </sheetPr>
  <dimension ref="A1:Z1000"/>
  <sheetViews>
    <sheetView showGridLines="0" zoomScaleNormal="100" workbookViewId="0"/>
  </sheetViews>
  <sheetFormatPr baseColWidth="10" defaultColWidth="14.5" defaultRowHeight="15"/>
  <cols>
    <col min="1" max="1" width="1.6640625" customWidth="1"/>
    <col min="2" max="3" width="53.6640625" customWidth="1"/>
    <col min="4" max="26" width="8.6640625" customWidth="1"/>
  </cols>
  <sheetData>
    <row r="1" spans="1:26" ht="18" customHeight="1">
      <c r="A1" s="1"/>
      <c r="B1" s="2" t="s">
        <v>0</v>
      </c>
      <c r="C1" s="3"/>
      <c r="D1" s="4"/>
      <c r="E1" s="4"/>
      <c r="F1" s="4"/>
      <c r="G1" s="4"/>
      <c r="H1" s="4"/>
      <c r="I1" s="4"/>
      <c r="J1" s="4"/>
      <c r="K1" s="4"/>
      <c r="L1" s="4"/>
      <c r="M1" s="4"/>
      <c r="N1" s="4"/>
      <c r="O1" s="4"/>
      <c r="P1" s="4"/>
      <c r="Q1" s="4"/>
      <c r="R1" s="4"/>
      <c r="S1" s="4"/>
      <c r="T1" s="4"/>
      <c r="U1" s="4"/>
      <c r="V1" s="4"/>
      <c r="W1" s="4"/>
      <c r="X1" s="4"/>
      <c r="Y1" s="4"/>
      <c r="Z1" s="4"/>
    </row>
    <row r="2" spans="1:26" ht="14.25" customHeight="1">
      <c r="A2" s="1"/>
      <c r="B2" s="4"/>
      <c r="C2" s="4"/>
      <c r="D2" s="4"/>
      <c r="E2" s="4"/>
      <c r="F2" s="4"/>
      <c r="G2" s="4"/>
      <c r="H2" s="4"/>
      <c r="I2" s="4"/>
      <c r="J2" s="4"/>
      <c r="K2" s="4"/>
      <c r="L2" s="4"/>
      <c r="M2" s="4"/>
      <c r="N2" s="4"/>
      <c r="O2" s="4"/>
      <c r="P2" s="4"/>
      <c r="Q2" s="4"/>
      <c r="R2" s="4"/>
      <c r="S2" s="4"/>
      <c r="T2" s="4"/>
      <c r="U2" s="4"/>
      <c r="V2" s="4"/>
      <c r="W2" s="4"/>
      <c r="X2" s="4"/>
      <c r="Y2" s="4"/>
      <c r="Z2" s="4"/>
    </row>
    <row r="3" spans="1:26" ht="14.25" customHeight="1">
      <c r="A3" s="5" t="s">
        <v>1</v>
      </c>
      <c r="B3" s="853" t="s">
        <v>2</v>
      </c>
      <c r="C3" s="854"/>
      <c r="D3" s="4"/>
      <c r="E3" s="4"/>
      <c r="F3" s="4"/>
      <c r="G3" s="4"/>
      <c r="H3" s="4"/>
      <c r="I3" s="4"/>
      <c r="J3" s="4"/>
      <c r="K3" s="4"/>
      <c r="L3" s="4"/>
      <c r="M3" s="4"/>
      <c r="N3" s="4"/>
      <c r="O3" s="4"/>
      <c r="P3" s="4"/>
      <c r="Q3" s="4"/>
      <c r="R3" s="4"/>
      <c r="S3" s="4"/>
      <c r="T3" s="4"/>
      <c r="U3" s="4"/>
      <c r="V3" s="4"/>
      <c r="W3" s="4"/>
      <c r="X3" s="4"/>
      <c r="Y3" s="4"/>
      <c r="Z3" s="4"/>
    </row>
    <row r="4" spans="1:26" ht="354.75" customHeight="1">
      <c r="A4" s="1"/>
      <c r="B4" s="855" t="s">
        <v>3</v>
      </c>
      <c r="C4" s="856"/>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6"/>
      <c r="C16" s="6"/>
      <c r="D16" s="6"/>
      <c r="E16" s="6"/>
      <c r="F16" s="6"/>
      <c r="G16" s="6"/>
      <c r="H16" s="6"/>
      <c r="I16" s="6"/>
      <c r="J16" s="6"/>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7"/>
      <c r="B1" s="7"/>
      <c r="C1" s="8" t="str">
        <f ca="1">Company_Name&amp;" - "&amp;MID(CELL("filename",A1),FIND("]",CELL("filename",A1))+1,255)&amp;": "&amp;Case_Scenario&amp;" Case"</f>
        <v>NETFLIX INC - Cover: Base Case</v>
      </c>
      <c r="D1" s="7"/>
      <c r="E1" s="7"/>
      <c r="F1" s="7"/>
      <c r="G1" s="7"/>
      <c r="H1" s="7"/>
      <c r="I1" s="7"/>
      <c r="J1" s="7"/>
      <c r="K1" s="7"/>
      <c r="L1" s="7"/>
      <c r="M1" s="7"/>
      <c r="N1" s="7"/>
      <c r="O1" s="7"/>
      <c r="P1" s="7"/>
      <c r="Q1" s="9" t="s">
        <v>4</v>
      </c>
      <c r="R1" s="7"/>
      <c r="S1" s="7"/>
      <c r="T1" s="7"/>
      <c r="U1" s="7"/>
      <c r="V1" s="7"/>
      <c r="W1" s="7"/>
      <c r="X1" s="7"/>
      <c r="Y1" s="7"/>
      <c r="Z1" s="7"/>
    </row>
    <row r="2" spans="1:26" ht="13.5" customHeight="1">
      <c r="A2" s="4"/>
      <c r="B2" s="4"/>
      <c r="C2" s="10" t="s">
        <v>5</v>
      </c>
      <c r="D2" s="4"/>
      <c r="E2" s="4"/>
      <c r="F2" s="4"/>
      <c r="G2" s="4"/>
      <c r="H2" s="4"/>
      <c r="I2" s="4"/>
      <c r="J2" s="4"/>
      <c r="K2" s="4"/>
      <c r="L2" s="4"/>
      <c r="M2" s="4"/>
      <c r="N2" s="4"/>
      <c r="O2" s="4"/>
      <c r="P2" s="4"/>
      <c r="Q2" s="11" t="s">
        <v>6</v>
      </c>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13" t="s">
        <v>1</v>
      </c>
      <c r="S3" s="12"/>
      <c r="T3" s="12"/>
      <c r="U3" s="12"/>
      <c r="V3" s="12"/>
      <c r="W3" s="12"/>
      <c r="X3" s="12"/>
      <c r="Y3" s="12"/>
      <c r="Z3" s="12"/>
    </row>
    <row r="4" spans="1:26" ht="13.5" customHeight="1">
      <c r="A4" s="13" t="s">
        <v>1</v>
      </c>
      <c r="B4" s="12"/>
      <c r="C4" s="14" t="s">
        <v>7</v>
      </c>
      <c r="D4" s="15"/>
      <c r="E4" s="15"/>
      <c r="F4" s="16"/>
      <c r="G4" s="12"/>
      <c r="H4" s="12"/>
      <c r="I4" s="14" t="s">
        <v>8</v>
      </c>
      <c r="J4" s="15"/>
      <c r="K4" s="15"/>
      <c r="L4" s="15"/>
      <c r="M4" s="15"/>
      <c r="N4" s="15"/>
      <c r="O4" s="15"/>
      <c r="P4" s="15"/>
      <c r="Q4" s="16"/>
      <c r="R4" s="12"/>
      <c r="S4" s="12"/>
      <c r="T4" s="12"/>
      <c r="U4" s="12"/>
      <c r="V4" s="12"/>
      <c r="W4" s="12"/>
      <c r="X4" s="12"/>
      <c r="Y4" s="12"/>
      <c r="Z4" s="12"/>
    </row>
    <row r="5" spans="1:26" ht="13.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3.5" customHeight="1">
      <c r="A6" s="12"/>
      <c r="B6" s="12"/>
      <c r="C6" s="12"/>
      <c r="D6" s="12"/>
      <c r="E6" s="12"/>
      <c r="F6" s="12"/>
      <c r="G6" s="12"/>
      <c r="H6" s="12"/>
      <c r="I6" s="857" t="s">
        <v>9</v>
      </c>
      <c r="J6" s="858"/>
      <c r="K6" s="858"/>
      <c r="L6" s="854"/>
      <c r="M6" s="12"/>
      <c r="N6" s="857" t="s">
        <v>10</v>
      </c>
      <c r="O6" s="858"/>
      <c r="P6" s="858"/>
      <c r="Q6" s="854"/>
      <c r="R6" s="12"/>
      <c r="S6" s="12"/>
      <c r="T6" s="12"/>
      <c r="U6" s="12"/>
      <c r="V6" s="12"/>
      <c r="W6" s="12"/>
      <c r="X6" s="12"/>
      <c r="Y6" s="12"/>
      <c r="Z6" s="12"/>
    </row>
    <row r="7" spans="1:26" ht="13.5" customHeight="1">
      <c r="A7" s="12"/>
      <c r="B7" s="12"/>
      <c r="D7" s="12"/>
      <c r="E7" s="12"/>
      <c r="F7" s="12"/>
      <c r="G7" s="12"/>
      <c r="H7" s="12"/>
      <c r="I7" s="4"/>
      <c r="J7" s="4"/>
      <c r="K7" s="4"/>
      <c r="L7" s="4"/>
      <c r="M7" s="12"/>
      <c r="N7" s="4"/>
      <c r="O7" s="4"/>
      <c r="P7" s="4"/>
      <c r="Q7" s="4"/>
      <c r="R7" s="12"/>
      <c r="S7" s="12"/>
      <c r="T7" s="12"/>
      <c r="U7" s="12"/>
      <c r="V7" s="12"/>
      <c r="W7" s="12"/>
      <c r="X7" s="12"/>
      <c r="Y7" s="12"/>
      <c r="Z7" s="12"/>
    </row>
    <row r="8" spans="1:26" ht="13.5" customHeight="1">
      <c r="A8" s="12"/>
      <c r="B8" s="12"/>
      <c r="C8" s="12"/>
      <c r="D8" s="12"/>
      <c r="E8" s="12"/>
      <c r="F8" s="12"/>
      <c r="G8" s="12"/>
      <c r="H8" s="12"/>
      <c r="I8" s="859" t="s">
        <v>11</v>
      </c>
      <c r="J8" s="858"/>
      <c r="K8" s="858"/>
      <c r="L8" s="854"/>
      <c r="M8" s="12"/>
      <c r="N8" s="859" t="s">
        <v>12</v>
      </c>
      <c r="O8" s="858"/>
      <c r="P8" s="858"/>
      <c r="Q8" s="854"/>
      <c r="R8" s="12"/>
      <c r="S8" s="12"/>
      <c r="T8" s="12"/>
      <c r="U8" s="12"/>
      <c r="V8" s="12"/>
      <c r="W8" s="12"/>
      <c r="X8" s="12"/>
      <c r="Y8" s="12"/>
      <c r="Z8" s="12"/>
    </row>
    <row r="9" spans="1:26" ht="13.5" customHeight="1">
      <c r="A9" s="12"/>
      <c r="B9" s="12"/>
      <c r="C9" s="12"/>
      <c r="D9" s="12"/>
      <c r="E9" s="12"/>
      <c r="F9" s="12"/>
      <c r="G9" s="12"/>
      <c r="H9" s="12"/>
      <c r="I9" s="17" t="s">
        <v>13</v>
      </c>
      <c r="J9" s="4"/>
      <c r="K9" s="4"/>
      <c r="L9" s="18" t="str">
        <f ca="1">Valuation!K65</f>
        <v/>
      </c>
      <c r="M9" s="12"/>
      <c r="N9" s="17"/>
      <c r="O9" s="4"/>
      <c r="P9" s="19" t="s">
        <v>14</v>
      </c>
      <c r="Q9" s="20" t="s">
        <v>15</v>
      </c>
      <c r="R9" s="12"/>
      <c r="S9" s="12"/>
      <c r="T9" s="12"/>
      <c r="U9" s="12"/>
      <c r="V9" s="12"/>
      <c r="W9" s="12"/>
      <c r="X9" s="12"/>
      <c r="Y9" s="12"/>
      <c r="Z9" s="12"/>
    </row>
    <row r="10" spans="1:26" ht="13.5" customHeight="1">
      <c r="A10" s="12"/>
      <c r="B10" s="12"/>
      <c r="C10" s="12"/>
      <c r="D10" s="12"/>
      <c r="E10" s="12"/>
      <c r="F10" s="12"/>
      <c r="G10" s="12"/>
      <c r="H10" s="12"/>
      <c r="I10" s="17" t="s">
        <v>16</v>
      </c>
      <c r="J10" s="4"/>
      <c r="K10" s="4"/>
      <c r="L10" s="21" t="str">
        <f ca="1">Valuation!K72</f>
        <v/>
      </c>
      <c r="M10" s="12"/>
      <c r="N10" s="17"/>
      <c r="O10" s="4"/>
      <c r="P10" s="4"/>
      <c r="Q10" s="22"/>
      <c r="R10" s="12"/>
      <c r="S10" s="12"/>
      <c r="T10" s="12"/>
      <c r="U10" s="12"/>
      <c r="V10" s="12"/>
      <c r="W10" s="12"/>
      <c r="X10" s="12"/>
      <c r="Y10" s="12"/>
      <c r="Z10" s="12"/>
    </row>
    <row r="11" spans="1:26" ht="13.5" customHeight="1">
      <c r="A11" s="12"/>
      <c r="B11" s="12"/>
      <c r="C11" s="12"/>
      <c r="D11" s="12"/>
      <c r="E11" s="12"/>
      <c r="F11" s="12"/>
      <c r="G11" s="12"/>
      <c r="H11" s="12"/>
      <c r="I11" s="17"/>
      <c r="J11" s="4"/>
      <c r="K11" s="4"/>
      <c r="L11" s="23"/>
      <c r="M11" s="12"/>
      <c r="N11" s="17" t="s">
        <v>17</v>
      </c>
      <c r="O11" s="4"/>
      <c r="P11" s="24" t="str">
        <f ca="1">Valuation!N137</f>
        <v/>
      </c>
      <c r="Q11" s="25" t="str">
        <f ca="1">Valuation!N138</f>
        <v/>
      </c>
      <c r="R11" s="12"/>
      <c r="S11" s="12"/>
      <c r="T11" s="12"/>
      <c r="U11" s="12"/>
      <c r="V11" s="12"/>
      <c r="W11" s="12"/>
      <c r="X11" s="12"/>
      <c r="Y11" s="12"/>
      <c r="Z11" s="12"/>
    </row>
    <row r="12" spans="1:26" ht="13.5" customHeight="1">
      <c r="A12" s="12"/>
      <c r="B12" s="12"/>
      <c r="C12" s="12"/>
      <c r="D12" s="12"/>
      <c r="E12" s="12"/>
      <c r="F12" s="12"/>
      <c r="G12" s="12"/>
      <c r="H12" s="12"/>
      <c r="I12" s="26" t="s">
        <v>18</v>
      </c>
      <c r="J12" s="27"/>
      <c r="K12" s="27"/>
      <c r="L12" s="28" t="str">
        <f ca="1">Valuation!K76</f>
        <v/>
      </c>
      <c r="M12" s="12"/>
      <c r="N12" s="17"/>
      <c r="O12" s="4"/>
      <c r="P12" s="4"/>
      <c r="Q12" s="22"/>
      <c r="R12" s="12"/>
      <c r="S12" s="12"/>
      <c r="T12" s="12"/>
      <c r="U12" s="12"/>
      <c r="V12" s="12"/>
      <c r="W12" s="12"/>
      <c r="X12" s="12"/>
      <c r="Y12" s="12"/>
      <c r="Z12" s="12"/>
    </row>
    <row r="13" spans="1:26" ht="13.5" customHeight="1">
      <c r="A13" s="12"/>
      <c r="B13" s="12"/>
      <c r="C13" s="12"/>
      <c r="D13" s="12"/>
      <c r="E13" s="12"/>
      <c r="F13" s="12"/>
      <c r="G13" s="12"/>
      <c r="H13" s="12"/>
      <c r="I13" s="29" t="s">
        <v>15</v>
      </c>
      <c r="J13" s="30"/>
      <c r="K13" s="30"/>
      <c r="L13" s="31" t="str">
        <f ca="1">Valuation!K77</f>
        <v/>
      </c>
      <c r="M13" s="12"/>
      <c r="N13" s="32" t="s">
        <v>19</v>
      </c>
      <c r="O13" s="30"/>
      <c r="P13" s="33" t="str">
        <f ca="1">Valuation!N215</f>
        <v/>
      </c>
      <c r="Q13" s="31" t="str">
        <f ca="1">Valuation!N216</f>
        <v/>
      </c>
      <c r="R13" s="12"/>
      <c r="S13" s="12"/>
      <c r="T13" s="12"/>
      <c r="U13" s="12"/>
      <c r="V13" s="12"/>
      <c r="W13" s="12"/>
      <c r="X13" s="12"/>
      <c r="Y13" s="12"/>
      <c r="Z13" s="12"/>
    </row>
    <row r="14" spans="1:26" ht="13.5" customHeight="1">
      <c r="A14" s="12"/>
      <c r="B14" s="12"/>
      <c r="C14" s="12"/>
      <c r="D14" s="12"/>
      <c r="E14" s="12"/>
      <c r="F14" s="12"/>
      <c r="G14" s="12"/>
      <c r="H14" s="12"/>
      <c r="I14" s="4"/>
      <c r="J14" s="4"/>
      <c r="K14" s="4"/>
      <c r="L14" s="4"/>
      <c r="M14" s="12"/>
      <c r="N14" s="4"/>
      <c r="O14" s="4"/>
      <c r="P14" s="4"/>
      <c r="Q14" s="4"/>
      <c r="R14" s="12"/>
      <c r="S14" s="12"/>
      <c r="T14" s="12"/>
      <c r="U14" s="12"/>
      <c r="V14" s="12"/>
      <c r="W14" s="12"/>
      <c r="X14" s="12"/>
      <c r="Y14" s="12"/>
      <c r="Z14" s="12"/>
    </row>
    <row r="15" spans="1:26" ht="13.5" customHeight="1">
      <c r="A15" s="12"/>
      <c r="B15" s="12"/>
      <c r="C15" s="12"/>
      <c r="D15" s="12"/>
      <c r="E15" s="12"/>
      <c r="F15" s="12"/>
      <c r="G15" s="12"/>
      <c r="H15" s="12"/>
      <c r="I15" s="859" t="s">
        <v>20</v>
      </c>
      <c r="J15" s="858"/>
      <c r="K15" s="858"/>
      <c r="L15" s="854"/>
      <c r="M15" s="12"/>
      <c r="N15" s="859" t="s">
        <v>21</v>
      </c>
      <c r="O15" s="858"/>
      <c r="P15" s="858"/>
      <c r="Q15" s="854"/>
      <c r="R15" s="12"/>
      <c r="S15" s="12"/>
      <c r="T15" s="12"/>
      <c r="U15" s="12"/>
      <c r="V15" s="12"/>
      <c r="W15" s="12"/>
      <c r="X15" s="12"/>
      <c r="Y15" s="12"/>
      <c r="Z15" s="12"/>
    </row>
    <row r="16" spans="1:26" ht="13.5" customHeight="1">
      <c r="A16" s="12"/>
      <c r="B16" s="12"/>
      <c r="C16" s="12"/>
      <c r="D16" s="12"/>
      <c r="E16" s="12"/>
      <c r="F16" s="12"/>
      <c r="G16" s="12"/>
      <c r="H16" s="12"/>
      <c r="I16" s="17" t="s">
        <v>13</v>
      </c>
      <c r="J16" s="4"/>
      <c r="K16" s="4"/>
      <c r="L16" s="18" t="str">
        <f ca="1">Valuation!R65</f>
        <v/>
      </c>
      <c r="M16" s="12"/>
      <c r="N16" s="17"/>
      <c r="O16" s="4"/>
      <c r="P16" s="19" t="s">
        <v>14</v>
      </c>
      <c r="Q16" s="20" t="s">
        <v>15</v>
      </c>
      <c r="R16" s="12"/>
      <c r="S16" s="12"/>
      <c r="T16" s="12"/>
      <c r="U16" s="12"/>
      <c r="V16" s="12"/>
      <c r="W16" s="12"/>
      <c r="X16" s="12"/>
      <c r="Y16" s="12"/>
      <c r="Z16" s="12"/>
    </row>
    <row r="17" spans="1:26" ht="13.5" customHeight="1">
      <c r="A17" s="12"/>
      <c r="B17" s="12"/>
      <c r="C17" s="12"/>
      <c r="D17" s="12"/>
      <c r="E17" s="12"/>
      <c r="F17" s="12"/>
      <c r="G17" s="12"/>
      <c r="H17" s="12"/>
      <c r="I17" s="17" t="s">
        <v>16</v>
      </c>
      <c r="J17" s="4"/>
      <c r="K17" s="4"/>
      <c r="L17" s="21" t="str">
        <f ca="1">Valuation!R72</f>
        <v/>
      </c>
      <c r="M17" s="12"/>
      <c r="N17" s="17"/>
      <c r="O17" s="4"/>
      <c r="P17" s="4"/>
      <c r="Q17" s="22"/>
      <c r="R17" s="12"/>
      <c r="S17" s="12"/>
      <c r="T17" s="12"/>
      <c r="U17" s="12"/>
      <c r="V17" s="12"/>
      <c r="W17" s="12"/>
      <c r="X17" s="12"/>
      <c r="Y17" s="12"/>
      <c r="Z17" s="12"/>
    </row>
    <row r="18" spans="1:26" ht="13.5" customHeight="1">
      <c r="A18" s="12"/>
      <c r="B18" s="12"/>
      <c r="C18" s="12"/>
      <c r="D18" s="12"/>
      <c r="E18" s="12"/>
      <c r="F18" s="12"/>
      <c r="G18" s="12"/>
      <c r="H18" s="12"/>
      <c r="I18" s="17"/>
      <c r="J18" s="4"/>
      <c r="K18" s="4"/>
      <c r="L18" s="23"/>
      <c r="M18" s="12"/>
      <c r="N18" s="17" t="s">
        <v>22</v>
      </c>
      <c r="O18" s="4"/>
      <c r="P18" s="24" t="str">
        <f ca="1">Valuation!F126</f>
        <v/>
      </c>
      <c r="Q18" s="25" t="str">
        <f ca="1">Valuation!F127</f>
        <v/>
      </c>
      <c r="R18" s="12"/>
      <c r="S18" s="12"/>
      <c r="T18" s="12"/>
      <c r="U18" s="12"/>
      <c r="V18" s="12"/>
      <c r="W18" s="12"/>
      <c r="X18" s="12"/>
      <c r="Y18" s="12"/>
      <c r="Z18" s="12"/>
    </row>
    <row r="19" spans="1:26" ht="13.5" customHeight="1">
      <c r="A19" s="12"/>
      <c r="B19" s="12"/>
      <c r="C19" s="12" t="s">
        <v>23</v>
      </c>
      <c r="D19" s="12"/>
      <c r="E19" s="12"/>
      <c r="F19" s="34" t="s">
        <v>24</v>
      </c>
      <c r="G19" s="12"/>
      <c r="H19" s="12"/>
      <c r="I19" s="26" t="s">
        <v>18</v>
      </c>
      <c r="J19" s="27"/>
      <c r="K19" s="27"/>
      <c r="L19" s="28" t="str">
        <f ca="1">Valuation!R76</f>
        <v/>
      </c>
      <c r="M19" s="12"/>
      <c r="N19" s="17"/>
      <c r="O19" s="4"/>
      <c r="P19" s="4"/>
      <c r="Q19" s="22"/>
      <c r="R19" s="12"/>
      <c r="S19" s="12"/>
      <c r="T19" s="12"/>
      <c r="U19" s="12"/>
      <c r="V19" s="12"/>
      <c r="W19" s="12"/>
      <c r="X19" s="12"/>
      <c r="Y19" s="12"/>
      <c r="Z19" s="12"/>
    </row>
    <row r="20" spans="1:26" ht="13.5" customHeight="1">
      <c r="A20" s="12"/>
      <c r="B20" s="12"/>
      <c r="C20" s="12" t="s">
        <v>25</v>
      </c>
      <c r="D20" s="12"/>
      <c r="E20" s="12"/>
      <c r="F20" s="34" t="s">
        <v>26</v>
      </c>
      <c r="G20" s="12"/>
      <c r="H20" s="12"/>
      <c r="I20" s="29" t="s">
        <v>15</v>
      </c>
      <c r="J20" s="30"/>
      <c r="K20" s="30"/>
      <c r="L20" s="31" t="str">
        <f ca="1">Valuation!R77</f>
        <v/>
      </c>
      <c r="M20" s="12"/>
      <c r="N20" s="32" t="s">
        <v>27</v>
      </c>
      <c r="O20" s="30"/>
      <c r="P20" s="33" t="str">
        <f ca="1">Valuation!F204</f>
        <v/>
      </c>
      <c r="Q20" s="31" t="str">
        <f ca="1">Valuation!F205</f>
        <v/>
      </c>
      <c r="R20" s="12"/>
      <c r="S20" s="12"/>
      <c r="T20" s="12"/>
      <c r="U20" s="12"/>
      <c r="V20" s="12"/>
      <c r="W20" s="12"/>
      <c r="X20" s="12"/>
      <c r="Y20" s="12"/>
      <c r="Z20" s="12"/>
    </row>
    <row r="21" spans="1:26" ht="13.5" customHeight="1">
      <c r="A21" s="12"/>
      <c r="B21" s="12"/>
      <c r="C21" s="12"/>
      <c r="D21" s="12"/>
      <c r="E21" s="12"/>
      <c r="F21" s="35"/>
      <c r="G21" s="12"/>
      <c r="H21" s="12"/>
      <c r="I21" s="4"/>
      <c r="J21" s="12"/>
      <c r="K21" s="12"/>
      <c r="L21" s="12"/>
      <c r="M21" s="12"/>
      <c r="N21" s="12"/>
      <c r="O21" s="12"/>
      <c r="P21" s="12"/>
      <c r="Q21" s="12"/>
      <c r="R21" s="12"/>
      <c r="S21" s="12"/>
      <c r="T21" s="12"/>
      <c r="U21" s="12"/>
      <c r="V21" s="12"/>
      <c r="W21" s="12"/>
      <c r="X21" s="12"/>
      <c r="Y21" s="12"/>
      <c r="Z21" s="12"/>
    </row>
    <row r="22" spans="1:26" ht="13.5" customHeight="1">
      <c r="A22" s="12"/>
      <c r="B22" s="12"/>
      <c r="C22" s="36" t="s">
        <v>28</v>
      </c>
      <c r="D22" s="37"/>
      <c r="E22" s="37"/>
      <c r="F22" s="38" t="s">
        <v>29</v>
      </c>
      <c r="G22" s="12"/>
      <c r="H22" s="12"/>
      <c r="I22" s="39" t="s">
        <v>30</v>
      </c>
      <c r="J22" s="15"/>
      <c r="K22" s="15"/>
      <c r="L22" s="15"/>
      <c r="M22" s="15"/>
      <c r="N22" s="15"/>
      <c r="O22" s="15"/>
      <c r="P22" s="15"/>
      <c r="Q22" s="16"/>
      <c r="R22" s="12"/>
      <c r="S22" s="12"/>
      <c r="T22" s="12"/>
      <c r="U22" s="12"/>
      <c r="V22" s="12"/>
      <c r="W22" s="12"/>
      <c r="X22" s="12"/>
      <c r="Y22" s="12"/>
      <c r="Z22" s="12"/>
    </row>
    <row r="23" spans="1:26" ht="13.5" customHeight="1">
      <c r="A23" s="12"/>
      <c r="B23" s="12"/>
      <c r="C23" s="12"/>
      <c r="D23" s="40"/>
      <c r="E23" s="12"/>
      <c r="F23" s="35"/>
      <c r="G23" s="12"/>
      <c r="H23" s="12"/>
      <c r="I23" s="4"/>
      <c r="J23" s="12"/>
      <c r="K23" s="12"/>
      <c r="L23" s="12"/>
      <c r="M23" s="12"/>
      <c r="N23" s="41"/>
      <c r="O23" s="41"/>
      <c r="P23" s="41"/>
      <c r="Q23" s="12"/>
      <c r="R23" s="12"/>
      <c r="S23" s="12"/>
      <c r="T23" s="12"/>
      <c r="U23" s="12"/>
      <c r="V23" s="12"/>
      <c r="W23" s="12"/>
      <c r="X23" s="12"/>
      <c r="Y23" s="12"/>
      <c r="Z23" s="12"/>
    </row>
    <row r="24" spans="1:26" ht="13.5" customHeight="1">
      <c r="A24" s="12"/>
      <c r="B24" s="12"/>
      <c r="C24" s="12" t="s">
        <v>31</v>
      </c>
      <c r="D24" s="12"/>
      <c r="E24" s="12"/>
      <c r="F24" s="42">
        <v>46022</v>
      </c>
      <c r="G24" s="12"/>
      <c r="H24" s="12"/>
      <c r="I24" s="43" t="s">
        <v>32</v>
      </c>
      <c r="J24" s="12"/>
      <c r="K24" s="12"/>
      <c r="L24" s="12"/>
      <c r="M24" s="12"/>
      <c r="N24" s="12"/>
      <c r="O24" s="12"/>
      <c r="P24" s="12"/>
      <c r="Q24" s="12"/>
      <c r="R24" s="12"/>
      <c r="S24" s="12"/>
      <c r="T24" s="12"/>
      <c r="U24" s="12"/>
      <c r="V24" s="12"/>
      <c r="W24" s="12"/>
      <c r="X24" s="12"/>
      <c r="Y24" s="12"/>
      <c r="Z24" s="12"/>
    </row>
    <row r="25" spans="1:26" ht="13.5" customHeight="1">
      <c r="A25" s="12"/>
      <c r="B25" s="12"/>
      <c r="C25" s="12" t="s">
        <v>33</v>
      </c>
      <c r="D25" s="12"/>
      <c r="E25" s="12"/>
      <c r="F25" s="44">
        <f>Last_FYE+365</f>
        <v>46387</v>
      </c>
      <c r="G25" s="12"/>
      <c r="H25" s="12"/>
      <c r="I25" s="43" t="s">
        <v>34</v>
      </c>
      <c r="J25" s="12"/>
      <c r="K25" s="12"/>
      <c r="L25" s="12"/>
      <c r="M25" s="12"/>
      <c r="N25" s="12"/>
      <c r="O25" s="12"/>
      <c r="P25" s="12"/>
      <c r="Q25" s="12"/>
      <c r="R25" s="12"/>
      <c r="S25" s="12"/>
      <c r="T25" s="12"/>
      <c r="U25" s="12"/>
      <c r="V25" s="12"/>
      <c r="W25" s="12"/>
      <c r="X25" s="12"/>
      <c r="Y25" s="12"/>
      <c r="Z25" s="12"/>
    </row>
    <row r="26" spans="1:26" ht="13.5" customHeight="1">
      <c r="A26" s="13"/>
      <c r="B26" s="12"/>
      <c r="C26" s="12" t="s">
        <v>35</v>
      </c>
      <c r="D26" s="12"/>
      <c r="E26" s="12"/>
      <c r="F26" s="45" t="s">
        <v>36</v>
      </c>
      <c r="G26" s="12"/>
      <c r="H26" s="12"/>
      <c r="I26" s="43" t="s">
        <v>37</v>
      </c>
      <c r="J26" s="12"/>
      <c r="K26" s="12"/>
      <c r="L26" s="12"/>
      <c r="M26" s="12"/>
      <c r="N26" s="12"/>
      <c r="O26" s="12"/>
      <c r="P26" s="12"/>
      <c r="Q26" s="12"/>
      <c r="R26" s="12"/>
      <c r="S26" s="12"/>
      <c r="T26" s="12"/>
      <c r="U26" s="12"/>
      <c r="V26" s="12"/>
      <c r="W26" s="12"/>
      <c r="X26" s="12"/>
      <c r="Y26" s="12"/>
      <c r="Z26" s="12"/>
    </row>
    <row r="27" spans="1:26" ht="13.5" customHeight="1">
      <c r="A27" s="12"/>
      <c r="B27" s="12"/>
      <c r="C27" s="12" t="s">
        <v>38</v>
      </c>
      <c r="D27" s="12"/>
      <c r="E27" s="12"/>
      <c r="F27" s="46">
        <v>45903</v>
      </c>
      <c r="G27" s="12"/>
      <c r="H27" s="40"/>
      <c r="I27" s="43" t="s">
        <v>39</v>
      </c>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43" t="s">
        <v>40</v>
      </c>
      <c r="J28" s="12"/>
      <c r="K28" s="12"/>
      <c r="L28" s="12"/>
      <c r="M28" s="12"/>
      <c r="N28" s="12"/>
      <c r="O28" s="12"/>
      <c r="P28" s="12"/>
      <c r="Q28" s="12"/>
      <c r="R28" s="12"/>
      <c r="S28" s="12"/>
      <c r="T28" s="12"/>
      <c r="U28" s="12"/>
      <c r="V28" s="12"/>
      <c r="W28" s="12"/>
      <c r="X28" s="12"/>
      <c r="Y28" s="12"/>
      <c r="Z28" s="12"/>
    </row>
    <row r="29" spans="1:26" ht="13.5" customHeight="1">
      <c r="A29" s="12"/>
      <c r="B29" s="12"/>
      <c r="C29" s="12" t="s">
        <v>41</v>
      </c>
      <c r="D29" s="12"/>
      <c r="E29" s="12"/>
      <c r="F29" s="47">
        <v>233.18</v>
      </c>
      <c r="G29" s="12"/>
      <c r="H29" s="12"/>
      <c r="I29" s="43" t="s">
        <v>42</v>
      </c>
      <c r="J29" s="12"/>
      <c r="K29" s="12"/>
      <c r="L29" s="12"/>
      <c r="M29" s="12"/>
      <c r="N29" s="12"/>
      <c r="O29" s="12"/>
      <c r="P29" s="12"/>
      <c r="Q29" s="12"/>
      <c r="R29" s="12"/>
      <c r="S29" s="12"/>
      <c r="T29" s="12"/>
      <c r="U29" s="12"/>
      <c r="V29" s="12"/>
      <c r="W29" s="12"/>
      <c r="X29" s="12"/>
      <c r="Y29" s="12"/>
      <c r="Z29" s="12"/>
    </row>
    <row r="30" spans="1:26" ht="13.5" customHeight="1">
      <c r="A30" s="12"/>
      <c r="B30" s="12"/>
      <c r="C30" s="12" t="s">
        <v>43</v>
      </c>
      <c r="D30" s="12"/>
      <c r="E30" s="12"/>
      <c r="F30" s="47">
        <v>215.22</v>
      </c>
      <c r="G30" s="12"/>
      <c r="H30" s="12"/>
      <c r="I30" s="43" t="s">
        <v>44</v>
      </c>
      <c r="J30" s="12"/>
      <c r="K30" s="12"/>
      <c r="L30" s="12"/>
      <c r="M30" s="12"/>
      <c r="N30" s="12"/>
      <c r="O30" s="12"/>
      <c r="P30" s="12"/>
      <c r="Q30" s="12"/>
      <c r="R30" s="12"/>
      <c r="S30" s="12"/>
      <c r="T30" s="12"/>
      <c r="U30" s="12"/>
      <c r="V30" s="12"/>
      <c r="W30" s="12"/>
      <c r="X30" s="12"/>
      <c r="Y30" s="12"/>
      <c r="Z30" s="12"/>
    </row>
    <row r="31" spans="1:26" ht="13.5" customHeight="1">
      <c r="A31" s="12"/>
      <c r="B31" s="12"/>
      <c r="C31" s="12" t="s">
        <v>45</v>
      </c>
      <c r="D31" s="12"/>
      <c r="E31" s="12"/>
      <c r="F31" s="47">
        <v>146.72</v>
      </c>
      <c r="G31" s="12"/>
      <c r="H31" s="40"/>
      <c r="I31" s="43" t="s">
        <v>46</v>
      </c>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40"/>
      <c r="I32" s="43" t="s">
        <v>47</v>
      </c>
      <c r="J32" s="12"/>
      <c r="K32" s="12"/>
      <c r="L32" s="12"/>
      <c r="M32" s="12"/>
      <c r="N32" s="12"/>
      <c r="O32" s="12"/>
      <c r="P32" s="12"/>
      <c r="Q32" s="12"/>
      <c r="R32" s="12"/>
      <c r="S32" s="12"/>
      <c r="T32" s="12"/>
      <c r="U32" s="12"/>
      <c r="V32" s="12"/>
      <c r="W32" s="12"/>
      <c r="X32" s="12"/>
      <c r="Y32" s="12"/>
      <c r="Z32" s="12"/>
    </row>
    <row r="33" spans="1:26" ht="13.5" customHeight="1">
      <c r="A33" s="12"/>
      <c r="B33" s="12"/>
      <c r="C33" s="12" t="s">
        <v>48</v>
      </c>
      <c r="D33" s="12"/>
      <c r="E33" s="12"/>
      <c r="F33" s="48">
        <f>IF(Last_FQR="1Q",Model!U71,IF(Last_FQR="2Q",Model!V71,IF(Last_FQR="3Q",Model!W71,Model!X71)))</f>
        <v>0.2443665498247371</v>
      </c>
      <c r="G33" s="12"/>
      <c r="H33" s="40"/>
      <c r="I33" s="43" t="s">
        <v>49</v>
      </c>
      <c r="J33" s="12"/>
      <c r="K33" s="12"/>
      <c r="L33" s="12"/>
      <c r="M33" s="12"/>
      <c r="N33" s="12"/>
      <c r="O33" s="12"/>
      <c r="P33" s="12"/>
      <c r="Q33" s="12"/>
      <c r="R33" s="12"/>
      <c r="S33" s="12"/>
      <c r="T33" s="12"/>
      <c r="U33" s="12"/>
      <c r="V33" s="12"/>
      <c r="W33" s="12"/>
      <c r="X33" s="12"/>
      <c r="Y33" s="12"/>
      <c r="Z33" s="12"/>
    </row>
    <row r="34" spans="1:26" ht="13.5" customHeight="1">
      <c r="A34" s="12"/>
      <c r="B34" s="12"/>
      <c r="C34" s="12" t="s">
        <v>50</v>
      </c>
      <c r="D34" s="12"/>
      <c r="E34" s="12"/>
      <c r="F34" s="48">
        <f>IF(Last_FQR="1Q",Model!U265,IF(Last_FQR="2Q",Model!V265,IF(Last_FQR="3Q",Model!W265,Model!X265)))</f>
        <v>1.2778959704955387E-2</v>
      </c>
      <c r="G34" s="12"/>
      <c r="H34" s="40"/>
      <c r="I34" s="43" t="s">
        <v>51</v>
      </c>
      <c r="J34" s="12"/>
      <c r="K34" s="12"/>
      <c r="L34" s="12"/>
      <c r="M34" s="12"/>
      <c r="N34" s="12"/>
      <c r="O34" s="12"/>
      <c r="P34" s="12"/>
      <c r="Q34" s="12"/>
      <c r="R34" s="12"/>
      <c r="S34" s="12"/>
      <c r="T34" s="12"/>
      <c r="U34" s="12"/>
      <c r="V34" s="12"/>
      <c r="W34" s="12"/>
      <c r="X34" s="12"/>
      <c r="Y34" s="12"/>
      <c r="Z34" s="12"/>
    </row>
    <row r="35" spans="1:26" ht="13.5" customHeight="1">
      <c r="A35" s="12"/>
      <c r="B35" s="12"/>
      <c r="C35" s="12" t="s">
        <v>52</v>
      </c>
      <c r="D35" s="12"/>
      <c r="E35" s="12"/>
      <c r="F35" s="49">
        <f>IF(Last_FQR="1Q",Model!U284,IF(Last_FQR="2Q",Model!V284,IF(Last_FQR="3Q",Model!W284,Model!X284)))</f>
        <v>707</v>
      </c>
      <c r="G35" s="12"/>
      <c r="H35" s="40"/>
      <c r="I35" s="43" t="s">
        <v>53</v>
      </c>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40"/>
      <c r="I36" s="43" t="s">
        <v>54</v>
      </c>
      <c r="J36" s="12"/>
      <c r="K36" s="12"/>
      <c r="L36" s="12"/>
      <c r="M36" s="12"/>
      <c r="N36" s="12"/>
      <c r="O36" s="12"/>
      <c r="P36" s="12"/>
      <c r="Q36" s="12"/>
      <c r="R36" s="12"/>
      <c r="S36" s="12"/>
      <c r="T36" s="12"/>
      <c r="U36" s="12"/>
      <c r="V36" s="12"/>
      <c r="W36" s="12"/>
      <c r="X36" s="12"/>
      <c r="Y36" s="12"/>
      <c r="Z36" s="12"/>
    </row>
    <row r="37" spans="1:26" ht="13.5" customHeight="1">
      <c r="A37" s="12"/>
      <c r="B37" s="12"/>
      <c r="C37" s="36" t="s">
        <v>55</v>
      </c>
      <c r="D37" s="37"/>
      <c r="E37" s="37"/>
      <c r="F37" s="50" t="s">
        <v>56</v>
      </c>
      <c r="G37" s="12"/>
      <c r="H37" s="40"/>
      <c r="I37" s="43" t="s">
        <v>57</v>
      </c>
      <c r="J37" s="12"/>
      <c r="K37" s="12"/>
      <c r="L37" s="12"/>
      <c r="M37" s="12"/>
      <c r="N37" s="12"/>
      <c r="O37" s="12"/>
      <c r="P37" s="12"/>
      <c r="Q37" s="12"/>
      <c r="R37" s="12"/>
      <c r="S37" s="12"/>
      <c r="T37" s="12"/>
      <c r="U37" s="12"/>
      <c r="V37" s="12"/>
      <c r="W37" s="12"/>
      <c r="X37" s="12"/>
      <c r="Y37" s="12"/>
      <c r="Z37" s="12"/>
    </row>
    <row r="38" spans="1:26" ht="13.5" customHeight="1">
      <c r="A38" s="12"/>
      <c r="B38" s="12"/>
      <c r="G38" s="12"/>
      <c r="H38" s="40"/>
      <c r="I38" s="43" t="s">
        <v>58</v>
      </c>
      <c r="J38" s="12"/>
      <c r="K38" s="12"/>
      <c r="L38" s="12"/>
      <c r="M38" s="12"/>
      <c r="N38" s="12"/>
      <c r="O38" s="12"/>
      <c r="P38" s="12"/>
      <c r="Q38" s="12"/>
      <c r="R38" s="12"/>
      <c r="S38" s="12"/>
      <c r="T38" s="12"/>
      <c r="U38" s="12"/>
      <c r="V38" s="12"/>
      <c r="W38" s="12"/>
      <c r="X38" s="12"/>
      <c r="Y38" s="12"/>
      <c r="Z38" s="12"/>
    </row>
    <row r="39" spans="1:26" ht="13.5" customHeight="1">
      <c r="A39" s="12"/>
      <c r="B39" s="12"/>
      <c r="G39" s="12"/>
      <c r="H39" s="40"/>
      <c r="I39" s="43" t="s">
        <v>59</v>
      </c>
      <c r="J39" s="12"/>
      <c r="K39" s="12"/>
      <c r="L39" s="12"/>
      <c r="M39" s="12"/>
      <c r="N39" s="12"/>
      <c r="O39" s="12"/>
      <c r="P39" s="12"/>
      <c r="Q39" s="12"/>
      <c r="R39" s="12"/>
      <c r="S39" s="12"/>
      <c r="T39" s="12"/>
      <c r="U39" s="12"/>
      <c r="V39" s="12"/>
      <c r="W39" s="12"/>
      <c r="X39" s="12"/>
      <c r="Y39" s="12"/>
      <c r="Z39" s="12"/>
    </row>
    <row r="40" spans="1:26" ht="14.25" customHeight="1">
      <c r="A40" s="12"/>
      <c r="B40" s="12"/>
      <c r="G40" s="12"/>
      <c r="H40" s="40"/>
      <c r="I40" s="12"/>
      <c r="J40" s="12"/>
      <c r="K40" s="12"/>
      <c r="L40" s="12"/>
      <c r="M40" s="12"/>
      <c r="N40" s="12"/>
      <c r="O40" s="12"/>
      <c r="P40" s="12"/>
      <c r="Q40" s="12"/>
      <c r="R40" s="12"/>
      <c r="S40" s="12"/>
      <c r="T40" s="12"/>
      <c r="U40" s="12"/>
      <c r="V40" s="12"/>
      <c r="W40" s="12"/>
      <c r="X40" s="12"/>
      <c r="Y40" s="12"/>
      <c r="Z40" s="12"/>
    </row>
    <row r="41" spans="1:26" ht="14.25" hidden="1" customHeight="1" outlineLevel="1" collapsed="1">
      <c r="A41" s="12"/>
      <c r="B41" s="12"/>
      <c r="G41" s="12"/>
      <c r="H41" s="40"/>
      <c r="I41" s="12"/>
      <c r="J41" s="12"/>
      <c r="K41" s="12"/>
      <c r="L41" s="12"/>
      <c r="M41" s="12"/>
      <c r="N41" s="12"/>
      <c r="O41" s="12"/>
      <c r="P41" s="12"/>
      <c r="Q41" s="12"/>
      <c r="R41" s="12"/>
      <c r="S41" s="12"/>
      <c r="T41" s="12"/>
      <c r="U41" s="12"/>
      <c r="V41" s="12"/>
      <c r="W41" s="12"/>
      <c r="X41" s="12"/>
      <c r="Y41" s="12"/>
      <c r="Z41" s="12"/>
    </row>
    <row r="42" spans="1:26" ht="14.25" hidden="1" customHeight="1" outlineLevel="1" collapsed="1">
      <c r="A42" s="51" t="s">
        <v>1</v>
      </c>
      <c r="B42" s="51"/>
      <c r="C42" s="52"/>
      <c r="D42" s="53"/>
      <c r="E42" s="53"/>
      <c r="F42" s="54"/>
      <c r="G42" s="12"/>
      <c r="H42" s="40"/>
      <c r="I42" s="12"/>
      <c r="J42" s="12"/>
      <c r="K42" s="12"/>
      <c r="L42" s="12"/>
      <c r="M42" s="12"/>
      <c r="N42" s="12"/>
      <c r="O42" s="12"/>
      <c r="P42" s="12"/>
      <c r="Q42" s="12"/>
      <c r="R42" s="12"/>
      <c r="S42" s="12"/>
      <c r="T42" s="12"/>
      <c r="U42" s="12"/>
      <c r="V42" s="12"/>
      <c r="W42" s="12"/>
      <c r="X42" s="12"/>
      <c r="Y42" s="12"/>
      <c r="Z42" s="12"/>
    </row>
    <row r="43" spans="1:26" ht="14.25" hidden="1" customHeight="1" outlineLevel="1" collapsed="1">
      <c r="A43" s="51"/>
      <c r="B43" s="51"/>
      <c r="C43" s="55" t="s">
        <v>60</v>
      </c>
      <c r="D43" s="56"/>
      <c r="E43" s="56"/>
      <c r="F43" s="57"/>
      <c r="G43" s="12"/>
      <c r="H43" s="40"/>
      <c r="I43" s="55" t="s">
        <v>61</v>
      </c>
      <c r="J43" s="56"/>
      <c r="K43" s="56"/>
      <c r="L43" s="57"/>
      <c r="M43" s="12"/>
      <c r="N43" s="12"/>
      <c r="O43" s="12"/>
      <c r="P43" s="12"/>
      <c r="Q43" s="12"/>
      <c r="R43" s="12"/>
      <c r="S43" s="12"/>
      <c r="T43" s="12"/>
      <c r="U43" s="12"/>
      <c r="V43" s="12"/>
      <c r="W43" s="12"/>
      <c r="X43" s="12"/>
      <c r="Y43" s="12"/>
      <c r="Z43" s="12"/>
    </row>
    <row r="44" spans="1:26" ht="14.25" hidden="1" customHeight="1" outlineLevel="1" collapsed="1">
      <c r="A44" s="51"/>
      <c r="B44" s="51"/>
      <c r="C44" s="860" t="s">
        <v>62</v>
      </c>
      <c r="D44" s="861"/>
      <c r="E44" s="861"/>
      <c r="F44" s="862"/>
      <c r="G44" s="12"/>
      <c r="H44" s="40"/>
      <c r="I44" s="58" t="s">
        <v>63</v>
      </c>
      <c r="J44" s="59" t="s">
        <v>64</v>
      </c>
      <c r="K44" s="59" t="s">
        <v>65</v>
      </c>
      <c r="L44" s="60" t="s">
        <v>66</v>
      </c>
      <c r="M44" s="12"/>
      <c r="N44" s="12"/>
      <c r="O44" s="12"/>
      <c r="P44" s="12"/>
      <c r="Q44" s="12"/>
      <c r="R44" s="12"/>
      <c r="S44" s="12"/>
      <c r="T44" s="12"/>
      <c r="U44" s="12"/>
      <c r="V44" s="12"/>
      <c r="W44" s="12"/>
      <c r="X44" s="12"/>
      <c r="Y44" s="12"/>
      <c r="Z44" s="12"/>
    </row>
    <row r="45" spans="1:26" ht="14.25" hidden="1" customHeight="1" outlineLevel="1" collapsed="1">
      <c r="A45" s="51"/>
      <c r="B45" s="51"/>
      <c r="C45" s="863" t="s">
        <v>67</v>
      </c>
      <c r="D45" s="861"/>
      <c r="E45" s="861"/>
      <c r="F45" s="862"/>
      <c r="G45" s="12"/>
      <c r="H45" s="40"/>
      <c r="I45" s="61" t="s">
        <v>68</v>
      </c>
      <c r="J45" s="62" t="s">
        <v>69</v>
      </c>
      <c r="K45" s="62" t="s">
        <v>70</v>
      </c>
      <c r="L45" s="63">
        <v>1000000</v>
      </c>
      <c r="M45" s="12"/>
      <c r="N45" s="12"/>
      <c r="O45" s="12"/>
      <c r="P45" s="12"/>
      <c r="Q45" s="12"/>
      <c r="R45" s="13"/>
      <c r="S45" s="12"/>
      <c r="T45" s="12"/>
      <c r="U45" s="12"/>
      <c r="V45" s="12"/>
      <c r="W45" s="12"/>
      <c r="X45" s="12"/>
      <c r="Y45" s="12"/>
      <c r="Z45" s="12"/>
    </row>
    <row r="46" spans="1:26" ht="14.25" hidden="1" customHeight="1" outlineLevel="1" collapsed="1">
      <c r="A46" s="51"/>
      <c r="B46" s="51"/>
      <c r="C46" s="864" t="s">
        <v>71</v>
      </c>
      <c r="D46" s="861"/>
      <c r="E46" s="861"/>
      <c r="F46" s="862"/>
      <c r="G46" s="12"/>
      <c r="H46" s="40"/>
      <c r="I46" s="64" t="s">
        <v>72</v>
      </c>
      <c r="J46" s="53" t="s">
        <v>69</v>
      </c>
      <c r="K46" s="53" t="s">
        <v>73</v>
      </c>
      <c r="L46" s="65">
        <v>1000</v>
      </c>
      <c r="M46" s="12"/>
      <c r="N46" s="12"/>
      <c r="O46" s="12"/>
      <c r="P46" s="12"/>
      <c r="Q46" s="12"/>
      <c r="R46" s="12"/>
      <c r="S46" s="12"/>
      <c r="T46" s="12"/>
      <c r="U46" s="12"/>
      <c r="V46" s="12"/>
      <c r="W46" s="12"/>
      <c r="X46" s="12"/>
      <c r="Y46" s="12"/>
      <c r="Z46" s="12"/>
    </row>
    <row r="47" spans="1:26" ht="14.25" hidden="1" customHeight="1" outlineLevel="1" collapsed="1">
      <c r="A47" s="51"/>
      <c r="B47" s="51"/>
      <c r="C47" s="865" t="s">
        <v>74</v>
      </c>
      <c r="D47" s="866"/>
      <c r="E47" s="866"/>
      <c r="F47" s="867"/>
      <c r="G47" s="12"/>
      <c r="H47" s="40"/>
      <c r="I47" s="66" t="s">
        <v>75</v>
      </c>
      <c r="J47" s="67" t="s">
        <v>69</v>
      </c>
      <c r="K47" s="67" t="s">
        <v>76</v>
      </c>
      <c r="L47" s="68">
        <v>100</v>
      </c>
      <c r="M47" s="12"/>
      <c r="N47" s="12"/>
      <c r="O47" s="12"/>
      <c r="P47" s="12"/>
      <c r="Q47" s="12"/>
      <c r="R47" s="12"/>
      <c r="S47" s="12"/>
      <c r="T47" s="12"/>
      <c r="U47" s="12"/>
      <c r="V47" s="12"/>
      <c r="W47" s="12"/>
      <c r="X47" s="12"/>
      <c r="Y47" s="12"/>
      <c r="Z47" s="12"/>
    </row>
    <row r="48" spans="1:26" ht="13.5" hidden="1" customHeight="1" outlineLevel="1" collapsed="1">
      <c r="A48" s="51" t="s">
        <v>1</v>
      </c>
      <c r="B48" s="12"/>
      <c r="C48" s="12"/>
      <c r="D48" s="69"/>
      <c r="E48" s="69"/>
      <c r="F48" s="70"/>
      <c r="G48" s="12"/>
      <c r="H48" s="12"/>
      <c r="I48" s="12"/>
      <c r="J48" s="12"/>
      <c r="K48" s="12"/>
      <c r="L48" s="12"/>
      <c r="M48" s="12"/>
      <c r="N48" s="41"/>
      <c r="O48" s="41"/>
      <c r="P48" s="41"/>
      <c r="Q48" s="12"/>
      <c r="R48" s="12"/>
      <c r="S48" s="12"/>
      <c r="T48" s="12"/>
      <c r="U48" s="12"/>
      <c r="V48" s="12"/>
      <c r="W48" s="12"/>
      <c r="X48" s="12"/>
      <c r="Y48" s="12"/>
      <c r="Z48" s="12"/>
    </row>
    <row r="49" spans="1:26" ht="13.5" hidden="1" customHeight="1" outlineLevel="1" collapsed="1">
      <c r="A49" s="51"/>
      <c r="B49" s="12"/>
      <c r="C49" s="55" t="s">
        <v>77</v>
      </c>
      <c r="D49" s="56"/>
      <c r="E49" s="56"/>
      <c r="F49" s="57"/>
      <c r="G49" s="12"/>
      <c r="H49" s="12"/>
      <c r="I49" s="12"/>
      <c r="J49" s="12"/>
      <c r="K49" s="12"/>
      <c r="L49" s="12"/>
      <c r="M49" s="12"/>
      <c r="N49" s="12"/>
      <c r="O49" s="12"/>
      <c r="P49" s="12"/>
      <c r="Q49" s="12"/>
      <c r="R49" s="12"/>
      <c r="S49" s="12"/>
      <c r="T49" s="12"/>
      <c r="U49" s="12"/>
      <c r="V49" s="12"/>
      <c r="W49" s="12"/>
      <c r="X49" s="12"/>
      <c r="Y49" s="12"/>
      <c r="Z49" s="12"/>
    </row>
    <row r="50" spans="1:26" ht="13.5" hidden="1" customHeight="1" outlineLevel="1" collapsed="1">
      <c r="A50" s="51"/>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hidden="1" customHeight="1" outlineLevel="1" collapsed="1">
      <c r="A51" s="51"/>
      <c r="B51" s="12"/>
      <c r="C51" s="868" t="s">
        <v>34</v>
      </c>
      <c r="D51" s="869"/>
      <c r="E51" s="12"/>
      <c r="F51" s="12"/>
      <c r="G51" s="12"/>
      <c r="H51" s="12"/>
      <c r="I51" s="12"/>
      <c r="J51" s="12"/>
      <c r="K51" s="12"/>
      <c r="L51" s="12"/>
      <c r="M51" s="12"/>
      <c r="N51" s="12"/>
      <c r="O51" s="12"/>
      <c r="P51" s="12"/>
      <c r="Q51" s="12"/>
      <c r="R51" s="12"/>
      <c r="S51" s="12"/>
      <c r="T51" s="12"/>
      <c r="U51" s="12"/>
      <c r="V51" s="12"/>
      <c r="W51" s="12"/>
      <c r="X51" s="12"/>
      <c r="Y51" s="12"/>
      <c r="Z51" s="12"/>
    </row>
    <row r="52" spans="1:26" ht="13.5" hidden="1" customHeight="1" outlineLevel="1" collapsed="1">
      <c r="A52" s="51"/>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hidden="1" customHeight="1" outlineLevel="1" collapsed="1">
      <c r="A53" s="51"/>
      <c r="B53" s="12"/>
      <c r="C53" s="870" t="s">
        <v>42</v>
      </c>
      <c r="D53" s="869"/>
      <c r="E53" s="12"/>
      <c r="F53" s="12"/>
      <c r="G53" s="12"/>
      <c r="H53" s="12"/>
      <c r="I53" s="12"/>
      <c r="J53" s="12"/>
      <c r="K53" s="12"/>
      <c r="L53" s="12"/>
      <c r="M53" s="12"/>
      <c r="N53" s="12"/>
      <c r="O53" s="12"/>
      <c r="P53" s="12"/>
      <c r="Q53" s="12"/>
      <c r="R53" s="12"/>
      <c r="S53" s="12"/>
      <c r="T53" s="12"/>
      <c r="U53" s="12"/>
      <c r="V53" s="12"/>
      <c r="W53" s="12"/>
      <c r="X53" s="12"/>
      <c r="Y53" s="12"/>
      <c r="Z53" s="12"/>
    </row>
    <row r="54" spans="1:26" ht="13.5" hidden="1" customHeight="1" outlineLevel="1" collapsed="1">
      <c r="A54" s="51" t="s">
        <v>1</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hidden="1" customHeight="1" outlineLevel="1" collapsed="1">
      <c r="A55" s="51"/>
      <c r="B55" s="12"/>
      <c r="C55" s="871" t="s">
        <v>78</v>
      </c>
      <c r="D55" s="869"/>
      <c r="E55" s="12"/>
      <c r="F55" s="12"/>
      <c r="G55" s="12"/>
      <c r="H55" s="12"/>
      <c r="I55" s="12"/>
      <c r="J55" s="12"/>
      <c r="K55" s="12"/>
      <c r="L55" s="12"/>
      <c r="M55" s="12"/>
      <c r="N55" s="12"/>
      <c r="O55" s="12"/>
      <c r="P55" s="12"/>
      <c r="Q55" s="12"/>
      <c r="R55" s="12"/>
      <c r="S55" s="12"/>
      <c r="T55" s="12"/>
      <c r="U55" s="12"/>
      <c r="V55" s="12"/>
      <c r="W55" s="12"/>
      <c r="X55" s="12"/>
      <c r="Y55" s="12"/>
      <c r="Z55" s="12"/>
    </row>
    <row r="56" spans="1:26" ht="13.5" hidden="1" customHeight="1" outlineLevel="1" collapsed="1">
      <c r="A56" s="51"/>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hidden="1" customHeight="1" outlineLevel="1" collapsed="1">
      <c r="A57" s="51"/>
      <c r="B57" s="12"/>
      <c r="C57" s="872" t="s">
        <v>49</v>
      </c>
      <c r="D57" s="869"/>
      <c r="E57" s="12"/>
      <c r="F57" s="12"/>
      <c r="G57" s="12"/>
      <c r="H57" s="12"/>
      <c r="I57" s="12"/>
      <c r="J57" s="12"/>
      <c r="K57" s="12"/>
      <c r="L57" s="12"/>
      <c r="M57" s="12"/>
      <c r="N57" s="12"/>
      <c r="O57" s="12"/>
      <c r="P57" s="12"/>
      <c r="Q57" s="12"/>
      <c r="R57" s="12"/>
      <c r="S57" s="12"/>
      <c r="T57" s="12"/>
      <c r="U57" s="12"/>
      <c r="V57" s="12"/>
      <c r="W57" s="12"/>
      <c r="X57" s="12"/>
      <c r="Y57" s="12"/>
      <c r="Z57" s="12"/>
    </row>
    <row r="58" spans="1:26" ht="13.5" hidden="1" customHeight="1" outlineLevel="1" collapsed="1">
      <c r="A58" s="51"/>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hidden="1" customHeight="1" outlineLevel="1" collapsed="1">
      <c r="A59" s="51"/>
      <c r="B59" s="12"/>
      <c r="C59" s="873" t="s">
        <v>79</v>
      </c>
      <c r="D59" s="869"/>
      <c r="E59" s="12"/>
      <c r="F59" s="12"/>
      <c r="G59" s="12"/>
      <c r="H59" s="12"/>
      <c r="I59" s="12"/>
      <c r="J59" s="12"/>
      <c r="K59" s="12"/>
      <c r="L59" s="12"/>
      <c r="M59" s="12"/>
      <c r="N59" s="12"/>
      <c r="O59" s="12"/>
      <c r="P59" s="12"/>
      <c r="Q59" s="12"/>
      <c r="R59" s="12"/>
      <c r="S59" s="12"/>
      <c r="T59" s="12"/>
      <c r="U59" s="12"/>
      <c r="V59" s="12"/>
      <c r="W59" s="12"/>
      <c r="X59" s="12"/>
      <c r="Y59" s="12"/>
      <c r="Z59" s="12"/>
    </row>
    <row r="60" spans="1:26" ht="13.5" hidden="1" customHeight="1" outlineLevel="1" collapsed="1">
      <c r="A60" s="51"/>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hidden="1" customHeight="1" outlineLevel="1" collapsed="1">
      <c r="A61" s="51"/>
      <c r="B61" s="12"/>
      <c r="C61" s="874" t="s">
        <v>80</v>
      </c>
      <c r="D61" s="858"/>
      <c r="E61" s="858"/>
      <c r="F61" s="854"/>
      <c r="G61" s="12"/>
      <c r="H61" s="12"/>
      <c r="I61" s="12"/>
      <c r="J61" s="12"/>
      <c r="K61" s="12"/>
      <c r="L61" s="12"/>
      <c r="M61" s="12"/>
      <c r="N61" s="12"/>
      <c r="O61" s="12"/>
      <c r="P61" s="12"/>
      <c r="Q61" s="12"/>
      <c r="R61" s="12"/>
      <c r="S61" s="12"/>
      <c r="T61" s="12"/>
      <c r="U61" s="12"/>
      <c r="V61" s="12"/>
      <c r="W61" s="12"/>
      <c r="X61" s="12"/>
      <c r="Y61" s="12"/>
      <c r="Z61" s="12"/>
    </row>
    <row r="62" spans="1:26" ht="13.5" hidden="1" customHeight="1" outlineLevel="1" collapsed="1">
      <c r="A62" s="51"/>
      <c r="B62" s="12"/>
      <c r="C62" s="71"/>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hidden="1" customHeight="1" outlineLevel="1" collapsed="1">
      <c r="A63" s="51"/>
      <c r="B63" s="12"/>
      <c r="C63" s="875" t="s">
        <v>81</v>
      </c>
      <c r="D63" s="869"/>
      <c r="E63" s="12"/>
      <c r="F63" s="72" t="s">
        <v>82</v>
      </c>
      <c r="G63" s="12"/>
      <c r="H63" s="12"/>
      <c r="I63" s="12"/>
      <c r="J63" s="12"/>
      <c r="K63" s="12"/>
      <c r="L63" s="12"/>
      <c r="M63" s="12"/>
      <c r="N63" s="12"/>
      <c r="O63" s="12"/>
      <c r="P63" s="12"/>
      <c r="Q63" s="12"/>
      <c r="R63" s="12"/>
      <c r="S63" s="12"/>
      <c r="T63" s="12"/>
      <c r="U63" s="12"/>
      <c r="V63" s="12"/>
      <c r="W63" s="12"/>
      <c r="X63" s="12"/>
      <c r="Y63" s="12"/>
      <c r="Z63" s="12"/>
    </row>
    <row r="64" spans="1:26" ht="13.5" hidden="1" customHeight="1" outlineLevel="1" collapsed="1">
      <c r="A64" s="51"/>
      <c r="B64" s="12"/>
      <c r="C64" s="73"/>
      <c r="D64" s="12"/>
      <c r="E64" s="12"/>
      <c r="F64" s="74"/>
      <c r="G64" s="12"/>
      <c r="H64" s="12"/>
      <c r="I64" s="12"/>
      <c r="J64" s="12"/>
      <c r="K64" s="12"/>
      <c r="L64" s="12"/>
      <c r="M64" s="12"/>
      <c r="N64" s="12"/>
      <c r="O64" s="12"/>
      <c r="P64" s="12"/>
      <c r="Q64" s="12"/>
      <c r="R64" s="12"/>
      <c r="S64" s="12"/>
      <c r="T64" s="12"/>
      <c r="U64" s="12"/>
      <c r="V64" s="12"/>
      <c r="W64" s="12"/>
      <c r="X64" s="12"/>
      <c r="Y64" s="12"/>
      <c r="Z64" s="12"/>
    </row>
    <row r="65" spans="1:26" ht="13.5" hidden="1" customHeight="1" outlineLevel="1" collapsed="1">
      <c r="A65" s="51"/>
      <c r="B65" s="12"/>
      <c r="C65" s="868" t="s">
        <v>83</v>
      </c>
      <c r="D65" s="869"/>
      <c r="E65" s="12"/>
      <c r="F65" s="72" t="s">
        <v>84</v>
      </c>
      <c r="G65" s="12"/>
      <c r="H65" s="12"/>
      <c r="I65" s="12"/>
      <c r="J65" s="12"/>
      <c r="K65" s="12"/>
      <c r="L65" s="12"/>
      <c r="M65" s="12"/>
      <c r="N65" s="12"/>
      <c r="O65" s="12"/>
      <c r="P65" s="12"/>
      <c r="Q65" s="12"/>
      <c r="R65" s="12"/>
      <c r="S65" s="12"/>
      <c r="T65" s="12"/>
      <c r="U65" s="12"/>
      <c r="V65" s="12"/>
      <c r="W65" s="12"/>
      <c r="X65" s="12"/>
      <c r="Y65" s="12"/>
      <c r="Z65" s="12"/>
    </row>
    <row r="66" spans="1:26" ht="13.5" hidden="1" customHeight="1" outlineLevel="1" collapsed="1">
      <c r="A66" s="51"/>
      <c r="B66" s="12"/>
      <c r="C66" s="73"/>
      <c r="D66" s="12"/>
      <c r="E66" s="12"/>
      <c r="F66" s="74"/>
      <c r="G66" s="12"/>
      <c r="H66" s="12"/>
      <c r="I66" s="12"/>
      <c r="J66" s="12"/>
      <c r="K66" s="12"/>
      <c r="L66" s="12"/>
      <c r="M66" s="12"/>
      <c r="N66" s="12"/>
      <c r="O66" s="12"/>
      <c r="P66" s="12"/>
      <c r="Q66" s="12"/>
      <c r="R66" s="12"/>
      <c r="S66" s="12"/>
      <c r="T66" s="12"/>
      <c r="U66" s="12"/>
      <c r="V66" s="12"/>
      <c r="W66" s="12"/>
      <c r="X66" s="12"/>
      <c r="Y66" s="12"/>
      <c r="Z66" s="12"/>
    </row>
    <row r="67" spans="1:26" ht="13.5" hidden="1" customHeight="1" outlineLevel="1" collapsed="1">
      <c r="A67" s="51"/>
      <c r="B67" s="12"/>
      <c r="C67" s="876" t="s">
        <v>85</v>
      </c>
      <c r="D67" s="869"/>
      <c r="E67" s="12"/>
      <c r="F67" s="72" t="s">
        <v>86</v>
      </c>
      <c r="G67" s="12"/>
      <c r="H67" s="12"/>
      <c r="I67" s="12"/>
      <c r="J67" s="12"/>
      <c r="K67" s="12"/>
      <c r="L67" s="12"/>
      <c r="M67" s="12"/>
      <c r="N67" s="12"/>
      <c r="O67" s="12"/>
      <c r="P67" s="12"/>
      <c r="Q67" s="12"/>
      <c r="R67" s="12"/>
      <c r="S67" s="12"/>
      <c r="T67" s="12"/>
      <c r="U67" s="12"/>
      <c r="V67" s="12"/>
      <c r="W67" s="12"/>
      <c r="X67" s="12"/>
      <c r="Y67" s="12"/>
      <c r="Z67" s="12"/>
    </row>
    <row r="68" spans="1:26" ht="13.5" hidden="1" customHeight="1" outlineLevel="1" collapsed="1">
      <c r="A68" s="51"/>
      <c r="B68" s="12"/>
      <c r="C68" s="74"/>
      <c r="D68" s="12"/>
      <c r="E68" s="12"/>
      <c r="F68" s="74"/>
      <c r="G68" s="12"/>
      <c r="H68" s="12"/>
      <c r="I68" s="12"/>
      <c r="J68" s="12"/>
      <c r="K68" s="12"/>
      <c r="L68" s="12"/>
      <c r="M68" s="12"/>
      <c r="N68" s="12"/>
      <c r="O68" s="12"/>
      <c r="P68" s="12"/>
      <c r="Q68" s="12"/>
      <c r="R68" s="12"/>
      <c r="S68" s="12"/>
      <c r="T68" s="12"/>
      <c r="U68" s="12"/>
      <c r="V68" s="12"/>
      <c r="W68" s="12"/>
      <c r="X68" s="12"/>
      <c r="Y68" s="12"/>
      <c r="Z68" s="12"/>
    </row>
    <row r="69" spans="1:26" ht="13.5" hidden="1" customHeight="1" outlineLevel="1" collapsed="1">
      <c r="A69" s="51"/>
      <c r="B69" s="12"/>
      <c r="C69" s="877" t="s">
        <v>87</v>
      </c>
      <c r="D69" s="869"/>
      <c r="E69" s="12"/>
      <c r="F69" s="72" t="s">
        <v>88</v>
      </c>
      <c r="G69" s="12"/>
      <c r="H69" s="12"/>
      <c r="I69" s="12"/>
      <c r="J69" s="12"/>
      <c r="K69" s="12"/>
      <c r="L69" s="12"/>
      <c r="M69" s="12"/>
      <c r="N69" s="12"/>
      <c r="O69" s="12"/>
      <c r="P69" s="12"/>
      <c r="Q69" s="12"/>
      <c r="R69" s="12"/>
      <c r="S69" s="12"/>
      <c r="T69" s="12"/>
      <c r="U69" s="12"/>
      <c r="V69" s="12"/>
      <c r="W69" s="12"/>
      <c r="X69" s="12"/>
      <c r="Y69" s="12"/>
      <c r="Z69" s="12"/>
    </row>
    <row r="70" spans="1:26" ht="13.5" hidden="1" customHeight="1" outlineLevel="1" collapsed="1">
      <c r="A70" s="51"/>
      <c r="B70" s="12"/>
      <c r="C70" s="75"/>
      <c r="D70" s="12"/>
      <c r="E70" s="12"/>
      <c r="F70" s="75"/>
      <c r="G70" s="12"/>
      <c r="H70" s="12"/>
      <c r="I70" s="12"/>
      <c r="J70" s="12"/>
      <c r="K70" s="12"/>
      <c r="L70" s="12"/>
      <c r="M70" s="12"/>
      <c r="N70" s="12"/>
      <c r="O70" s="12"/>
      <c r="P70" s="12"/>
      <c r="Q70" s="12"/>
      <c r="R70" s="12"/>
      <c r="S70" s="12"/>
      <c r="T70" s="12"/>
      <c r="U70" s="12"/>
      <c r="V70" s="12"/>
      <c r="W70" s="12"/>
      <c r="X70" s="12"/>
      <c r="Y70" s="12"/>
      <c r="Z70" s="12"/>
    </row>
    <row r="71" spans="1:26" ht="13.5" hidden="1" customHeight="1" outlineLevel="1" collapsed="1">
      <c r="A71" s="51"/>
      <c r="B71" s="12"/>
      <c r="C71" s="872" t="s">
        <v>89</v>
      </c>
      <c r="D71" s="869"/>
      <c r="E71" s="12"/>
      <c r="F71" s="72" t="s">
        <v>90</v>
      </c>
      <c r="G71" s="12"/>
      <c r="H71" s="12"/>
      <c r="I71" s="12"/>
      <c r="J71" s="12"/>
      <c r="K71" s="12"/>
      <c r="L71" s="12"/>
      <c r="M71" s="12"/>
      <c r="N71" s="12"/>
      <c r="O71" s="12"/>
      <c r="P71" s="12"/>
      <c r="Q71" s="12"/>
      <c r="R71" s="12"/>
      <c r="S71" s="12"/>
      <c r="T71" s="12"/>
      <c r="U71" s="12"/>
      <c r="V71" s="12"/>
      <c r="W71" s="12"/>
      <c r="X71" s="12"/>
      <c r="Y71" s="12"/>
      <c r="Z71" s="12"/>
    </row>
    <row r="72" spans="1:26" ht="13.5" hidden="1" customHeight="1" outlineLevel="1" collapsed="1">
      <c r="A72" s="51"/>
      <c r="B72" s="12"/>
      <c r="C72" s="75"/>
      <c r="D72" s="12"/>
      <c r="E72" s="12"/>
      <c r="F72" s="75"/>
      <c r="G72" s="12"/>
      <c r="H72" s="12"/>
      <c r="I72" s="12"/>
      <c r="J72" s="12"/>
      <c r="K72" s="12"/>
      <c r="L72" s="12"/>
      <c r="M72" s="12"/>
      <c r="N72" s="12"/>
      <c r="O72" s="12"/>
      <c r="P72" s="12"/>
      <c r="Q72" s="12"/>
      <c r="R72" s="12"/>
      <c r="S72" s="12"/>
      <c r="T72" s="12"/>
      <c r="U72" s="12"/>
      <c r="V72" s="12"/>
      <c r="W72" s="12"/>
      <c r="X72" s="12"/>
      <c r="Y72" s="12"/>
      <c r="Z72" s="12"/>
    </row>
    <row r="73" spans="1:26" ht="13.5" hidden="1" customHeight="1" outlineLevel="1" collapsed="1">
      <c r="A73" s="51"/>
      <c r="B73" s="12"/>
      <c r="C73" s="878" t="s">
        <v>91</v>
      </c>
      <c r="D73" s="869"/>
      <c r="E73" s="12"/>
      <c r="F73" s="72" t="s">
        <v>92</v>
      </c>
      <c r="G73" s="12"/>
      <c r="H73" s="12"/>
      <c r="I73" s="12"/>
      <c r="J73" s="12"/>
      <c r="K73" s="12"/>
      <c r="L73" s="12"/>
      <c r="M73" s="12"/>
      <c r="N73" s="12"/>
      <c r="O73" s="12"/>
      <c r="P73" s="12"/>
      <c r="Q73" s="12"/>
      <c r="R73" s="12"/>
      <c r="S73" s="12"/>
      <c r="T73" s="12"/>
      <c r="U73" s="12"/>
      <c r="V73" s="12"/>
      <c r="W73" s="12"/>
      <c r="X73" s="12"/>
      <c r="Y73" s="12"/>
      <c r="Z73" s="12"/>
    </row>
    <row r="74" spans="1:26" ht="13.5" hidden="1" customHeight="1" outlineLevel="1" collapsed="1">
      <c r="A74" s="51"/>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hidden="1" customHeight="1" outlineLevel="1" collapsed="1">
      <c r="A75" s="51"/>
      <c r="B75" s="12"/>
      <c r="C75" s="871" t="s">
        <v>93</v>
      </c>
      <c r="D75" s="869"/>
      <c r="E75" s="12"/>
      <c r="F75" s="72" t="s">
        <v>94</v>
      </c>
      <c r="G75" s="12"/>
      <c r="H75" s="12"/>
      <c r="I75" s="12"/>
      <c r="J75" s="12"/>
      <c r="K75" s="12"/>
      <c r="L75" s="12"/>
      <c r="M75" s="12"/>
      <c r="N75" s="12"/>
      <c r="O75" s="12"/>
      <c r="P75" s="12"/>
      <c r="Q75" s="12"/>
      <c r="R75" s="12"/>
      <c r="S75" s="12"/>
      <c r="T75" s="12"/>
      <c r="U75" s="12"/>
      <c r="V75" s="12"/>
      <c r="W75" s="12"/>
      <c r="X75" s="12"/>
      <c r="Y75" s="12"/>
      <c r="Z75" s="12"/>
    </row>
    <row r="76" spans="1:26" ht="13.5" hidden="1" customHeight="1" outlineLevel="1" collapsed="1">
      <c r="A76" s="51"/>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hidden="1" customHeight="1" outlineLevel="1" collapsed="1">
      <c r="A77" s="51"/>
      <c r="B77" s="12"/>
      <c r="C77" s="879" t="s">
        <v>95</v>
      </c>
      <c r="D77" s="869"/>
      <c r="E77" s="12"/>
      <c r="F77" s="72" t="s">
        <v>96</v>
      </c>
      <c r="G77" s="12"/>
      <c r="H77" s="12"/>
      <c r="I77" s="12"/>
      <c r="J77" s="12"/>
      <c r="K77" s="12"/>
      <c r="L77" s="12"/>
      <c r="M77" s="12"/>
      <c r="N77" s="12"/>
      <c r="O77" s="12"/>
      <c r="P77" s="12"/>
      <c r="Q77" s="12"/>
      <c r="R77" s="12"/>
      <c r="S77" s="12"/>
      <c r="T77" s="12"/>
      <c r="U77" s="12"/>
      <c r="V77" s="12"/>
      <c r="W77" s="12"/>
      <c r="X77" s="12"/>
      <c r="Y77" s="12"/>
      <c r="Z77" s="12"/>
    </row>
    <row r="78" spans="1:26" ht="13.5" hidden="1" customHeight="1" outlineLevel="1" collapsed="1">
      <c r="A78" s="51"/>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hidden="1" customHeight="1" outlineLevel="1" collapsed="1">
      <c r="A79" s="51"/>
      <c r="B79" s="12"/>
      <c r="C79" s="880" t="s">
        <v>97</v>
      </c>
      <c r="D79" s="869"/>
      <c r="E79" s="12"/>
      <c r="F79" s="72" t="s">
        <v>98</v>
      </c>
      <c r="G79" s="12"/>
      <c r="H79" s="12"/>
      <c r="I79" s="12"/>
      <c r="J79" s="12"/>
      <c r="K79" s="12"/>
      <c r="L79" s="12"/>
      <c r="M79" s="12"/>
      <c r="N79" s="12"/>
      <c r="O79" s="12"/>
      <c r="P79" s="12"/>
      <c r="Q79" s="12"/>
      <c r="R79" s="12"/>
      <c r="S79" s="12"/>
      <c r="T79" s="12"/>
      <c r="U79" s="12"/>
      <c r="V79" s="12"/>
      <c r="W79" s="12"/>
      <c r="X79" s="12"/>
      <c r="Y79" s="12"/>
      <c r="Z79" s="12"/>
    </row>
    <row r="80" spans="1:26" ht="13.5" hidden="1" customHeight="1" outlineLevel="1" collapsed="1">
      <c r="A80" s="51"/>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hidden="1" customHeight="1" outlineLevel="1" collapsed="1">
      <c r="A81" s="51"/>
      <c r="B81" s="12"/>
      <c r="C81" s="881" t="s">
        <v>99</v>
      </c>
      <c r="D81" s="869"/>
      <c r="E81" s="12"/>
      <c r="F81" s="72" t="s">
        <v>100</v>
      </c>
      <c r="G81" s="12"/>
      <c r="H81" s="12"/>
      <c r="I81" s="12"/>
      <c r="J81" s="12"/>
      <c r="K81" s="12"/>
      <c r="L81" s="12"/>
      <c r="M81" s="12"/>
      <c r="N81" s="12"/>
      <c r="O81" s="12"/>
      <c r="P81" s="12"/>
      <c r="Q81" s="12"/>
      <c r="R81" s="12"/>
      <c r="S81" s="12"/>
      <c r="T81" s="12"/>
      <c r="U81" s="12"/>
      <c r="V81" s="12"/>
      <c r="W81" s="12"/>
      <c r="X81" s="12"/>
      <c r="Y81" s="12"/>
      <c r="Z81" s="12"/>
    </row>
    <row r="82" spans="1:26" ht="13.5" hidden="1" customHeight="1" outlineLevel="1" collapsed="1">
      <c r="A82" s="51"/>
      <c r="B82" s="12"/>
      <c r="C82" s="12"/>
      <c r="D82" s="12"/>
      <c r="E82" s="12"/>
      <c r="F82" s="12"/>
      <c r="G82" s="12"/>
      <c r="H82" s="12"/>
      <c r="I82" s="4"/>
      <c r="J82" s="4"/>
      <c r="K82" s="4"/>
      <c r="L82" s="4"/>
      <c r="M82" s="4"/>
      <c r="N82" s="4"/>
      <c r="O82" s="4"/>
      <c r="P82" s="4"/>
      <c r="Q82" s="4"/>
      <c r="R82" s="4"/>
      <c r="S82" s="4"/>
      <c r="T82" s="4"/>
      <c r="U82" s="4"/>
      <c r="V82" s="4"/>
      <c r="W82" s="4"/>
      <c r="X82" s="4"/>
      <c r="Y82" s="4"/>
      <c r="Z82" s="4"/>
    </row>
    <row r="83" spans="1:26" ht="13.5" customHeight="1">
      <c r="A83" s="51" t="s">
        <v>1</v>
      </c>
      <c r="B83" s="51" t="s">
        <v>1</v>
      </c>
      <c r="C83" s="76" t="s">
        <v>101</v>
      </c>
      <c r="D83" s="77"/>
      <c r="E83" s="77"/>
      <c r="F83" s="77"/>
      <c r="G83" s="77"/>
      <c r="H83" s="77"/>
      <c r="I83" s="77"/>
      <c r="J83" s="77"/>
      <c r="K83" s="77"/>
      <c r="L83" s="77"/>
      <c r="M83" s="77"/>
      <c r="N83" s="77"/>
      <c r="O83" s="77"/>
      <c r="P83" s="78"/>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45" priority="1">
      <formula>$Q$2="Report"</formula>
    </cfRule>
  </conditionalFormatting>
  <conditionalFormatting sqref="F37">
    <cfRule type="expression" dxfId="144" priority="2">
      <formula>$Q$2="Report"</formula>
    </cfRule>
  </conditionalFormatting>
  <conditionalFormatting sqref="I8:L20">
    <cfRule type="expression" dxfId="143" priority="3">
      <formula>$P$2="Report"</formula>
    </cfRule>
  </conditionalFormatting>
  <conditionalFormatting sqref="I6:Q20 F19:F35">
    <cfRule type="expression" dxfId="142" priority="4">
      <formula>$Q$2="Report"</formula>
    </cfRule>
  </conditionalFormatting>
  <conditionalFormatting sqref="N8:Q8 P9:Q9 N10:O10 N11:Q11 N13:Q13 N15:Q15 N17:O17 N18:Q18 N20:Q20">
    <cfRule type="expression" dxfId="141" priority="5">
      <formula>$P$2="Report"</formula>
    </cfRule>
  </conditionalFormatting>
  <conditionalFormatting sqref="P16:Q16">
    <cfRule type="expression" dxfId="140" priority="6">
      <formula>$P$2="Report"</formula>
    </cfRule>
  </conditionalFormatting>
  <dataValidations count="5">
    <dataValidation type="list" allowBlank="1" showErrorMessage="1" sqref="C2" xr:uid="{00000000-0002-0000-0100-000000000000}">
      <formula1>"$ in Thousands Except Per Share Data,$ in Millions Except Per Share Data,$ in Billions Except Per Share Data"</formula1>
    </dataValidation>
    <dataValidation type="list" allowBlank="1" showErrorMessage="1" sqref="F22" xr:uid="{00000000-0002-0000-0100-000001000000}">
      <formula1>"Bull,Base,Bear"</formula1>
    </dataValidation>
    <dataValidation type="list" allowBlank="1" showErrorMessage="1" sqref="F26" xr:uid="{00000000-0002-0000-0100-000002000000}">
      <formula1>"1Q,2Q,3Q,4Q"</formula1>
    </dataValidation>
    <dataValidation type="list" allowBlank="1" showErrorMessage="1" sqref="F37" xr:uid="{00000000-0002-0000-0100-000003000000}">
      <formula1>"Bottom Up,Top Down"</formula1>
    </dataValidation>
    <dataValidation type="list" allowBlank="1" showErrorMessage="1" sqref="Q2" xr:uid="{00000000-0002-0000-0100-000004000000}">
      <formula1>"Working,Report"</formula1>
    </dataValidation>
  </dataValidations>
  <pageMargins left="0.7" right="0.7" top="0.75" bottom="0.75" header="0" footer="0"/>
  <pageSetup orientation="portrait" useFirstPageNumber="1" horizontalDpi="4294967295" verticalDpi="429496729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E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6" width="10.5" customWidth="1"/>
    <col min="7" max="18" width="12.6640625" hidden="1" customWidth="1" outlineLevel="1" collapsed="1"/>
    <col min="19" max="19" width="1.6640625" customWidth="1"/>
    <col min="20" max="27" width="12.6640625" customWidth="1"/>
    <col min="28" max="28" width="1.6640625" customWidth="1"/>
    <col min="29" max="29" width="10.5" customWidth="1"/>
    <col min="30" max="30" width="1.6640625" customWidth="1"/>
    <col min="31" max="31" width="10.5" customWidth="1"/>
  </cols>
  <sheetData>
    <row r="1" spans="1:31" ht="13.5" customHeight="1">
      <c r="A1" s="7"/>
      <c r="B1" s="7"/>
      <c r="C1" s="8" t="str">
        <f ca="1">Company_Name&amp;" - "&amp;MID(CELL("filename",A1),FIND("]",CELL("filename",A1))+1,255)&amp;": "&amp;Case_Scenario&amp;" Case"</f>
        <v>NETFLIX INC - Summary: Base Case</v>
      </c>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13.5" hidden="1" customHeight="1" outlineLevel="1" collapsed="1">
      <c r="A4" s="12"/>
      <c r="B4" s="12"/>
      <c r="C4" s="36" t="s">
        <v>102</v>
      </c>
      <c r="D4" s="37"/>
      <c r="E4" s="37"/>
      <c r="F4" s="37"/>
      <c r="G4" s="79"/>
      <c r="H4" s="79"/>
      <c r="I4" s="79"/>
      <c r="J4" s="37"/>
      <c r="K4" s="37"/>
      <c r="L4" s="37"/>
      <c r="M4" s="37"/>
      <c r="N4" s="79"/>
      <c r="O4" s="79"/>
      <c r="P4" s="79"/>
      <c r="Q4" s="79"/>
      <c r="R4" s="79"/>
      <c r="S4" s="37"/>
      <c r="T4" s="80">
        <f>Model!J24</f>
        <v>2023</v>
      </c>
      <c r="U4" s="80">
        <f>Model!O24</f>
        <v>2024</v>
      </c>
      <c r="V4" s="80">
        <f>Model!T24</f>
        <v>2025</v>
      </c>
      <c r="W4" s="80">
        <f>Model!Y24</f>
        <v>2026</v>
      </c>
      <c r="X4" s="80">
        <f>Model!AD24</f>
        <v>2027</v>
      </c>
      <c r="Y4" s="80">
        <f>Model!AE24</f>
        <v>2028</v>
      </c>
      <c r="Z4" s="80">
        <f>Model!AF24</f>
        <v>2029</v>
      </c>
      <c r="AA4" s="38">
        <f>Model!AG24</f>
        <v>2030</v>
      </c>
      <c r="AB4" s="12"/>
      <c r="AC4" s="12"/>
      <c r="AD4" s="12"/>
      <c r="AE4" s="12"/>
    </row>
    <row r="5" spans="1:31" ht="13.5" customHeight="1">
      <c r="A5" s="12"/>
      <c r="B5" s="12"/>
      <c r="C5" s="81"/>
      <c r="D5" s="81"/>
      <c r="E5" s="81"/>
      <c r="F5" s="81"/>
      <c r="G5" s="882" t="s">
        <v>103</v>
      </c>
      <c r="H5" s="883"/>
      <c r="I5" s="883"/>
      <c r="J5" s="883"/>
      <c r="K5" s="883"/>
      <c r="L5" s="883"/>
      <c r="M5" s="883"/>
      <c r="N5" s="883"/>
      <c r="O5" s="883"/>
      <c r="P5" s="883"/>
      <c r="Q5" s="883"/>
      <c r="R5" s="883"/>
      <c r="S5" s="883"/>
      <c r="T5" s="884" t="s">
        <v>100</v>
      </c>
      <c r="U5" s="885"/>
      <c r="V5" s="885"/>
      <c r="W5" s="885"/>
      <c r="X5" s="885"/>
      <c r="Y5" s="885"/>
      <c r="Z5" s="885"/>
      <c r="AA5" s="885"/>
      <c r="AB5" s="12"/>
      <c r="AC5" s="83" t="s">
        <v>104</v>
      </c>
      <c r="AD5" s="12"/>
      <c r="AE5" s="83" t="s">
        <v>104</v>
      </c>
    </row>
    <row r="6" spans="1:31" ht="13.5" customHeight="1">
      <c r="A6" s="13" t="s">
        <v>1</v>
      </c>
      <c r="B6" s="12"/>
      <c r="C6" s="81" t="str">
        <f>"Consolidated "&amp;Model!C25</f>
        <v>Consolidated Income Statement</v>
      </c>
      <c r="D6" s="81"/>
      <c r="E6" s="81"/>
      <c r="F6" s="81"/>
      <c r="G6" s="82" t="str">
        <f>Model!P25</f>
        <v>1Q25</v>
      </c>
      <c r="H6" s="82" t="str">
        <f>Model!Q25</f>
        <v>2Q25</v>
      </c>
      <c r="I6" s="82" t="str">
        <f>Model!R25</f>
        <v>3Q25</v>
      </c>
      <c r="J6" s="82" t="str">
        <f>Model!S25</f>
        <v>4Q25</v>
      </c>
      <c r="K6" s="82" t="str">
        <f>Model!U25</f>
        <v>1Q26</v>
      </c>
      <c r="L6" s="82" t="str">
        <f>Model!V25</f>
        <v>2Q26</v>
      </c>
      <c r="M6" s="82" t="str">
        <f>Model!W25</f>
        <v>3Q26e</v>
      </c>
      <c r="N6" s="82" t="str">
        <f>Model!X25</f>
        <v>4Q26e</v>
      </c>
      <c r="O6" s="82" t="str">
        <f>Model!Z25</f>
        <v>1Q27e</v>
      </c>
      <c r="P6" s="82" t="str">
        <f>Model!AA25</f>
        <v>2Q27e</v>
      </c>
      <c r="Q6" s="82" t="str">
        <f>Model!AB25</f>
        <v>3Q27e</v>
      </c>
      <c r="R6" s="82" t="str">
        <f>Model!AC25</f>
        <v>4Q27e</v>
      </c>
      <c r="S6" s="82"/>
      <c r="T6" s="82">
        <f>Model!J25</f>
        <v>2023</v>
      </c>
      <c r="U6" s="82">
        <f>Model!O25</f>
        <v>2024</v>
      </c>
      <c r="V6" s="82">
        <f>Model!T25</f>
        <v>2025</v>
      </c>
      <c r="W6" s="82" t="str">
        <f>Model!Y25</f>
        <v>2026e</v>
      </c>
      <c r="X6" s="82" t="str">
        <f>Model!AD25</f>
        <v>2027e</v>
      </c>
      <c r="Y6" s="82" t="str">
        <f>Model!AE25</f>
        <v>2028e</v>
      </c>
      <c r="Z6" s="82" t="str">
        <f>Model!AF25</f>
        <v>2029e</v>
      </c>
      <c r="AA6" s="82" t="str">
        <f>Model!AG25</f>
        <v>2030e</v>
      </c>
      <c r="AB6" s="12"/>
      <c r="AC6" s="82" t="s">
        <v>105</v>
      </c>
      <c r="AD6" s="12"/>
      <c r="AE6" s="82" t="s">
        <v>106</v>
      </c>
    </row>
    <row r="7" spans="1:31" ht="4.5" customHeight="1">
      <c r="A7" s="13"/>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84"/>
      <c r="AD7" s="12"/>
      <c r="AE7" s="84"/>
    </row>
    <row r="8" spans="1:31" ht="13.5" customHeight="1">
      <c r="A8" s="13"/>
      <c r="B8" s="12"/>
      <c r="C8" s="12" t="str">
        <f>Model!C28</f>
        <v>Revenue</v>
      </c>
      <c r="D8" s="12"/>
      <c r="E8" s="12"/>
      <c r="F8" s="12"/>
      <c r="G8" s="85">
        <f>Model!P28</f>
        <v>10542.800999999999</v>
      </c>
      <c r="H8" s="85">
        <f>Model!Q28</f>
        <v>11079.165999999999</v>
      </c>
      <c r="I8" s="85">
        <f>Model!R28</f>
        <v>11510.307000000001</v>
      </c>
      <c r="J8" s="86">
        <f>Model!S28</f>
        <v>12050.762000000001</v>
      </c>
      <c r="K8" s="85">
        <f>Model!U28</f>
        <v>12249.757</v>
      </c>
      <c r="L8" s="85">
        <f>Model!V28</f>
        <v>27570</v>
      </c>
      <c r="M8" s="85">
        <f>Model!W28</f>
        <v>22918</v>
      </c>
      <c r="N8" s="87">
        <f>Model!X28</f>
        <v>21772.1</v>
      </c>
      <c r="O8" s="85">
        <f>Model!Z28</f>
        <v>25691.077999999998</v>
      </c>
      <c r="P8" s="85">
        <f>Model!AA28</f>
        <v>29287.82892</v>
      </c>
      <c r="Q8" s="85">
        <f>Model!AB28</f>
        <v>25773.289449600001</v>
      </c>
      <c r="R8" s="85">
        <f>Model!AC28</f>
        <v>24484.624977119998</v>
      </c>
      <c r="S8" s="12"/>
      <c r="T8" s="85">
        <f>Model!J28</f>
        <v>33723.297000000006</v>
      </c>
      <c r="U8" s="85">
        <f>Model!O28</f>
        <v>39000.966</v>
      </c>
      <c r="V8" s="86">
        <f>Model!T28</f>
        <v>45183.036</v>
      </c>
      <c r="W8" s="85">
        <f>Model!Y28</f>
        <v>84509.856999999989</v>
      </c>
      <c r="X8" s="85">
        <f>Model!AD28</f>
        <v>105236.82134671998</v>
      </c>
      <c r="Y8" s="85">
        <f>Model!AE28</f>
        <v>107341.55777365438</v>
      </c>
      <c r="Z8" s="85">
        <f>Model!AF28</f>
        <v>109488.38892912747</v>
      </c>
      <c r="AA8" s="85">
        <f>Model!AG28</f>
        <v>111678.15670771002</v>
      </c>
      <c r="AB8" s="12"/>
      <c r="AC8" s="88">
        <f>IFERROR((V8/T8)^(1/(V$4-T$4))-1,"N/A")</f>
        <v>0.15750450762990087</v>
      </c>
      <c r="AD8" s="69"/>
      <c r="AE8" s="88">
        <f>IFERROR((AA8/V8)^(1/(AA$4-V$4))-1,"N/A")</f>
        <v>0.19839107391671096</v>
      </c>
    </row>
    <row r="9" spans="1:31" ht="13.5" customHeight="1">
      <c r="A9" s="13"/>
      <c r="B9" s="12"/>
      <c r="C9" s="89" t="s">
        <v>107</v>
      </c>
      <c r="D9" s="12"/>
      <c r="E9" s="12"/>
      <c r="F9" s="12"/>
      <c r="G9" s="12"/>
      <c r="H9" s="90"/>
      <c r="I9" s="90"/>
      <c r="J9" s="91"/>
      <c r="K9" s="90">
        <f t="shared" ref="K9:R9" si="0">K8/G8-1</f>
        <v>0.16190725785301274</v>
      </c>
      <c r="L9" s="90">
        <f t="shared" si="0"/>
        <v>1.4884544558678878</v>
      </c>
      <c r="M9" s="90">
        <f t="shared" si="0"/>
        <v>0.99108503361378619</v>
      </c>
      <c r="N9" s="92">
        <f t="shared" si="0"/>
        <v>0.80669902865893439</v>
      </c>
      <c r="O9" s="90">
        <f t="shared" si="0"/>
        <v>1.0972724601802306</v>
      </c>
      <c r="P9" s="90">
        <f t="shared" si="0"/>
        <v>6.2307904243743106E-2</v>
      </c>
      <c r="Q9" s="90">
        <f t="shared" si="0"/>
        <v>0.12458720000000012</v>
      </c>
      <c r="R9" s="90">
        <f t="shared" si="0"/>
        <v>0.1245871999999999</v>
      </c>
      <c r="S9" s="12"/>
      <c r="T9" s="90"/>
      <c r="U9" s="90">
        <f t="shared" ref="U9:AA9" si="1">IF(ISERROR(U8/T8-1),"NA",(U8/T8-1))</f>
        <v>0.15649919994477379</v>
      </c>
      <c r="V9" s="91">
        <f t="shared" si="1"/>
        <v>0.15851068919677536</v>
      </c>
      <c r="W9" s="90">
        <f t="shared" si="1"/>
        <v>0.87038907699783574</v>
      </c>
      <c r="X9" s="90">
        <f t="shared" si="1"/>
        <v>0.24526090899337327</v>
      </c>
      <c r="Y9" s="90">
        <f t="shared" si="1"/>
        <v>2.0000000000000018E-2</v>
      </c>
      <c r="Z9" s="90">
        <f t="shared" si="1"/>
        <v>2.0000000000000018E-2</v>
      </c>
      <c r="AA9" s="90">
        <f t="shared" si="1"/>
        <v>2.0000000000000018E-2</v>
      </c>
      <c r="AB9" s="12"/>
      <c r="AC9" s="88"/>
      <c r="AD9" s="69"/>
      <c r="AE9" s="88"/>
    </row>
    <row r="10" spans="1:31" ht="13.5" customHeight="1">
      <c r="A10" s="13"/>
      <c r="B10" s="12"/>
      <c r="C10" s="12"/>
      <c r="D10" s="12"/>
      <c r="E10" s="12"/>
      <c r="F10" s="12"/>
      <c r="G10" s="12"/>
      <c r="H10" s="12"/>
      <c r="I10" s="12"/>
      <c r="J10" s="93"/>
      <c r="K10" s="12"/>
      <c r="L10" s="12"/>
      <c r="M10" s="12"/>
      <c r="N10" s="94"/>
      <c r="O10" s="12"/>
      <c r="P10" s="12"/>
      <c r="Q10" s="12"/>
      <c r="R10" s="12"/>
      <c r="S10" s="12"/>
      <c r="T10" s="12"/>
      <c r="U10" s="12"/>
      <c r="V10" s="93"/>
      <c r="W10" s="12"/>
      <c r="X10" s="12"/>
      <c r="Y10" s="12"/>
      <c r="Z10" s="12"/>
      <c r="AA10" s="12"/>
      <c r="AB10" s="12"/>
      <c r="AC10" s="95"/>
      <c r="AD10" s="69"/>
      <c r="AE10" s="95"/>
    </row>
    <row r="11" spans="1:31" ht="13.5" customHeight="1">
      <c r="A11" s="13"/>
      <c r="B11" s="12"/>
      <c r="C11" s="12" t="str">
        <f>Model!C30</f>
        <v>Gross Profit</v>
      </c>
      <c r="D11" s="12"/>
      <c r="E11" s="12"/>
      <c r="F11" s="12"/>
      <c r="G11" s="85">
        <f>Model!P30</f>
        <v>5279.6539999999995</v>
      </c>
      <c r="H11" s="85">
        <f>Model!Q30</f>
        <v>5753.8549999999996</v>
      </c>
      <c r="I11" s="85">
        <f>Model!R30</f>
        <v>5346.0570000000007</v>
      </c>
      <c r="J11" s="86">
        <f>Model!S30</f>
        <v>5528.1410000000005</v>
      </c>
      <c r="K11" s="85">
        <f>Model!U30</f>
        <v>6361.5189999999993</v>
      </c>
      <c r="L11" s="85">
        <f>Model!V30</f>
        <v>9312</v>
      </c>
      <c r="M11" s="85">
        <f>Model!W30</f>
        <v>7587</v>
      </c>
      <c r="N11" s="87">
        <f>Model!X30</f>
        <v>2830.3729999999996</v>
      </c>
      <c r="O11" s="85">
        <f>Model!Z30</f>
        <v>3596.7509199999986</v>
      </c>
      <c r="P11" s="85">
        <f>Model!AA30</f>
        <v>4246.7351933999998</v>
      </c>
      <c r="Q11" s="85">
        <f>Model!AB30</f>
        <v>3092.7947339519997</v>
      </c>
      <c r="R11" s="85">
        <f>Model!AC30</f>
        <v>3305.4243719111983</v>
      </c>
      <c r="S11" s="12"/>
      <c r="T11" s="85">
        <f>Model!J30</f>
        <v>14007.897000000001</v>
      </c>
      <c r="U11" s="85">
        <f>Model!O30</f>
        <v>17962.502</v>
      </c>
      <c r="V11" s="86">
        <f>Model!T30</f>
        <v>21907.706999999999</v>
      </c>
      <c r="W11" s="85">
        <f>Model!Y30</f>
        <v>26090.892</v>
      </c>
      <c r="X11" s="85">
        <f>Model!AD30</f>
        <v>14241.705219263196</v>
      </c>
      <c r="Y11" s="85">
        <f>Model!AE30</f>
        <v>14920.476530537955</v>
      </c>
      <c r="Z11" s="85">
        <f>Model!AF30</f>
        <v>15328.374450077841</v>
      </c>
      <c r="AA11" s="85">
        <f>Model!AG30</f>
        <v>15858.298252494831</v>
      </c>
      <c r="AB11" s="12"/>
      <c r="AC11" s="88">
        <f>IFERROR((V11/T11)^(1/(V$4-T$4))-1,"N/A")</f>
        <v>0.25058147775360151</v>
      </c>
      <c r="AD11" s="69"/>
      <c r="AE11" s="88">
        <f>IFERROR((AA11/V11)^(1/(AA$4-V$4))-1,"N/A")</f>
        <v>-6.2584928901940673E-2</v>
      </c>
    </row>
    <row r="12" spans="1:31" ht="13.5" customHeight="1">
      <c r="A12" s="13"/>
      <c r="B12" s="12"/>
      <c r="C12" s="89" t="s">
        <v>108</v>
      </c>
      <c r="D12" s="12"/>
      <c r="E12" s="12"/>
      <c r="F12" s="12"/>
      <c r="G12" s="90">
        <f t="shared" ref="G12:R12" si="2">G11/G$8</f>
        <v>0.50078285647239285</v>
      </c>
      <c r="H12" s="90">
        <f t="shared" si="2"/>
        <v>0.51934008390162223</v>
      </c>
      <c r="I12" s="90">
        <f t="shared" si="2"/>
        <v>0.4644582459877048</v>
      </c>
      <c r="J12" s="91">
        <f t="shared" si="2"/>
        <v>0.4587378789822586</v>
      </c>
      <c r="K12" s="90">
        <f t="shared" si="2"/>
        <v>0.51931797504228039</v>
      </c>
      <c r="L12" s="90">
        <f t="shared" si="2"/>
        <v>0.33775843307943415</v>
      </c>
      <c r="M12" s="90">
        <f t="shared" si="2"/>
        <v>0.33104982982808273</v>
      </c>
      <c r="N12" s="92">
        <f t="shared" si="2"/>
        <v>0.12999999999999998</v>
      </c>
      <c r="O12" s="90">
        <f t="shared" si="2"/>
        <v>0.13999999999999996</v>
      </c>
      <c r="P12" s="90">
        <f t="shared" si="2"/>
        <v>0.14499999999999999</v>
      </c>
      <c r="Q12" s="90">
        <f t="shared" si="2"/>
        <v>0.11999999999999998</v>
      </c>
      <c r="R12" s="90">
        <f t="shared" si="2"/>
        <v>0.13499999999999993</v>
      </c>
      <c r="S12" s="12"/>
      <c r="T12" s="90">
        <f t="shared" ref="T12:AA12" si="3">T11/T$8</f>
        <v>0.41537744663577819</v>
      </c>
      <c r="U12" s="90">
        <f t="shared" si="3"/>
        <v>0.46056556650417324</v>
      </c>
      <c r="V12" s="91">
        <f t="shared" si="3"/>
        <v>0.48486575802475951</v>
      </c>
      <c r="W12" s="90">
        <f t="shared" si="3"/>
        <v>0.30873193880803756</v>
      </c>
      <c r="X12" s="90">
        <f t="shared" si="3"/>
        <v>0.13533005878561802</v>
      </c>
      <c r="Y12" s="90">
        <f t="shared" si="3"/>
        <v>0.13899999999999996</v>
      </c>
      <c r="Z12" s="90">
        <f t="shared" si="3"/>
        <v>0.13999999999999996</v>
      </c>
      <c r="AA12" s="90">
        <f t="shared" si="3"/>
        <v>0.14200000000000007</v>
      </c>
      <c r="AB12" s="12"/>
      <c r="AC12" s="95"/>
      <c r="AD12" s="69"/>
      <c r="AE12" s="95"/>
    </row>
    <row r="13" spans="1:31" ht="13.5" customHeight="1">
      <c r="A13" s="13"/>
      <c r="B13" s="12"/>
      <c r="C13" s="89" t="s">
        <v>107</v>
      </c>
      <c r="D13" s="12"/>
      <c r="E13" s="12"/>
      <c r="F13" s="12"/>
      <c r="G13" s="90"/>
      <c r="H13" s="90"/>
      <c r="I13" s="90"/>
      <c r="J13" s="91"/>
      <c r="K13" s="90">
        <f t="shared" ref="K13:R13" si="4">K11/G11-1</f>
        <v>0.20491210219457567</v>
      </c>
      <c r="L13" s="90">
        <f t="shared" si="4"/>
        <v>0.61839323375371835</v>
      </c>
      <c r="M13" s="90">
        <f t="shared" si="4"/>
        <v>0.41917678767734778</v>
      </c>
      <c r="N13" s="92">
        <f t="shared" si="4"/>
        <v>-0.48800636597366109</v>
      </c>
      <c r="O13" s="90">
        <f t="shared" si="4"/>
        <v>-0.43460816198143892</v>
      </c>
      <c r="P13" s="90">
        <f t="shared" si="4"/>
        <v>-0.54395025844072165</v>
      </c>
      <c r="Q13" s="90">
        <f t="shared" si="4"/>
        <v>-0.59235603875682097</v>
      </c>
      <c r="R13" s="90">
        <f t="shared" si="4"/>
        <v>0.16784055384615337</v>
      </c>
      <c r="S13" s="12"/>
      <c r="T13" s="90"/>
      <c r="U13" s="90">
        <f t="shared" ref="U13:AA13" si="5">U11/T11-1</f>
        <v>0.2823125412758245</v>
      </c>
      <c r="V13" s="91">
        <f t="shared" si="5"/>
        <v>0.21963560532936888</v>
      </c>
      <c r="W13" s="90">
        <f t="shared" si="5"/>
        <v>0.19094581646541098</v>
      </c>
      <c r="X13" s="90">
        <f t="shared" si="5"/>
        <v>-0.45415031347861945</v>
      </c>
      <c r="Y13" s="90">
        <f t="shared" si="5"/>
        <v>4.7660817354698404E-2</v>
      </c>
      <c r="Z13" s="90">
        <f t="shared" si="5"/>
        <v>2.7338129496402797E-2</v>
      </c>
      <c r="AA13" s="90">
        <f t="shared" si="5"/>
        <v>3.4571428571429363E-2</v>
      </c>
      <c r="AB13" s="12"/>
      <c r="AC13" s="95"/>
      <c r="AD13" s="69"/>
      <c r="AE13" s="95"/>
    </row>
    <row r="14" spans="1:31" ht="13.5" customHeight="1">
      <c r="A14" s="13"/>
      <c r="B14" s="12"/>
      <c r="C14" s="12"/>
      <c r="D14" s="12"/>
      <c r="E14" s="12"/>
      <c r="F14" s="12"/>
      <c r="G14" s="12"/>
      <c r="H14" s="12"/>
      <c r="I14" s="12"/>
      <c r="J14" s="93"/>
      <c r="K14" s="12"/>
      <c r="L14" s="12"/>
      <c r="M14" s="12"/>
      <c r="N14" s="94"/>
      <c r="O14" s="12"/>
      <c r="P14" s="12"/>
      <c r="Q14" s="12"/>
      <c r="R14" s="12"/>
      <c r="S14" s="12"/>
      <c r="T14" s="12"/>
      <c r="U14" s="12"/>
      <c r="V14" s="93"/>
      <c r="W14" s="12"/>
      <c r="X14" s="12"/>
      <c r="Y14" s="12"/>
      <c r="Z14" s="12"/>
      <c r="AA14" s="12"/>
      <c r="AB14" s="12"/>
      <c r="AC14" s="95"/>
      <c r="AD14" s="69"/>
      <c r="AE14" s="95"/>
    </row>
    <row r="15" spans="1:31" ht="13.5" customHeight="1">
      <c r="A15" s="13"/>
      <c r="B15" s="12"/>
      <c r="C15" s="12" t="str">
        <f>Model!C36</f>
        <v>EBIT</v>
      </c>
      <c r="D15" s="12"/>
      <c r="E15" s="12"/>
      <c r="F15" s="12"/>
      <c r="G15" s="85">
        <f>Model!P36</f>
        <v>3346.9989999999998</v>
      </c>
      <c r="H15" s="85">
        <f>Model!Q36</f>
        <v>3774.6940000000004</v>
      </c>
      <c r="I15" s="85">
        <f>Model!R36</f>
        <v>3248.2470000000003</v>
      </c>
      <c r="J15" s="86">
        <f>Model!S36</f>
        <v>2956.663</v>
      </c>
      <c r="K15" s="85">
        <f>Model!U36</f>
        <v>3956.9970000000003</v>
      </c>
      <c r="L15" s="85">
        <f>Model!V36</f>
        <v>4210</v>
      </c>
      <c r="M15" s="85">
        <f>Model!W36</f>
        <v>2789</v>
      </c>
      <c r="N15" s="87">
        <f>Model!X36</f>
        <v>-2290.6765000000005</v>
      </c>
      <c r="O15" s="85">
        <f>Model!Z36</f>
        <v>-2515.6105485000016</v>
      </c>
      <c r="P15" s="85">
        <f>Model!AA36</f>
        <v>-2679.87777878625</v>
      </c>
      <c r="Q15" s="85">
        <f>Model!AB36</f>
        <v>-2919.5613236396912</v>
      </c>
      <c r="R15" s="85">
        <f>Model!AC36</f>
        <v>-2425.1039887192537</v>
      </c>
      <c r="S15" s="12"/>
      <c r="T15" s="85">
        <f>Model!J36</f>
        <v>-4912.9699999999975</v>
      </c>
      <c r="U15" s="85">
        <f>Model!O36</f>
        <v>10417.614000000001</v>
      </c>
      <c r="V15" s="86">
        <f>Model!T36</f>
        <v>13326.603000000001</v>
      </c>
      <c r="W15" s="85">
        <f>Model!Y36</f>
        <v>8665.320499999998</v>
      </c>
      <c r="X15" s="85">
        <f>Model!AD36</f>
        <v>-10540.153639645196</v>
      </c>
      <c r="Y15" s="85">
        <f>Model!AE36</f>
        <v>-9578.1135510311615</v>
      </c>
      <c r="Z15" s="85">
        <f>Model!AF36</f>
        <v>-9246.1514458587371</v>
      </c>
      <c r="AA15" s="85">
        <f>Model!AG36</f>
        <v>-8671.5228813459289</v>
      </c>
      <c r="AB15" s="12"/>
      <c r="AC15" s="88" t="str">
        <f>IFERROR((V15/T15)^(1/(V$4-T$4))-1,"N/A")</f>
        <v>N/A</v>
      </c>
      <c r="AD15" s="69"/>
      <c r="AE15" s="88">
        <f>IFERROR((AA15/V15)^(1/(AA$4-V$4))-1,"N/A")</f>
        <v>-1.9176460147048058</v>
      </c>
    </row>
    <row r="16" spans="1:31" ht="13.5" customHeight="1">
      <c r="A16" s="13"/>
      <c r="B16" s="12"/>
      <c r="C16" s="89" t="s">
        <v>109</v>
      </c>
      <c r="D16" s="12"/>
      <c r="E16" s="12"/>
      <c r="F16" s="12"/>
      <c r="G16" s="90">
        <f t="shared" ref="G16:R16" si="6">G15/G$8</f>
        <v>0.31746772039043514</v>
      </c>
      <c r="H16" s="90">
        <f t="shared" si="6"/>
        <v>0.34070199868834899</v>
      </c>
      <c r="I16" s="90">
        <f t="shared" si="6"/>
        <v>0.28220333306487827</v>
      </c>
      <c r="J16" s="91">
        <f t="shared" si="6"/>
        <v>0.24535070894272079</v>
      </c>
      <c r="K16" s="90">
        <f t="shared" si="6"/>
        <v>0.32302657105769528</v>
      </c>
      <c r="L16" s="90">
        <f t="shared" si="6"/>
        <v>0.15270221254987304</v>
      </c>
      <c r="M16" s="90">
        <f t="shared" si="6"/>
        <v>0.1216947377607121</v>
      </c>
      <c r="N16" s="92">
        <f t="shared" si="6"/>
        <v>-0.10521155515545128</v>
      </c>
      <c r="O16" s="90">
        <f t="shared" si="6"/>
        <v>-9.7917671983246551E-2</v>
      </c>
      <c r="P16" s="90">
        <f t="shared" si="6"/>
        <v>-9.1501414669771644E-2</v>
      </c>
      <c r="Q16" s="90">
        <f t="shared" si="6"/>
        <v>-0.11327856808301211</v>
      </c>
      <c r="R16" s="90">
        <f t="shared" si="6"/>
        <v>-9.9045992780588885E-2</v>
      </c>
      <c r="S16" s="12"/>
      <c r="T16" s="90">
        <f t="shared" ref="T16:AA16" si="7">T15/T$8</f>
        <v>-0.14568474725350836</v>
      </c>
      <c r="U16" s="90">
        <f t="shared" si="7"/>
        <v>0.26711169154117881</v>
      </c>
      <c r="V16" s="91">
        <f t="shared" si="7"/>
        <v>0.29494704605507255</v>
      </c>
      <c r="W16" s="90">
        <f t="shared" si="7"/>
        <v>0.10253621065765144</v>
      </c>
      <c r="X16" s="90">
        <f t="shared" si="7"/>
        <v>-0.10015651845772622</v>
      </c>
      <c r="Y16" s="90">
        <f t="shared" si="7"/>
        <v>-8.9230245486357079E-2</v>
      </c>
      <c r="Z16" s="90">
        <f t="shared" si="7"/>
        <v>-8.4448693932685684E-2</v>
      </c>
      <c r="AA16" s="90">
        <f t="shared" si="7"/>
        <v>-7.7647439185815875E-2</v>
      </c>
      <c r="AB16" s="12"/>
      <c r="AC16" s="95"/>
      <c r="AD16" s="69"/>
      <c r="AE16" s="95"/>
    </row>
    <row r="17" spans="1:31" ht="13.5" customHeight="1">
      <c r="A17" s="13"/>
      <c r="B17" s="12"/>
      <c r="C17" s="89" t="s">
        <v>107</v>
      </c>
      <c r="D17" s="12"/>
      <c r="E17" s="12"/>
      <c r="F17" s="12"/>
      <c r="G17" s="12"/>
      <c r="H17" s="90"/>
      <c r="I17" s="90"/>
      <c r="J17" s="91"/>
      <c r="K17" s="90">
        <f t="shared" ref="K17:R17" si="8">K15/G15-1</f>
        <v>0.18225222057132395</v>
      </c>
      <c r="L17" s="90">
        <f t="shared" si="8"/>
        <v>0.11532219565347535</v>
      </c>
      <c r="M17" s="90">
        <f t="shared" si="8"/>
        <v>-0.14138302906152156</v>
      </c>
      <c r="N17" s="92">
        <f t="shared" si="8"/>
        <v>-1.7747506225768714</v>
      </c>
      <c r="O17" s="90">
        <f t="shared" si="8"/>
        <v>-1.6357372897932452</v>
      </c>
      <c r="P17" s="90">
        <f t="shared" si="8"/>
        <v>-1.6365505412793944</v>
      </c>
      <c r="Q17" s="90">
        <f t="shared" si="8"/>
        <v>-2.0468129521834677</v>
      </c>
      <c r="R17" s="90">
        <f t="shared" si="8"/>
        <v>5.8684623830232319E-2</v>
      </c>
      <c r="S17" s="12"/>
      <c r="T17" s="90"/>
      <c r="U17" s="90">
        <f t="shared" ref="U17:AA17" si="9">U15/T15-1</f>
        <v>-3.1204310223754685</v>
      </c>
      <c r="V17" s="91">
        <f t="shared" si="9"/>
        <v>0.27923754902034181</v>
      </c>
      <c r="W17" s="90">
        <f t="shared" si="9"/>
        <v>-0.34977274403687142</v>
      </c>
      <c r="X17" s="90">
        <f t="shared" si="9"/>
        <v>-2.2163605073401724</v>
      </c>
      <c r="Y17" s="90">
        <f t="shared" si="9"/>
        <v>-9.1273820240671433E-2</v>
      </c>
      <c r="Z17" s="90">
        <f t="shared" si="9"/>
        <v>-3.4658401511296177E-2</v>
      </c>
      <c r="AA17" s="90">
        <f t="shared" si="9"/>
        <v>-6.2147864208970893E-2</v>
      </c>
      <c r="AB17" s="12"/>
      <c r="AC17" s="95"/>
      <c r="AD17" s="69"/>
      <c r="AE17" s="95"/>
    </row>
    <row r="18" spans="1:31" ht="13.5" customHeight="1">
      <c r="A18" s="13"/>
      <c r="B18" s="12"/>
      <c r="C18" s="12"/>
      <c r="D18" s="12"/>
      <c r="E18" s="12"/>
      <c r="F18" s="12"/>
      <c r="G18" s="12"/>
      <c r="H18" s="12"/>
      <c r="I18" s="12"/>
      <c r="J18" s="93"/>
      <c r="K18" s="12"/>
      <c r="L18" s="12"/>
      <c r="M18" s="12"/>
      <c r="N18" s="94"/>
      <c r="O18" s="12"/>
      <c r="P18" s="12"/>
      <c r="Q18" s="12"/>
      <c r="R18" s="12"/>
      <c r="S18" s="12"/>
      <c r="T18" s="12"/>
      <c r="U18" s="12"/>
      <c r="V18" s="93"/>
      <c r="W18" s="12"/>
      <c r="X18" s="12"/>
      <c r="Y18" s="12"/>
      <c r="Z18" s="12"/>
      <c r="AA18" s="12"/>
      <c r="AB18" s="12"/>
      <c r="AC18" s="95"/>
      <c r="AD18" s="69"/>
      <c r="AE18" s="95"/>
    </row>
    <row r="19" spans="1:31" ht="13.5" customHeight="1">
      <c r="A19" s="13"/>
      <c r="B19" s="12"/>
      <c r="C19" s="12" t="str">
        <f>Model!C45</f>
        <v>Net Income (Loss)</v>
      </c>
      <c r="D19" s="12"/>
      <c r="E19" s="12"/>
      <c r="F19" s="12"/>
      <c r="G19" s="85">
        <f>Model!P45</f>
        <v>2890.3510000000001</v>
      </c>
      <c r="H19" s="85">
        <f>Model!Q45</f>
        <v>3125.413</v>
      </c>
      <c r="I19" s="85">
        <f>Model!R45</f>
        <v>2546.9160000000002</v>
      </c>
      <c r="J19" s="86">
        <f>Model!S45</f>
        <v>2418.5210000000006</v>
      </c>
      <c r="K19" s="85">
        <f>Model!U45</f>
        <v>5282.7910000000002</v>
      </c>
      <c r="L19" s="85">
        <f>Model!V45</f>
        <v>3018</v>
      </c>
      <c r="M19" s="85">
        <f>Model!W45</f>
        <v>1896</v>
      </c>
      <c r="N19" s="87" t="str">
        <f ca="1">Model!X45</f>
        <v/>
      </c>
      <c r="O19" s="85" t="str">
        <f ca="1">Model!Z45</f>
        <v/>
      </c>
      <c r="P19" s="85" t="str">
        <f ca="1">Model!AA45</f>
        <v/>
      </c>
      <c r="Q19" s="85" t="str">
        <f ca="1">Model!AB45</f>
        <v/>
      </c>
      <c r="R19" s="85" t="str">
        <f ca="1">Model!AC45</f>
        <v/>
      </c>
      <c r="S19" s="12"/>
      <c r="T19" s="85">
        <f>Model!J45</f>
        <v>-6458.9419999999973</v>
      </c>
      <c r="U19" s="85">
        <f>Model!O45</f>
        <v>8711.6309999999994</v>
      </c>
      <c r="V19" s="86">
        <f>Model!T45</f>
        <v>10981.201000000001</v>
      </c>
      <c r="W19" s="85" t="str">
        <f ca="1">Model!Y45</f>
        <v/>
      </c>
      <c r="X19" s="85" t="str">
        <f ca="1">Model!AD45</f>
        <v/>
      </c>
      <c r="Y19" s="85" t="str">
        <f ca="1">Model!AE45</f>
        <v/>
      </c>
      <c r="Z19" s="85" t="str">
        <f ca="1">Model!AF45</f>
        <v/>
      </c>
      <c r="AA19" s="85" t="str">
        <f ca="1">Model!AG45</f>
        <v/>
      </c>
      <c r="AB19" s="12"/>
      <c r="AC19" s="88" t="str">
        <f>IFERROR((V19/T19)^(1/(V$4-T$4))-1,"N/A")</f>
        <v>N/A</v>
      </c>
      <c r="AD19" s="69"/>
      <c r="AE19" s="88" t="str">
        <f ca="1">IFERROR((AA19/V19)^(1/(AA$4-V$4))-1,"N/A")</f>
        <v>N/A</v>
      </c>
    </row>
    <row r="20" spans="1:31" ht="13.5" customHeight="1">
      <c r="A20" s="13"/>
      <c r="B20" s="12"/>
      <c r="C20" s="89" t="s">
        <v>109</v>
      </c>
      <c r="D20" s="12"/>
      <c r="E20" s="12"/>
      <c r="F20" s="12"/>
      <c r="G20" s="90">
        <f t="shared" ref="G20:R20" si="10">G19/G$8</f>
        <v>0.27415399380107813</v>
      </c>
      <c r="H20" s="90">
        <f t="shared" si="10"/>
        <v>0.28209821930639906</v>
      </c>
      <c r="I20" s="90">
        <f t="shared" si="10"/>
        <v>0.22127263851433329</v>
      </c>
      <c r="J20" s="91">
        <f t="shared" si="10"/>
        <v>0.20069444571222969</v>
      </c>
      <c r="K20" s="90">
        <f t="shared" si="10"/>
        <v>0.43125679962467828</v>
      </c>
      <c r="L20" s="90">
        <f t="shared" si="10"/>
        <v>0.10946681175190424</v>
      </c>
      <c r="M20" s="90">
        <f t="shared" si="10"/>
        <v>8.2729732088314856E-2</v>
      </c>
      <c r="N20" s="92" t="str">
        <f t="shared" ca="1" si="10"/>
        <v>#REF!</v>
      </c>
      <c r="O20" s="90" t="str">
        <f t="shared" ca="1" si="10"/>
        <v>#REF!</v>
      </c>
      <c r="P20" s="90" t="str">
        <f t="shared" ca="1" si="10"/>
        <v>#REF!</v>
      </c>
      <c r="Q20" s="90" t="str">
        <f t="shared" ca="1" si="10"/>
        <v>#REF!</v>
      </c>
      <c r="R20" s="90" t="str">
        <f t="shared" ca="1" si="10"/>
        <v>#REF!</v>
      </c>
      <c r="S20" s="12"/>
      <c r="T20" s="90">
        <f t="shared" ref="T20:AA20" si="11">T19/T$8</f>
        <v>-0.19152759589312979</v>
      </c>
      <c r="U20" s="90">
        <f t="shared" si="11"/>
        <v>0.22336962115246067</v>
      </c>
      <c r="V20" s="91">
        <f t="shared" si="11"/>
        <v>0.24303813935832025</v>
      </c>
      <c r="W20" s="90" t="str">
        <f t="shared" ca="1" si="11"/>
        <v>#REF!</v>
      </c>
      <c r="X20" s="90" t="str">
        <f t="shared" ca="1" si="11"/>
        <v>#REF!</v>
      </c>
      <c r="Y20" s="90" t="str">
        <f t="shared" ca="1" si="11"/>
        <v>#REF!</v>
      </c>
      <c r="Z20" s="90" t="str">
        <f t="shared" ca="1" si="11"/>
        <v>#REF!</v>
      </c>
      <c r="AA20" s="90" t="str">
        <f t="shared" ca="1" si="11"/>
        <v>#REF!</v>
      </c>
      <c r="AB20" s="12"/>
      <c r="AC20" s="95"/>
      <c r="AD20" s="69"/>
      <c r="AE20" s="95"/>
    </row>
    <row r="21" spans="1:31" ht="13.5" customHeight="1">
      <c r="A21" s="13"/>
      <c r="B21" s="12"/>
      <c r="C21" s="89" t="s">
        <v>107</v>
      </c>
      <c r="D21" s="12"/>
      <c r="E21" s="12"/>
      <c r="F21" s="12"/>
      <c r="G21" s="12"/>
      <c r="H21" s="90"/>
      <c r="I21" s="90"/>
      <c r="J21" s="91"/>
      <c r="K21" s="90">
        <f t="shared" ref="K21:R21" si="12">K19/G19-1</f>
        <v>0.82773337909478806</v>
      </c>
      <c r="L21" s="90">
        <f t="shared" si="12"/>
        <v>-3.4367617975608389E-2</v>
      </c>
      <c r="M21" s="90">
        <f t="shared" si="12"/>
        <v>-0.25557026615718781</v>
      </c>
      <c r="N21" s="92" t="str">
        <f t="shared" ca="1" si="12"/>
        <v>#REF!</v>
      </c>
      <c r="O21" s="90" t="str">
        <f t="shared" ca="1" si="12"/>
        <v>#REF!</v>
      </c>
      <c r="P21" s="90" t="str">
        <f t="shared" ca="1" si="12"/>
        <v>#REF!</v>
      </c>
      <c r="Q21" s="90" t="str">
        <f t="shared" ca="1" si="12"/>
        <v>#REF!</v>
      </c>
      <c r="R21" s="90" t="str">
        <f t="shared" ca="1" si="12"/>
        <v>#REF!</v>
      </c>
      <c r="S21" s="12"/>
      <c r="T21" s="90"/>
      <c r="U21" s="90">
        <f t="shared" ref="U21:AA21" si="13">U19/T19-1</f>
        <v>-2.3487705881241858</v>
      </c>
      <c r="V21" s="91">
        <f t="shared" si="13"/>
        <v>0.26052182421408832</v>
      </c>
      <c r="W21" s="90" t="str">
        <f t="shared" ca="1" si="13"/>
        <v>#REF!</v>
      </c>
      <c r="X21" s="90" t="str">
        <f t="shared" ca="1" si="13"/>
        <v>#REF!</v>
      </c>
      <c r="Y21" s="90" t="str">
        <f t="shared" ca="1" si="13"/>
        <v>#REF!</v>
      </c>
      <c r="Z21" s="90" t="str">
        <f t="shared" ca="1" si="13"/>
        <v>#REF!</v>
      </c>
      <c r="AA21" s="90" t="str">
        <f t="shared" ca="1" si="13"/>
        <v>#REF!</v>
      </c>
      <c r="AB21" s="12"/>
      <c r="AC21" s="88"/>
      <c r="AD21" s="69"/>
      <c r="AE21" s="88"/>
    </row>
    <row r="22" spans="1:31" ht="13.5" customHeight="1">
      <c r="A22" s="13"/>
      <c r="B22" s="12"/>
      <c r="C22" s="12"/>
      <c r="D22" s="12"/>
      <c r="E22" s="12"/>
      <c r="F22" s="12"/>
      <c r="G22" s="12"/>
      <c r="H22" s="12"/>
      <c r="I22" s="12"/>
      <c r="J22" s="93"/>
      <c r="K22" s="12"/>
      <c r="L22" s="12"/>
      <c r="M22" s="12"/>
      <c r="N22" s="94"/>
      <c r="O22" s="12"/>
      <c r="P22" s="12"/>
      <c r="Q22" s="12"/>
      <c r="R22" s="12"/>
      <c r="S22" s="12"/>
      <c r="T22" s="12"/>
      <c r="U22" s="12"/>
      <c r="V22" s="93"/>
      <c r="W22" s="12"/>
      <c r="X22" s="12"/>
      <c r="Y22" s="12"/>
      <c r="Z22" s="12"/>
      <c r="AA22" s="12"/>
      <c r="AB22" s="12"/>
      <c r="AC22" s="95"/>
      <c r="AD22" s="69"/>
      <c r="AE22" s="95"/>
    </row>
    <row r="23" spans="1:31" ht="13.5" customHeight="1">
      <c r="A23" s="13"/>
      <c r="B23" s="12"/>
      <c r="C23" s="12" t="str">
        <f>Model!C57</f>
        <v>Adj. EPS (Diluted)</v>
      </c>
      <c r="D23" s="12"/>
      <c r="E23" s="12"/>
      <c r="F23" s="12"/>
      <c r="G23" s="96">
        <f>Model!P57</f>
        <v>3.8332156084656086</v>
      </c>
      <c r="H23" s="96">
        <f>Model!Q57</f>
        <v>4.1606148738379813</v>
      </c>
      <c r="I23" s="96">
        <f>Model!R57</f>
        <v>4.4478726790450933</v>
      </c>
      <c r="J23" s="97">
        <f>Model!S57</f>
        <v>3.2246946666666676</v>
      </c>
      <c r="K23" s="96">
        <f>Model!U57</f>
        <v>7.3372097222222221</v>
      </c>
      <c r="L23" s="96">
        <f>Model!V57</f>
        <v>4.2687411598302685</v>
      </c>
      <c r="M23" s="96">
        <f>Model!W57</f>
        <v>2.7297687861271678</v>
      </c>
      <c r="N23" s="98" t="str">
        <f ca="1">Model!X57</f>
        <v/>
      </c>
      <c r="O23" s="96" t="str">
        <f ca="1">Model!Z57</f>
        <v/>
      </c>
      <c r="P23" s="96" t="str">
        <f ca="1">Model!AA57</f>
        <v/>
      </c>
      <c r="Q23" s="96" t="str">
        <f ca="1">Model!AB57</f>
        <v/>
      </c>
      <c r="R23" s="96" t="str">
        <f ca="1">Model!AC57</f>
        <v/>
      </c>
      <c r="S23" s="96"/>
      <c r="T23" s="96">
        <f>Model!J57</f>
        <v>-5.7582421972534297</v>
      </c>
      <c r="U23" s="96">
        <f>Model!O57</f>
        <v>11.11127465667915</v>
      </c>
      <c r="V23" s="97">
        <f>Model!T57</f>
        <v>15.737428000000003</v>
      </c>
      <c r="W23" s="96" t="str">
        <f ca="1">Model!Y57</f>
        <v/>
      </c>
      <c r="X23" s="96" t="str">
        <f ca="1">Model!AD57</f>
        <v/>
      </c>
      <c r="Y23" s="96" t="str">
        <f ca="1">Model!AE57</f>
        <v/>
      </c>
      <c r="Z23" s="96" t="str">
        <f ca="1">Model!AF57</f>
        <v/>
      </c>
      <c r="AA23" s="96" t="str">
        <f ca="1">Model!AG57</f>
        <v/>
      </c>
      <c r="AB23" s="12"/>
      <c r="AC23" s="88" t="str">
        <f>IFERROR((V23/T23)^(1/(V$4-T$4))-1,"N/A")</f>
        <v>N/A</v>
      </c>
      <c r="AD23" s="69"/>
      <c r="AE23" s="88" t="str">
        <f ca="1">IFERROR((AA23/V23)^(1/(AA$4-V$4))-1,"N/A")</f>
        <v>N/A</v>
      </c>
    </row>
    <row r="24" spans="1:31" ht="13.5" customHeight="1">
      <c r="A24" s="13"/>
      <c r="B24" s="12"/>
      <c r="C24" s="89" t="s">
        <v>107</v>
      </c>
      <c r="D24" s="12"/>
      <c r="E24" s="12"/>
      <c r="F24" s="12"/>
      <c r="G24" s="12"/>
      <c r="H24" s="90"/>
      <c r="I24" s="90"/>
      <c r="J24" s="91"/>
      <c r="K24" s="90">
        <f t="shared" ref="K24:R24" si="14">K23/G23-1</f>
        <v>0.91411349416873033</v>
      </c>
      <c r="L24" s="90">
        <f t="shared" si="14"/>
        <v>2.5988054475358124E-2</v>
      </c>
      <c r="M24" s="90">
        <f t="shared" si="14"/>
        <v>-0.38627542128449199</v>
      </c>
      <c r="N24" s="92" t="str">
        <f t="shared" ca="1" si="14"/>
        <v>#REF!</v>
      </c>
      <c r="O24" s="90" t="str">
        <f t="shared" ca="1" si="14"/>
        <v>#REF!</v>
      </c>
      <c r="P24" s="90" t="str">
        <f t="shared" ca="1" si="14"/>
        <v>#REF!</v>
      </c>
      <c r="Q24" s="90" t="str">
        <f t="shared" ca="1" si="14"/>
        <v>#REF!</v>
      </c>
      <c r="R24" s="90" t="str">
        <f t="shared" ca="1" si="14"/>
        <v>#REF!</v>
      </c>
      <c r="S24" s="12"/>
      <c r="T24" s="90"/>
      <c r="U24" s="90">
        <f t="shared" ref="U24:AA24" si="15">IF(ISERROR(U23/T23-1),"NA",(U23/T23-1))</f>
        <v>-2.9296296119637022</v>
      </c>
      <c r="V24" s="91">
        <f t="shared" si="15"/>
        <v>0.41634767263538075</v>
      </c>
      <c r="W24" s="90" t="str">
        <f t="shared" ca="1" si="15"/>
        <v>NA</v>
      </c>
      <c r="X24" s="90" t="str">
        <f t="shared" ca="1" si="15"/>
        <v>NA</v>
      </c>
      <c r="Y24" s="90" t="str">
        <f t="shared" ca="1" si="15"/>
        <v>NA</v>
      </c>
      <c r="Z24" s="90" t="str">
        <f t="shared" ca="1" si="15"/>
        <v>NA</v>
      </c>
      <c r="AA24" s="90" t="str">
        <f t="shared" ca="1" si="15"/>
        <v>NA</v>
      </c>
      <c r="AB24" s="12"/>
      <c r="AC24" s="95"/>
      <c r="AD24" s="69"/>
      <c r="AE24" s="95"/>
    </row>
    <row r="25" spans="1:31" ht="13.5" customHeight="1">
      <c r="A25" s="13"/>
      <c r="B25" s="12"/>
      <c r="C25" s="89"/>
      <c r="D25" s="12"/>
      <c r="E25" s="12"/>
      <c r="F25" s="12"/>
      <c r="G25" s="12"/>
      <c r="H25" s="12"/>
      <c r="I25" s="12"/>
      <c r="J25" s="99"/>
      <c r="K25" s="100"/>
      <c r="L25" s="12"/>
      <c r="M25" s="12"/>
      <c r="N25" s="94"/>
      <c r="O25" s="12"/>
      <c r="P25" s="12"/>
      <c r="Q25" s="12"/>
      <c r="R25" s="12"/>
      <c r="S25" s="12"/>
      <c r="T25" s="12"/>
      <c r="U25" s="12"/>
      <c r="V25" s="93"/>
      <c r="W25" s="12"/>
      <c r="X25" s="12"/>
      <c r="Y25" s="12"/>
      <c r="Z25" s="12"/>
      <c r="AA25" s="12"/>
      <c r="AB25" s="12"/>
      <c r="AC25" s="95"/>
      <c r="AD25" s="69"/>
      <c r="AE25" s="95"/>
    </row>
    <row r="26" spans="1:31" ht="13.5" customHeight="1">
      <c r="A26" s="13"/>
      <c r="B26" s="12"/>
      <c r="C26" s="101"/>
      <c r="D26" s="101"/>
      <c r="E26" s="101"/>
      <c r="F26" s="101"/>
      <c r="G26" s="101"/>
      <c r="H26" s="101"/>
      <c r="I26" s="101"/>
      <c r="J26" s="93"/>
      <c r="K26" s="12"/>
      <c r="L26" s="101"/>
      <c r="M26" s="101"/>
      <c r="N26" s="102"/>
      <c r="O26" s="101"/>
      <c r="P26" s="101"/>
      <c r="Q26" s="101"/>
      <c r="R26" s="101"/>
      <c r="S26" s="12"/>
      <c r="T26" s="101"/>
      <c r="U26" s="101"/>
      <c r="V26" s="103"/>
      <c r="W26" s="101"/>
      <c r="X26" s="101"/>
      <c r="Y26" s="101"/>
      <c r="Z26" s="101"/>
      <c r="AA26" s="101"/>
      <c r="AB26" s="12"/>
      <c r="AC26" s="95"/>
      <c r="AD26" s="69"/>
      <c r="AE26" s="95"/>
    </row>
    <row r="27" spans="1:31" ht="13.5" customHeight="1">
      <c r="A27" s="13"/>
      <c r="B27" s="12"/>
      <c r="C27" s="12" t="str">
        <f>Model!C61</f>
        <v>EBITDA</v>
      </c>
      <c r="D27" s="12"/>
      <c r="E27" s="12"/>
      <c r="F27" s="12"/>
      <c r="G27" s="85">
        <f>Model!P61</f>
        <v>3434.6259999999997</v>
      </c>
      <c r="H27" s="85">
        <f>Model!Q61</f>
        <v>3862.2370000000005</v>
      </c>
      <c r="I27" s="85">
        <f>Model!R61</f>
        <v>4142.3530000000001</v>
      </c>
      <c r="J27" s="86">
        <f>Model!S61</f>
        <v>3042.6460000000006</v>
      </c>
      <c r="K27" s="85">
        <f>Model!U61</f>
        <v>4055.5720000000001</v>
      </c>
      <c r="L27" s="85">
        <f>Model!V61</f>
        <v>4619</v>
      </c>
      <c r="M27" s="85">
        <f>Model!W61</f>
        <v>3207</v>
      </c>
      <c r="N27" s="87" t="str">
        <f ca="1">Model!X61</f>
        <v/>
      </c>
      <c r="O27" s="85" t="str">
        <f ca="1">Model!Z61</f>
        <v/>
      </c>
      <c r="P27" s="85" t="str">
        <f ca="1">Model!AA61</f>
        <v/>
      </c>
      <c r="Q27" s="85" t="str">
        <f ca="1">Model!AB61</f>
        <v/>
      </c>
      <c r="R27" s="85" t="str">
        <f ca="1">Model!AC61</f>
        <v/>
      </c>
      <c r="S27" s="12"/>
      <c r="T27" s="85">
        <f>Model!J61</f>
        <v>-2709.4799999999968</v>
      </c>
      <c r="U27" s="85">
        <f>Model!O61</f>
        <v>10935.028</v>
      </c>
      <c r="V27" s="86">
        <f>Model!T61</f>
        <v>14481.862000000001</v>
      </c>
      <c r="W27" s="85" t="str">
        <f ca="1">Model!Y61</f>
        <v/>
      </c>
      <c r="X27" s="85" t="str">
        <f ca="1">Model!AD61</f>
        <v/>
      </c>
      <c r="Y27" s="85" t="str">
        <f ca="1">Model!AE61</f>
        <v/>
      </c>
      <c r="Z27" s="85" t="str">
        <f ca="1">Model!AF61</f>
        <v/>
      </c>
      <c r="AA27" s="85" t="str">
        <f ca="1">Model!AG61</f>
        <v/>
      </c>
      <c r="AB27" s="12"/>
      <c r="AC27" s="88" t="str">
        <f>IFERROR((V27/T27)^(1/(V$4-T$4))-1,"N/A")</f>
        <v>N/A</v>
      </c>
      <c r="AD27" s="69"/>
      <c r="AE27" s="88" t="str">
        <f ca="1">IFERROR((AA27/V27)^(1/(AA$4-V$4))-1,"N/A")</f>
        <v>N/A</v>
      </c>
    </row>
    <row r="28" spans="1:31" ht="13.5" customHeight="1">
      <c r="A28" s="13"/>
      <c r="B28" s="12"/>
      <c r="C28" s="89" t="s">
        <v>109</v>
      </c>
      <c r="D28" s="12"/>
      <c r="E28" s="12"/>
      <c r="F28" s="12"/>
      <c r="G28" s="90">
        <f t="shared" ref="G28:R28" si="16">G27/G$8</f>
        <v>0.32577926871615998</v>
      </c>
      <c r="H28" s="90">
        <f t="shared" si="16"/>
        <v>0.34860358622661675</v>
      </c>
      <c r="I28" s="90">
        <f t="shared" si="16"/>
        <v>0.35988206048717902</v>
      </c>
      <c r="J28" s="91">
        <f t="shared" si="16"/>
        <v>0.25248577641812198</v>
      </c>
      <c r="K28" s="90">
        <f t="shared" si="16"/>
        <v>0.33107366946136157</v>
      </c>
      <c r="L28" s="90">
        <f t="shared" si="16"/>
        <v>0.16753717809212912</v>
      </c>
      <c r="M28" s="90">
        <f t="shared" si="16"/>
        <v>0.13993367658608954</v>
      </c>
      <c r="N28" s="92" t="str">
        <f t="shared" ca="1" si="16"/>
        <v>#REF!</v>
      </c>
      <c r="O28" s="90" t="str">
        <f t="shared" ca="1" si="16"/>
        <v>#REF!</v>
      </c>
      <c r="P28" s="90" t="str">
        <f t="shared" ca="1" si="16"/>
        <v>#REF!</v>
      </c>
      <c r="Q28" s="90" t="str">
        <f t="shared" ca="1" si="16"/>
        <v>#REF!</v>
      </c>
      <c r="R28" s="90" t="str">
        <f t="shared" ca="1" si="16"/>
        <v>#REF!</v>
      </c>
      <c r="S28" s="12"/>
      <c r="T28" s="90">
        <f t="shared" ref="T28:AA28" si="17">T27/T$8</f>
        <v>-8.0344457423602342E-2</v>
      </c>
      <c r="U28" s="90">
        <f t="shared" si="17"/>
        <v>0.28037838857632397</v>
      </c>
      <c r="V28" s="91">
        <f t="shared" si="17"/>
        <v>0.32051546956694105</v>
      </c>
      <c r="W28" s="90" t="str">
        <f t="shared" ca="1" si="17"/>
        <v>#REF!</v>
      </c>
      <c r="X28" s="90" t="str">
        <f t="shared" ca="1" si="17"/>
        <v>#REF!</v>
      </c>
      <c r="Y28" s="90" t="str">
        <f t="shared" ca="1" si="17"/>
        <v>#REF!</v>
      </c>
      <c r="Z28" s="90" t="str">
        <f t="shared" ca="1" si="17"/>
        <v>#REF!</v>
      </c>
      <c r="AA28" s="90" t="str">
        <f t="shared" ca="1" si="17"/>
        <v>#REF!</v>
      </c>
      <c r="AB28" s="12"/>
      <c r="AC28" s="95"/>
      <c r="AD28" s="69"/>
      <c r="AE28" s="95"/>
    </row>
    <row r="29" spans="1:31" ht="13.5" customHeight="1">
      <c r="A29" s="13"/>
      <c r="B29" s="12"/>
      <c r="C29" s="89" t="s">
        <v>107</v>
      </c>
      <c r="D29" s="12"/>
      <c r="E29" s="12"/>
      <c r="F29" s="12"/>
      <c r="G29" s="12"/>
      <c r="H29" s="90"/>
      <c r="I29" s="90"/>
      <c r="J29" s="91"/>
      <c r="K29" s="90">
        <f t="shared" ref="K29:R29" si="18">K27/G27-1</f>
        <v>0.1807899899435923</v>
      </c>
      <c r="L29" s="90">
        <f t="shared" si="18"/>
        <v>0.19593903740241725</v>
      </c>
      <c r="M29" s="90">
        <f t="shared" si="18"/>
        <v>-0.22580233987784237</v>
      </c>
      <c r="N29" s="92" t="str">
        <f t="shared" ca="1" si="18"/>
        <v>#REF!</v>
      </c>
      <c r="O29" s="90" t="str">
        <f t="shared" ca="1" si="18"/>
        <v>#REF!</v>
      </c>
      <c r="P29" s="90" t="str">
        <f t="shared" ca="1" si="18"/>
        <v>#REF!</v>
      </c>
      <c r="Q29" s="90" t="str">
        <f t="shared" ca="1" si="18"/>
        <v>#REF!</v>
      </c>
      <c r="R29" s="90" t="str">
        <f t="shared" ca="1" si="18"/>
        <v>#REF!</v>
      </c>
      <c r="S29" s="12"/>
      <c r="T29" s="90"/>
      <c r="U29" s="90">
        <f t="shared" ref="U29:AA29" si="19">U27/T27-1</f>
        <v>-5.0358400873968483</v>
      </c>
      <c r="V29" s="91">
        <f t="shared" si="19"/>
        <v>0.32435527371306239</v>
      </c>
      <c r="W29" s="90" t="str">
        <f t="shared" ca="1" si="19"/>
        <v>#REF!</v>
      </c>
      <c r="X29" s="90" t="str">
        <f t="shared" ca="1" si="19"/>
        <v>#REF!</v>
      </c>
      <c r="Y29" s="90" t="str">
        <f t="shared" ca="1" si="19"/>
        <v>#REF!</v>
      </c>
      <c r="Z29" s="90" t="str">
        <f t="shared" ca="1" si="19"/>
        <v>#REF!</v>
      </c>
      <c r="AA29" s="90" t="str">
        <f t="shared" ca="1" si="19"/>
        <v>#REF!</v>
      </c>
      <c r="AB29" s="12"/>
      <c r="AC29" s="104"/>
      <c r="AD29" s="69"/>
      <c r="AE29" s="104"/>
    </row>
    <row r="30" spans="1:31" ht="4.5" customHeight="1">
      <c r="A30" s="13"/>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ht="13.5" customHeight="1">
      <c r="A31" s="13"/>
      <c r="B31" s="12"/>
      <c r="C31" s="81"/>
      <c r="D31" s="81"/>
      <c r="E31" s="81"/>
      <c r="F31" s="81"/>
      <c r="G31" s="882" t="str">
        <f>G$5</f>
        <v>Quarterly</v>
      </c>
      <c r="H31" s="883"/>
      <c r="I31" s="883"/>
      <c r="J31" s="883"/>
      <c r="K31" s="883"/>
      <c r="L31" s="883"/>
      <c r="M31" s="883"/>
      <c r="N31" s="883"/>
      <c r="O31" s="883"/>
      <c r="P31" s="883"/>
      <c r="Q31" s="883"/>
      <c r="R31" s="883"/>
      <c r="S31" s="883"/>
      <c r="T31" s="884" t="str">
        <f>T$5</f>
        <v>Annuals</v>
      </c>
      <c r="U31" s="885"/>
      <c r="V31" s="885"/>
      <c r="W31" s="885"/>
      <c r="X31" s="885"/>
      <c r="Y31" s="885"/>
      <c r="Z31" s="885"/>
      <c r="AA31" s="885"/>
      <c r="AB31" s="12"/>
      <c r="AC31" s="12"/>
      <c r="AD31" s="12"/>
      <c r="AE31" s="12"/>
    </row>
    <row r="32" spans="1:31" ht="13.5" customHeight="1">
      <c r="A32" s="13" t="s">
        <v>1</v>
      </c>
      <c r="B32" s="12"/>
      <c r="C32" s="81" t="str">
        <f>"Consolidated "&amp;Model!C118</f>
        <v>Consolidated Balance Sheet</v>
      </c>
      <c r="D32" s="81"/>
      <c r="E32" s="81"/>
      <c r="F32" s="81"/>
      <c r="G32" s="82" t="str">
        <f t="shared" ref="G32:R32" si="20">G$6</f>
        <v>1Q25</v>
      </c>
      <c r="H32" s="82" t="str">
        <f t="shared" si="20"/>
        <v>2Q25</v>
      </c>
      <c r="I32" s="82" t="str">
        <f t="shared" si="20"/>
        <v>3Q25</v>
      </c>
      <c r="J32" s="82" t="str">
        <f t="shared" si="20"/>
        <v>4Q25</v>
      </c>
      <c r="K32" s="82" t="str">
        <f t="shared" si="20"/>
        <v>1Q26</v>
      </c>
      <c r="L32" s="82" t="str">
        <f t="shared" si="20"/>
        <v>2Q26</v>
      </c>
      <c r="M32" s="82" t="str">
        <f t="shared" si="20"/>
        <v>3Q26e</v>
      </c>
      <c r="N32" s="82" t="str">
        <f t="shared" si="20"/>
        <v>4Q26e</v>
      </c>
      <c r="O32" s="82" t="str">
        <f t="shared" si="20"/>
        <v>1Q27e</v>
      </c>
      <c r="P32" s="82" t="str">
        <f t="shared" si="20"/>
        <v>2Q27e</v>
      </c>
      <c r="Q32" s="82" t="str">
        <f t="shared" si="20"/>
        <v>3Q27e</v>
      </c>
      <c r="R32" s="82" t="str">
        <f t="shared" si="20"/>
        <v>4Q27e</v>
      </c>
      <c r="S32" s="82"/>
      <c r="T32" s="82">
        <f t="shared" ref="T32:AA32" si="21">T$6</f>
        <v>2023</v>
      </c>
      <c r="U32" s="82">
        <f t="shared" si="21"/>
        <v>2024</v>
      </c>
      <c r="V32" s="82">
        <f t="shared" si="21"/>
        <v>2025</v>
      </c>
      <c r="W32" s="82" t="str">
        <f t="shared" si="21"/>
        <v>2026e</v>
      </c>
      <c r="X32" s="82" t="str">
        <f t="shared" si="21"/>
        <v>2027e</v>
      </c>
      <c r="Y32" s="82" t="str">
        <f t="shared" si="21"/>
        <v>2028e</v>
      </c>
      <c r="Z32" s="82" t="str">
        <f t="shared" si="21"/>
        <v>2029e</v>
      </c>
      <c r="AA32" s="82" t="str">
        <f t="shared" si="21"/>
        <v>2030e</v>
      </c>
      <c r="AB32" s="12"/>
      <c r="AC32" s="12"/>
      <c r="AD32" s="12"/>
      <c r="AE32" s="12"/>
    </row>
    <row r="33" spans="1:31" ht="4.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ht="13.5" customHeight="1">
      <c r="A34" s="13"/>
      <c r="B34" s="12"/>
      <c r="C34" s="12" t="str">
        <f>Model!C120</f>
        <v>Cash &amp; Cash Equivalents</v>
      </c>
      <c r="D34" s="12"/>
      <c r="E34" s="12"/>
      <c r="F34" s="12"/>
      <c r="G34" s="85">
        <f>Model!P120</f>
        <v>7199.848</v>
      </c>
      <c r="H34" s="85">
        <f>Model!Q120</f>
        <v>8177.4049999999997</v>
      </c>
      <c r="I34" s="85">
        <f>Model!R120</f>
        <v>9287.2870000000003</v>
      </c>
      <c r="J34" s="86">
        <f>Model!S120</f>
        <v>9033.6810000000005</v>
      </c>
      <c r="K34" s="85">
        <f>Model!U120</f>
        <v>7146</v>
      </c>
      <c r="L34" s="85">
        <f>Model!V120</f>
        <v>6255</v>
      </c>
      <c r="M34" s="85">
        <f>Model!W120</f>
        <v>6673</v>
      </c>
      <c r="N34" s="87" t="str">
        <f ca="1">Model!X120</f>
        <v/>
      </c>
      <c r="O34" s="85" t="str">
        <f ca="1">Model!Z120</f>
        <v/>
      </c>
      <c r="P34" s="85" t="str">
        <f ca="1">Model!AA120</f>
        <v/>
      </c>
      <c r="Q34" s="85" t="str">
        <f ca="1">Model!AB120</f>
        <v/>
      </c>
      <c r="R34" s="85" t="str">
        <f ca="1">Model!AC120</f>
        <v/>
      </c>
      <c r="S34" s="12"/>
      <c r="T34" s="85">
        <f>Model!J120</f>
        <v>729</v>
      </c>
      <c r="U34" s="85">
        <f>Model!O120</f>
        <v>876</v>
      </c>
      <c r="V34" s="86">
        <f>Model!T120</f>
        <v>9033.6810000000005</v>
      </c>
      <c r="W34" s="85" t="str">
        <f ca="1">Model!Y120</f>
        <v/>
      </c>
      <c r="X34" s="85" t="str">
        <f ca="1">Model!AD120</f>
        <v/>
      </c>
      <c r="Y34" s="85" t="str">
        <f ca="1">Model!AE120</f>
        <v/>
      </c>
      <c r="Z34" s="85" t="str">
        <f ca="1">Model!AF120</f>
        <v/>
      </c>
      <c r="AA34" s="85" t="str">
        <f ca="1">Model!AG120</f>
        <v/>
      </c>
      <c r="AB34" s="12"/>
      <c r="AC34" s="12"/>
      <c r="AD34" s="12"/>
      <c r="AE34" s="12"/>
    </row>
    <row r="35" spans="1:31" ht="13.5" customHeight="1">
      <c r="A35" s="13"/>
      <c r="B35" s="12"/>
      <c r="C35" s="12" t="str">
        <f>Model!C121</f>
        <v>Accounts Receivable</v>
      </c>
      <c r="D35" s="12"/>
      <c r="E35" s="12"/>
      <c r="F35" s="12"/>
      <c r="G35" s="105">
        <f>Model!P121</f>
        <v>0</v>
      </c>
      <c r="H35" s="105">
        <f>Model!Q121</f>
        <v>0</v>
      </c>
      <c r="I35" s="105">
        <f>Model!R121</f>
        <v>0</v>
      </c>
      <c r="J35" s="106">
        <f>Model!S121</f>
        <v>0</v>
      </c>
      <c r="K35" s="105">
        <f>Model!U121</f>
        <v>0</v>
      </c>
      <c r="L35" s="105">
        <f>Model!V121</f>
        <v>0</v>
      </c>
      <c r="M35" s="105">
        <f>Model!W121</f>
        <v>0</v>
      </c>
      <c r="N35" s="107">
        <f>Model!X121</f>
        <v>0</v>
      </c>
      <c r="O35" s="105">
        <f>Model!Z121</f>
        <v>0</v>
      </c>
      <c r="P35" s="105">
        <f>Model!AA121</f>
        <v>0</v>
      </c>
      <c r="Q35" s="105">
        <f>Model!AB121</f>
        <v>0</v>
      </c>
      <c r="R35" s="105">
        <f>Model!AC121</f>
        <v>0</v>
      </c>
      <c r="S35" s="12"/>
      <c r="T35" s="105">
        <f>Model!J121</f>
        <v>0</v>
      </c>
      <c r="U35" s="105">
        <f>Model!O121</f>
        <v>0</v>
      </c>
      <c r="V35" s="106">
        <f>Model!T121</f>
        <v>0</v>
      </c>
      <c r="W35" s="105">
        <f>Model!Y121</f>
        <v>0</v>
      </c>
      <c r="X35" s="105">
        <f>Model!AD121</f>
        <v>0</v>
      </c>
      <c r="Y35" s="105">
        <f>Model!AE121</f>
        <v>0</v>
      </c>
      <c r="Z35" s="105">
        <f>Model!AF121</f>
        <v>0</v>
      </c>
      <c r="AA35" s="105">
        <f>Model!AG121</f>
        <v>0</v>
      </c>
      <c r="AB35" s="12"/>
      <c r="AC35" s="12"/>
      <c r="AD35" s="12"/>
      <c r="AE35" s="12"/>
    </row>
    <row r="36" spans="1:31" ht="13.5" customHeight="1">
      <c r="A36" s="13"/>
      <c r="B36" s="12"/>
      <c r="C36" s="12" t="str">
        <f>Model!C122</f>
        <v>Inventory</v>
      </c>
      <c r="D36" s="12"/>
      <c r="E36" s="12"/>
      <c r="F36" s="12"/>
      <c r="G36" s="105">
        <f>Model!P122</f>
        <v>14283</v>
      </c>
      <c r="H36" s="105">
        <f>Model!Q122</f>
        <v>13831</v>
      </c>
      <c r="I36" s="105">
        <f>Model!R122</f>
        <v>15712</v>
      </c>
      <c r="J36" s="106">
        <f>Model!S122</f>
        <v>16193</v>
      </c>
      <c r="K36" s="105">
        <f>Model!U122</f>
        <v>18382</v>
      </c>
      <c r="L36" s="105">
        <f>Model!V122</f>
        <v>17322</v>
      </c>
      <c r="M36" s="105">
        <f>Model!W122</f>
        <v>16685</v>
      </c>
      <c r="N36" s="107">
        <f>Model!X122</f>
        <v>18529.950326086957</v>
      </c>
      <c r="O36" s="105">
        <f>Model!Z122</f>
        <v>23065.506292307695</v>
      </c>
      <c r="P36" s="105">
        <f>Model!AA122</f>
        <v>22014.148331076922</v>
      </c>
      <c r="Q36" s="105">
        <f>Model!AB122</f>
        <v>20954.804900326959</v>
      </c>
      <c r="R36" s="105">
        <f>Model!AC122</f>
        <v>20718.783200747737</v>
      </c>
      <c r="S36" s="12"/>
      <c r="T36" s="105">
        <f>Model!J122</f>
        <v>12561</v>
      </c>
      <c r="U36" s="105">
        <f>Model!O122</f>
        <v>13179</v>
      </c>
      <c r="V36" s="106">
        <f>Model!T122</f>
        <v>16193</v>
      </c>
      <c r="W36" s="105">
        <f>Model!Y122</f>
        <v>18529.950326086957</v>
      </c>
      <c r="X36" s="105">
        <f>Model!AD122</f>
        <v>20718.783200747737</v>
      </c>
      <c r="Y36" s="105">
        <f>Model!AE122</f>
        <v>21269.509108004873</v>
      </c>
      <c r="Z36" s="105">
        <f>Model!AF122</f>
        <v>21669.701962301831</v>
      </c>
      <c r="AA36" s="105">
        <f>Model!AG122</f>
        <v>22051.693452707059</v>
      </c>
      <c r="AB36" s="12"/>
      <c r="AC36" s="12"/>
      <c r="AD36" s="12"/>
      <c r="AE36" s="12"/>
    </row>
    <row r="37" spans="1:31" ht="13.5" customHeight="1">
      <c r="A37" s="13"/>
      <c r="B37" s="12"/>
      <c r="C37" s="12" t="str">
        <f>Model!C123</f>
        <v>Prepaid &amp; Other Current Assets</v>
      </c>
      <c r="D37" s="12"/>
      <c r="E37" s="12"/>
      <c r="F37" s="12"/>
      <c r="G37" s="105">
        <f>Model!P123</f>
        <v>4497.7839999999997</v>
      </c>
      <c r="H37" s="105">
        <f>Model!Q123</f>
        <v>3815.701</v>
      </c>
      <c r="I37" s="105">
        <f>Model!R123</f>
        <v>3675.6480000000001</v>
      </c>
      <c r="J37" s="106">
        <f>Model!S123</f>
        <v>3986.51</v>
      </c>
      <c r="K37" s="105">
        <f>Model!U123</f>
        <v>4811.21</v>
      </c>
      <c r="L37" s="105">
        <f>Model!V123</f>
        <v>1506</v>
      </c>
      <c r="M37" s="105">
        <f>Model!W123</f>
        <v>1491</v>
      </c>
      <c r="N37" s="107">
        <f>Model!X123</f>
        <v>0</v>
      </c>
      <c r="O37" s="105">
        <f>Model!Z123</f>
        <v>1849.7576159999996</v>
      </c>
      <c r="P37" s="105">
        <f>Model!AA123</f>
        <v>2108.72368224</v>
      </c>
      <c r="Q37" s="105">
        <f>Model!AB123</f>
        <v>1855.6768403711999</v>
      </c>
      <c r="R37" s="105">
        <f>Model!AC123</f>
        <v>1762.8929983526398</v>
      </c>
      <c r="S37" s="12"/>
      <c r="T37" s="105">
        <f>Model!J123</f>
        <v>2801.22</v>
      </c>
      <c r="U37" s="105">
        <f>Model!O123</f>
        <v>5295.6459999999997</v>
      </c>
      <c r="V37" s="106">
        <f>Model!T123</f>
        <v>3986.51</v>
      </c>
      <c r="W37" s="105">
        <f>Model!Y123</f>
        <v>0</v>
      </c>
      <c r="X37" s="105">
        <f>Model!AD123</f>
        <v>1762.8929983526398</v>
      </c>
      <c r="Y37" s="105">
        <f>Model!AE123</f>
        <v>1932.1480399257787</v>
      </c>
      <c r="Z37" s="105">
        <f>Model!AF123</f>
        <v>1970.7910007242942</v>
      </c>
      <c r="AA37" s="105">
        <f>Model!AG123</f>
        <v>2010.2068207387802</v>
      </c>
      <c r="AB37" s="12"/>
      <c r="AC37" s="12"/>
      <c r="AD37" s="12"/>
      <c r="AE37" s="12"/>
    </row>
    <row r="38" spans="1:31" ht="13.5" customHeight="1">
      <c r="A38" s="13"/>
      <c r="B38" s="12"/>
      <c r="C38" s="108" t="str">
        <f>Model!C124</f>
        <v>Total Current Assets</v>
      </c>
      <c r="D38" s="12"/>
      <c r="E38" s="12"/>
      <c r="F38" s="12"/>
      <c r="G38" s="109">
        <f t="shared" ref="G38:R38" si="22">SUM(G34:G37)</f>
        <v>25980.631999999998</v>
      </c>
      <c r="H38" s="109">
        <f t="shared" si="22"/>
        <v>25824.106</v>
      </c>
      <c r="I38" s="109">
        <f t="shared" si="22"/>
        <v>28674.935000000001</v>
      </c>
      <c r="J38" s="110">
        <f t="shared" si="22"/>
        <v>29213.190999999999</v>
      </c>
      <c r="K38" s="109">
        <f t="shared" si="22"/>
        <v>30339.21</v>
      </c>
      <c r="L38" s="109">
        <f t="shared" si="22"/>
        <v>25083</v>
      </c>
      <c r="M38" s="109">
        <f t="shared" si="22"/>
        <v>24849</v>
      </c>
      <c r="N38" s="111" t="str">
        <f t="shared" ca="1" si="22"/>
        <v>#REF!</v>
      </c>
      <c r="O38" s="109" t="str">
        <f t="shared" ca="1" si="22"/>
        <v>#REF!</v>
      </c>
      <c r="P38" s="109" t="str">
        <f t="shared" ca="1" si="22"/>
        <v>#REF!</v>
      </c>
      <c r="Q38" s="109" t="str">
        <f t="shared" ca="1" si="22"/>
        <v>#REF!</v>
      </c>
      <c r="R38" s="109" t="str">
        <f t="shared" ca="1" si="22"/>
        <v>#REF!</v>
      </c>
      <c r="S38" s="12"/>
      <c r="T38" s="109">
        <f t="shared" ref="T38:AA38" si="23">SUM(T34:T37)</f>
        <v>16091.22</v>
      </c>
      <c r="U38" s="109">
        <f t="shared" si="23"/>
        <v>19350.646000000001</v>
      </c>
      <c r="V38" s="110">
        <f t="shared" si="23"/>
        <v>29213.190999999999</v>
      </c>
      <c r="W38" s="109" t="str">
        <f t="shared" ca="1" si="23"/>
        <v>#REF!</v>
      </c>
      <c r="X38" s="109" t="str">
        <f t="shared" ca="1" si="23"/>
        <v>#REF!</v>
      </c>
      <c r="Y38" s="109" t="str">
        <f t="shared" ca="1" si="23"/>
        <v>#REF!</v>
      </c>
      <c r="Z38" s="109" t="str">
        <f t="shared" ca="1" si="23"/>
        <v>#REF!</v>
      </c>
      <c r="AA38" s="109" t="str">
        <f t="shared" ca="1" si="23"/>
        <v>#REF!</v>
      </c>
      <c r="AB38" s="12"/>
      <c r="AC38" s="12"/>
      <c r="AD38" s="12"/>
      <c r="AE38" s="12"/>
    </row>
    <row r="39" spans="1:31" ht="13.5" customHeight="1">
      <c r="A39" s="13"/>
      <c r="B39" s="12"/>
      <c r="C39" s="12"/>
      <c r="D39" s="12"/>
      <c r="E39" s="12"/>
      <c r="F39" s="12"/>
      <c r="G39" s="112"/>
      <c r="H39" s="112"/>
      <c r="I39" s="112"/>
      <c r="J39" s="113"/>
      <c r="K39" s="112"/>
      <c r="L39" s="112"/>
      <c r="M39" s="112"/>
      <c r="N39" s="114"/>
      <c r="O39" s="112"/>
      <c r="P39" s="112"/>
      <c r="Q39" s="112"/>
      <c r="R39" s="112"/>
      <c r="S39" s="12"/>
      <c r="T39" s="112"/>
      <c r="U39" s="112"/>
      <c r="V39" s="113"/>
      <c r="W39" s="112"/>
      <c r="X39" s="112"/>
      <c r="Y39" s="112"/>
      <c r="Z39" s="112"/>
      <c r="AA39" s="112"/>
      <c r="AB39" s="12"/>
      <c r="AC39" s="12"/>
      <c r="AD39" s="12"/>
      <c r="AE39" s="12"/>
    </row>
    <row r="40" spans="1:31" ht="13.5" customHeight="1">
      <c r="A40" s="13"/>
      <c r="B40" s="12"/>
      <c r="C40" s="12" t="str">
        <f>Model!C126</f>
        <v>PP&amp;E, Net</v>
      </c>
      <c r="D40" s="12"/>
      <c r="E40" s="12"/>
      <c r="F40" s="12"/>
      <c r="G40" s="85">
        <f>Model!P126</f>
        <v>1644.346</v>
      </c>
      <c r="H40" s="85">
        <f>Model!Q126</f>
        <v>1743.566</v>
      </c>
      <c r="I40" s="85">
        <f>Model!R126</f>
        <v>1837.8889999999999</v>
      </c>
      <c r="J40" s="86">
        <f>Model!S126</f>
        <v>2004.35</v>
      </c>
      <c r="K40" s="85">
        <f>Model!U126</f>
        <v>2147.8290000000002</v>
      </c>
      <c r="L40" s="85">
        <f>Model!V126</f>
        <v>19031</v>
      </c>
      <c r="M40" s="85">
        <f>Model!W126</f>
        <v>18925</v>
      </c>
      <c r="N40" s="87">
        <f>Model!X126</f>
        <v>18963.938200000001</v>
      </c>
      <c r="O40" s="85">
        <f>Model!Z126</f>
        <v>19248.6551535</v>
      </c>
      <c r="P40" s="85">
        <f>Model!AA126</f>
        <v>19556.13592455375</v>
      </c>
      <c r="Q40" s="85">
        <f>Model!AB126</f>
        <v>19652.049466517259</v>
      </c>
      <c r="R40" s="85">
        <f>Model!AC126</f>
        <v>19724.377225464246</v>
      </c>
      <c r="S40" s="12"/>
      <c r="T40" s="85">
        <f>Model!J126</f>
        <v>1491.444</v>
      </c>
      <c r="U40" s="85">
        <f>Model!O126</f>
        <v>1593.7560000000001</v>
      </c>
      <c r="V40" s="86">
        <f>Model!T126</f>
        <v>2004.35</v>
      </c>
      <c r="W40" s="85">
        <f>Model!Y126</f>
        <v>18963.938200000001</v>
      </c>
      <c r="X40" s="85">
        <f>Model!AD126</f>
        <v>19724.377225464246</v>
      </c>
      <c r="Y40" s="85">
        <f>Model!AE126</f>
        <v>20451.053220703907</v>
      </c>
      <c r="Z40" s="85">
        <f>Model!AF126</f>
        <v>21168.345167395775</v>
      </c>
      <c r="AA40" s="85">
        <f>Model!AG126</f>
        <v>21989.465606205191</v>
      </c>
      <c r="AB40" s="12"/>
      <c r="AC40" s="12"/>
      <c r="AD40" s="12"/>
      <c r="AE40" s="12"/>
    </row>
    <row r="41" spans="1:31" ht="13.5" customHeight="1">
      <c r="A41" s="13"/>
      <c r="B41" s="12"/>
      <c r="C41" s="12" t="str">
        <f>Model!C127</f>
        <v>Intangible Assets, Net</v>
      </c>
      <c r="D41" s="12"/>
      <c r="E41" s="12"/>
      <c r="F41" s="12"/>
      <c r="G41" s="105">
        <f>Model!P127</f>
        <v>0</v>
      </c>
      <c r="H41" s="105">
        <f>Model!Q127</f>
        <v>0</v>
      </c>
      <c r="I41" s="105">
        <f>Model!R127</f>
        <v>0</v>
      </c>
      <c r="J41" s="106">
        <f>Model!S127</f>
        <v>0</v>
      </c>
      <c r="K41" s="105">
        <f>Model!U127</f>
        <v>0</v>
      </c>
      <c r="L41" s="105">
        <f>Model!V127</f>
        <v>0</v>
      </c>
      <c r="M41" s="105">
        <f>Model!W127</f>
        <v>0</v>
      </c>
      <c r="N41" s="107">
        <f>Model!X127</f>
        <v>0</v>
      </c>
      <c r="O41" s="105">
        <f>Model!Z127</f>
        <v>0</v>
      </c>
      <c r="P41" s="105">
        <f>Model!AA127</f>
        <v>0</v>
      </c>
      <c r="Q41" s="105">
        <f>Model!AB127</f>
        <v>0</v>
      </c>
      <c r="R41" s="105">
        <f>Model!AC127</f>
        <v>0</v>
      </c>
      <c r="S41" s="12"/>
      <c r="T41" s="105">
        <f>Model!J127</f>
        <v>31658.056</v>
      </c>
      <c r="U41" s="105">
        <f>Model!O127</f>
        <v>32452.462</v>
      </c>
      <c r="V41" s="106">
        <f>Model!T127</f>
        <v>0</v>
      </c>
      <c r="W41" s="105">
        <f>Model!Y127</f>
        <v>0</v>
      </c>
      <c r="X41" s="105">
        <f>Model!AD127</f>
        <v>0</v>
      </c>
      <c r="Y41" s="105">
        <f>Model!AE127</f>
        <v>0</v>
      </c>
      <c r="Z41" s="105">
        <f>Model!AF127</f>
        <v>0</v>
      </c>
      <c r="AA41" s="105">
        <f>Model!AG127</f>
        <v>0</v>
      </c>
      <c r="AB41" s="12"/>
      <c r="AC41" s="12"/>
      <c r="AD41" s="12"/>
      <c r="AE41" s="12"/>
    </row>
    <row r="42" spans="1:31" ht="13.5" customHeight="1">
      <c r="A42" s="13"/>
      <c r="B42" s="12"/>
      <c r="C42" s="12" t="str">
        <f>Model!C128</f>
        <v>Goodwill</v>
      </c>
      <c r="D42" s="12"/>
      <c r="E42" s="12"/>
      <c r="F42" s="12"/>
      <c r="G42" s="105">
        <f>Model!P128</f>
        <v>0</v>
      </c>
      <c r="H42" s="105">
        <f>Model!Q128</f>
        <v>0</v>
      </c>
      <c r="I42" s="105">
        <f>Model!R128</f>
        <v>0</v>
      </c>
      <c r="J42" s="106">
        <f>Model!S128</f>
        <v>311</v>
      </c>
      <c r="K42" s="105">
        <f>Model!U128</f>
        <v>0</v>
      </c>
      <c r="L42" s="105">
        <f>Model!V128</f>
        <v>0</v>
      </c>
      <c r="M42" s="105">
        <f>Model!W128</f>
        <v>0</v>
      </c>
      <c r="N42" s="107">
        <f>Model!X128</f>
        <v>0</v>
      </c>
      <c r="O42" s="105">
        <f>Model!Z128</f>
        <v>0</v>
      </c>
      <c r="P42" s="105">
        <f>Model!AA128</f>
        <v>0</v>
      </c>
      <c r="Q42" s="105">
        <f>Model!AB128</f>
        <v>0</v>
      </c>
      <c r="R42" s="105">
        <f>Model!AC128</f>
        <v>0</v>
      </c>
      <c r="S42" s="12"/>
      <c r="T42" s="105">
        <f>Model!J128</f>
        <v>303</v>
      </c>
      <c r="U42" s="105">
        <f>Model!O128</f>
        <v>303</v>
      </c>
      <c r="V42" s="106">
        <f>Model!T128</f>
        <v>311</v>
      </c>
      <c r="W42" s="105">
        <f>Model!Y128</f>
        <v>0</v>
      </c>
      <c r="X42" s="105">
        <f>Model!AD128</f>
        <v>0</v>
      </c>
      <c r="Y42" s="105">
        <f>Model!AE128</f>
        <v>0</v>
      </c>
      <c r="Z42" s="105">
        <f>Model!AF128</f>
        <v>0</v>
      </c>
      <c r="AA42" s="105">
        <f>Model!AG128</f>
        <v>0</v>
      </c>
      <c r="AB42" s="12"/>
      <c r="AC42" s="12"/>
      <c r="AD42" s="12"/>
      <c r="AE42" s="12"/>
    </row>
    <row r="43" spans="1:31" ht="13.5" customHeight="1">
      <c r="A43" s="13"/>
      <c r="B43" s="12"/>
      <c r="C43" s="12" t="str">
        <f>Model!C129</f>
        <v>Other Non-Current Assets</v>
      </c>
      <c r="D43" s="12"/>
      <c r="E43" s="12"/>
      <c r="F43" s="12"/>
      <c r="G43" s="105">
        <f>Model!P129</f>
        <v>27512.965</v>
      </c>
      <c r="H43" s="105">
        <f>Model!Q129</f>
        <v>29627.881999999983</v>
      </c>
      <c r="I43" s="105">
        <f>Model!R129</f>
        <v>29125.295000000006</v>
      </c>
      <c r="J43" s="106">
        <f>Model!S129</f>
        <v>28037.932000000004</v>
      </c>
      <c r="K43" s="105">
        <f>Model!U129</f>
        <v>39455.027000000009</v>
      </c>
      <c r="L43" s="105">
        <f>Model!V129</f>
        <v>5290</v>
      </c>
      <c r="M43" s="105">
        <f>Model!W129</f>
        <v>5626</v>
      </c>
      <c r="N43" s="107">
        <f>Model!X129</f>
        <v>5738.52</v>
      </c>
      <c r="O43" s="105">
        <f>Model!Z129</f>
        <v>5853.2904000000008</v>
      </c>
      <c r="P43" s="105">
        <f>Model!AA129</f>
        <v>5970.3562080000011</v>
      </c>
      <c r="Q43" s="105">
        <f>Model!AB129</f>
        <v>6089.7633321600015</v>
      </c>
      <c r="R43" s="105">
        <f>Model!AC129</f>
        <v>6211.5585988032017</v>
      </c>
      <c r="S43" s="12"/>
      <c r="T43" s="105">
        <f>Model!J129</f>
        <v>1545</v>
      </c>
      <c r="U43" s="105">
        <f>Model!O129</f>
        <v>5181</v>
      </c>
      <c r="V43" s="106">
        <f>Model!T129</f>
        <v>28037.932000000004</v>
      </c>
      <c r="W43" s="105">
        <f>Model!Y129</f>
        <v>5738.52</v>
      </c>
      <c r="X43" s="105">
        <f>Model!AD129</f>
        <v>6211.5585988032017</v>
      </c>
      <c r="Y43" s="105">
        <f>Model!AE129</f>
        <v>6335.7897707792654</v>
      </c>
      <c r="Z43" s="105">
        <f>Model!AF129</f>
        <v>6462.5055661948509</v>
      </c>
      <c r="AA43" s="105">
        <f>Model!AG129</f>
        <v>6591.7556775187477</v>
      </c>
      <c r="AB43" s="12"/>
      <c r="AC43" s="12"/>
      <c r="AD43" s="12"/>
      <c r="AE43" s="12"/>
    </row>
    <row r="44" spans="1:31" ht="13.5" customHeight="1">
      <c r="A44" s="13"/>
      <c r="B44" s="12"/>
      <c r="C44" s="108" t="str">
        <f>Model!C130</f>
        <v>Total Non-Current Assets</v>
      </c>
      <c r="D44" s="12"/>
      <c r="E44" s="12"/>
      <c r="F44" s="12"/>
      <c r="G44" s="109">
        <f t="shared" ref="G44:R44" si="24">SUM(G40:G43)</f>
        <v>29157.311000000002</v>
      </c>
      <c r="H44" s="109">
        <f t="shared" si="24"/>
        <v>31371.447999999982</v>
      </c>
      <c r="I44" s="109">
        <f t="shared" si="24"/>
        <v>30963.184000000005</v>
      </c>
      <c r="J44" s="110">
        <f t="shared" si="24"/>
        <v>30353.282000000003</v>
      </c>
      <c r="K44" s="109">
        <f t="shared" si="24"/>
        <v>41602.856000000007</v>
      </c>
      <c r="L44" s="109">
        <f t="shared" si="24"/>
        <v>24321</v>
      </c>
      <c r="M44" s="109">
        <f t="shared" si="24"/>
        <v>24551</v>
      </c>
      <c r="N44" s="111">
        <f t="shared" si="24"/>
        <v>24702.458200000001</v>
      </c>
      <c r="O44" s="109">
        <f t="shared" si="24"/>
        <v>25101.945553500002</v>
      </c>
      <c r="P44" s="109">
        <f t="shared" si="24"/>
        <v>25526.492132553751</v>
      </c>
      <c r="Q44" s="109">
        <f t="shared" si="24"/>
        <v>25741.81279867726</v>
      </c>
      <c r="R44" s="109">
        <f t="shared" si="24"/>
        <v>25935.93582426745</v>
      </c>
      <c r="S44" s="12"/>
      <c r="T44" s="109">
        <f t="shared" ref="T44:AA44" si="25">SUM(T40:T43)</f>
        <v>34997.5</v>
      </c>
      <c r="U44" s="109">
        <f t="shared" si="25"/>
        <v>39530.218000000001</v>
      </c>
      <c r="V44" s="110">
        <f t="shared" si="25"/>
        <v>30353.282000000003</v>
      </c>
      <c r="W44" s="109">
        <f t="shared" si="25"/>
        <v>24702.458200000001</v>
      </c>
      <c r="X44" s="109">
        <f t="shared" si="25"/>
        <v>25935.93582426745</v>
      </c>
      <c r="Y44" s="109">
        <f t="shared" si="25"/>
        <v>26786.842991483172</v>
      </c>
      <c r="Z44" s="109">
        <f t="shared" si="25"/>
        <v>27630.850733590625</v>
      </c>
      <c r="AA44" s="109">
        <f t="shared" si="25"/>
        <v>28581.221283723939</v>
      </c>
      <c r="AB44" s="12"/>
      <c r="AC44" s="12"/>
      <c r="AD44" s="12"/>
      <c r="AE44" s="12"/>
    </row>
    <row r="45" spans="1:31" ht="13.5" customHeight="1">
      <c r="A45" s="13"/>
      <c r="B45" s="12"/>
      <c r="C45" s="12"/>
      <c r="D45" s="12"/>
      <c r="E45" s="12"/>
      <c r="F45" s="12"/>
      <c r="G45" s="112"/>
      <c r="H45" s="112"/>
      <c r="I45" s="112"/>
      <c r="J45" s="113"/>
      <c r="K45" s="112"/>
      <c r="L45" s="112"/>
      <c r="M45" s="112"/>
      <c r="N45" s="114"/>
      <c r="O45" s="112"/>
      <c r="P45" s="112"/>
      <c r="Q45" s="112"/>
      <c r="R45" s="112"/>
      <c r="S45" s="12"/>
      <c r="T45" s="112"/>
      <c r="U45" s="112"/>
      <c r="V45" s="113"/>
      <c r="W45" s="112"/>
      <c r="X45" s="112"/>
      <c r="Y45" s="112"/>
      <c r="Z45" s="112"/>
      <c r="AA45" s="112"/>
      <c r="AB45" s="12"/>
      <c r="AC45" s="12"/>
      <c r="AD45" s="12"/>
      <c r="AE45" s="12"/>
    </row>
    <row r="46" spans="1:31" ht="13.5" customHeight="1">
      <c r="A46" s="13"/>
      <c r="B46" s="12"/>
      <c r="C46" s="108" t="str">
        <f>Model!C132</f>
        <v>Total Assets</v>
      </c>
      <c r="D46" s="12"/>
      <c r="E46" s="12"/>
      <c r="F46" s="12"/>
      <c r="G46" s="115">
        <f t="shared" ref="G46:R46" si="26">SUM(G38,G44)</f>
        <v>55137.942999999999</v>
      </c>
      <c r="H46" s="115">
        <f t="shared" si="26"/>
        <v>57195.553999999982</v>
      </c>
      <c r="I46" s="115">
        <f t="shared" si="26"/>
        <v>59638.119000000006</v>
      </c>
      <c r="J46" s="116">
        <f t="shared" si="26"/>
        <v>59566.472999999998</v>
      </c>
      <c r="K46" s="115">
        <f t="shared" si="26"/>
        <v>71942.066000000006</v>
      </c>
      <c r="L46" s="115">
        <f t="shared" si="26"/>
        <v>49404</v>
      </c>
      <c r="M46" s="115">
        <f t="shared" si="26"/>
        <v>49400</v>
      </c>
      <c r="N46" s="117" t="str">
        <f t="shared" ca="1" si="26"/>
        <v>#REF!</v>
      </c>
      <c r="O46" s="115" t="str">
        <f t="shared" ca="1" si="26"/>
        <v>#REF!</v>
      </c>
      <c r="P46" s="115" t="str">
        <f t="shared" ca="1" si="26"/>
        <v>#REF!</v>
      </c>
      <c r="Q46" s="115" t="str">
        <f t="shared" ca="1" si="26"/>
        <v>#REF!</v>
      </c>
      <c r="R46" s="115" t="str">
        <f t="shared" ca="1" si="26"/>
        <v>#REF!</v>
      </c>
      <c r="S46" s="118"/>
      <c r="T46" s="115">
        <f t="shared" ref="T46:AA46" si="27">SUM(T38,T44)</f>
        <v>51088.72</v>
      </c>
      <c r="U46" s="115">
        <f t="shared" si="27"/>
        <v>58880.864000000001</v>
      </c>
      <c r="V46" s="116">
        <f t="shared" si="27"/>
        <v>59566.472999999998</v>
      </c>
      <c r="W46" s="115" t="str">
        <f t="shared" ca="1" si="27"/>
        <v>#REF!</v>
      </c>
      <c r="X46" s="115" t="str">
        <f t="shared" ca="1" si="27"/>
        <v>#REF!</v>
      </c>
      <c r="Y46" s="115" t="str">
        <f t="shared" ca="1" si="27"/>
        <v>#REF!</v>
      </c>
      <c r="Z46" s="115" t="str">
        <f t="shared" ca="1" si="27"/>
        <v>#REF!</v>
      </c>
      <c r="AA46" s="115" t="str">
        <f t="shared" ca="1" si="27"/>
        <v>#REF!</v>
      </c>
      <c r="AB46" s="12"/>
      <c r="AC46" s="12"/>
      <c r="AD46" s="12"/>
      <c r="AE46" s="12"/>
    </row>
    <row r="47" spans="1:31" ht="13.5" customHeight="1">
      <c r="A47" s="13"/>
      <c r="B47" s="12"/>
      <c r="C47" s="12"/>
      <c r="D47" s="12"/>
      <c r="E47" s="12"/>
      <c r="F47" s="12"/>
      <c r="G47" s="12"/>
      <c r="H47" s="12"/>
      <c r="I47" s="12"/>
      <c r="J47" s="93"/>
      <c r="K47" s="12"/>
      <c r="L47" s="12"/>
      <c r="M47" s="12"/>
      <c r="N47" s="94"/>
      <c r="O47" s="12"/>
      <c r="P47" s="12"/>
      <c r="Q47" s="12"/>
      <c r="R47" s="12"/>
      <c r="S47" s="12"/>
      <c r="T47" s="12"/>
      <c r="U47" s="12"/>
      <c r="V47" s="93"/>
      <c r="W47" s="12"/>
      <c r="X47" s="12"/>
      <c r="Y47" s="12"/>
      <c r="Z47" s="12"/>
      <c r="AA47" s="12"/>
      <c r="AB47" s="12"/>
      <c r="AC47" s="12"/>
      <c r="AD47" s="12"/>
      <c r="AE47" s="12"/>
    </row>
    <row r="48" spans="1:31" ht="13.5" customHeight="1">
      <c r="A48" s="13"/>
      <c r="B48" s="12"/>
      <c r="C48" s="12" t="str">
        <f>Model!C134</f>
        <v>Accounts Payable</v>
      </c>
      <c r="D48" s="12"/>
      <c r="E48" s="12"/>
      <c r="F48" s="12"/>
      <c r="G48" s="105">
        <f>Model!P134</f>
        <v>614.48900000000003</v>
      </c>
      <c r="H48" s="105">
        <f>Model!Q134</f>
        <v>632.71799999999996</v>
      </c>
      <c r="I48" s="105">
        <f>Model!R134</f>
        <v>793.23299999999995</v>
      </c>
      <c r="J48" s="106">
        <f>Model!S134</f>
        <v>900.61199999999997</v>
      </c>
      <c r="K48" s="105">
        <f>Model!U134</f>
        <v>894.68100000000004</v>
      </c>
      <c r="L48" s="105">
        <f>Model!V134</f>
        <v>12011</v>
      </c>
      <c r="M48" s="105">
        <f>Model!W134</f>
        <v>11334</v>
      </c>
      <c r="N48" s="107">
        <f>Model!X134</f>
        <v>11323.858532608696</v>
      </c>
      <c r="O48" s="105">
        <f>Model!Z134</f>
        <v>14082.098578461539</v>
      </c>
      <c r="P48" s="105">
        <f>Model!AA134</f>
        <v>13208.488998646155</v>
      </c>
      <c r="Q48" s="105">
        <f>Model!AB134</f>
        <v>13065.937173145043</v>
      </c>
      <c r="R48" s="105">
        <f>Model!AC134</f>
        <v>12661.478622679173</v>
      </c>
      <c r="S48" s="12"/>
      <c r="T48" s="105">
        <f>Model!J134</f>
        <v>747.41200000000003</v>
      </c>
      <c r="U48" s="105">
        <f>Model!O134</f>
        <v>899.90899999999999</v>
      </c>
      <c r="V48" s="106">
        <f>Model!T134</f>
        <v>900.61199999999997</v>
      </c>
      <c r="W48" s="105">
        <f>Model!Y134</f>
        <v>11323.858532608696</v>
      </c>
      <c r="X48" s="105">
        <f>Model!AD134</f>
        <v>12661.478622679173</v>
      </c>
      <c r="Y48" s="105">
        <f>Model!AE134</f>
        <v>13673.255855145992</v>
      </c>
      <c r="Z48" s="105">
        <f>Model!AF134</f>
        <v>13930.522690051177</v>
      </c>
      <c r="AA48" s="105">
        <f>Model!AG134</f>
        <v>14176.088648168821</v>
      </c>
      <c r="AB48" s="12"/>
      <c r="AC48" s="12"/>
      <c r="AD48" s="12"/>
      <c r="AE48" s="12"/>
    </row>
    <row r="49" spans="1:31" ht="13.5" customHeight="1">
      <c r="A49" s="13"/>
      <c r="B49" s="12"/>
      <c r="C49" s="12" t="str">
        <f>Model!C135</f>
        <v>Accrued Liabilities</v>
      </c>
      <c r="D49" s="12"/>
      <c r="E49" s="12"/>
      <c r="F49" s="12"/>
      <c r="G49" s="105">
        <f>Model!P135</f>
        <v>2359.518</v>
      </c>
      <c r="H49" s="105">
        <f>Model!Q135</f>
        <v>2489.4859999999999</v>
      </c>
      <c r="I49" s="105">
        <f>Model!R135</f>
        <v>3111.3110000000001</v>
      </c>
      <c r="J49" s="106">
        <f>Model!S135</f>
        <v>3220.8690000000001</v>
      </c>
      <c r="K49" s="105">
        <f>Model!U135</f>
        <v>4441.9859999999999</v>
      </c>
      <c r="L49" s="105">
        <f>Model!V135</f>
        <v>1331</v>
      </c>
      <c r="M49" s="105">
        <f>Model!W135</f>
        <v>1353</v>
      </c>
      <c r="N49" s="107">
        <f>Model!X135</f>
        <v>947.08635000000004</v>
      </c>
      <c r="O49" s="105">
        <f>Model!Z135</f>
        <v>1104.7163539999999</v>
      </c>
      <c r="P49" s="105">
        <f>Model!AA135</f>
        <v>1252.0546863300001</v>
      </c>
      <c r="Q49" s="105">
        <f>Model!AB135</f>
        <v>1134.0247357824001</v>
      </c>
      <c r="R49" s="105">
        <f>Model!AC135</f>
        <v>1058.9600302604401</v>
      </c>
      <c r="S49" s="12"/>
      <c r="T49" s="105">
        <f>Model!J135</f>
        <v>1803.96</v>
      </c>
      <c r="U49" s="105">
        <f>Model!O135</f>
        <v>2156.5439999999999</v>
      </c>
      <c r="V49" s="106">
        <f>Model!T135</f>
        <v>3220.8690000000001</v>
      </c>
      <c r="W49" s="105">
        <f>Model!Y135</f>
        <v>947.08635000000004</v>
      </c>
      <c r="X49" s="105">
        <f>Model!AD135</f>
        <v>1058.9600302604401</v>
      </c>
      <c r="Y49" s="105">
        <f>Model!AE135</f>
        <v>1201.4740561605136</v>
      </c>
      <c r="Z49" s="105">
        <f>Model!AF135</f>
        <v>1224.0801882276451</v>
      </c>
      <c r="AA49" s="105">
        <f>Model!AG135</f>
        <v>1245.6581599177973</v>
      </c>
      <c r="AB49" s="12"/>
      <c r="AC49" s="12"/>
      <c r="AD49" s="12"/>
      <c r="AE49" s="12"/>
    </row>
    <row r="50" spans="1:31" ht="13.5" customHeight="1">
      <c r="A50" s="13"/>
      <c r="B50" s="12"/>
      <c r="C50" s="12" t="str">
        <f>Model!C136</f>
        <v>Other Current Liabilities</v>
      </c>
      <c r="D50" s="12"/>
      <c r="E50" s="12"/>
      <c r="F50" s="12"/>
      <c r="G50" s="105">
        <f>Model!P136</f>
        <v>8788.93</v>
      </c>
      <c r="H50" s="105">
        <f>Model!Q136</f>
        <v>9916.0210000000006</v>
      </c>
      <c r="I50" s="105">
        <f>Model!R136</f>
        <v>10530.599</v>
      </c>
      <c r="J50" s="106">
        <f>Model!S136</f>
        <v>9662.0640000000003</v>
      </c>
      <c r="K50" s="105">
        <f>Model!U136</f>
        <v>6278</v>
      </c>
      <c r="L50" s="105">
        <f>Model!V136</f>
        <v>6978</v>
      </c>
      <c r="M50" s="105">
        <f>Model!W136</f>
        <v>6795</v>
      </c>
      <c r="N50" s="107">
        <f>Model!X136</f>
        <v>9470.8634999999995</v>
      </c>
      <c r="O50" s="105">
        <f>Model!Z136</f>
        <v>9721.503915199999</v>
      </c>
      <c r="P50" s="105">
        <f>Model!AA136</f>
        <v>11018.081239704001</v>
      </c>
      <c r="Q50" s="105">
        <f>Model!AB136</f>
        <v>11340.247357824001</v>
      </c>
      <c r="R50" s="105">
        <f>Model!AC136</f>
        <v>10589.6003026044</v>
      </c>
      <c r="S50" s="12"/>
      <c r="T50" s="105">
        <f>Model!J136</f>
        <v>4446</v>
      </c>
      <c r="U50" s="105">
        <f>Model!O136</f>
        <v>6242</v>
      </c>
      <c r="V50" s="106">
        <f>Model!T136</f>
        <v>9662.0640000000003</v>
      </c>
      <c r="W50" s="105">
        <f>Model!Y136</f>
        <v>9470.8634999999995</v>
      </c>
      <c r="X50" s="105">
        <f>Model!AD136</f>
        <v>10589.6003026044</v>
      </c>
      <c r="Y50" s="105">
        <f>Model!AE136</f>
        <v>11090.529749173971</v>
      </c>
      <c r="Z50" s="105">
        <f>Model!AF136</f>
        <v>11299.201737485955</v>
      </c>
      <c r="AA50" s="105">
        <f>Model!AG136</f>
        <v>11498.383014625822</v>
      </c>
      <c r="AB50" s="12"/>
      <c r="AC50" s="12"/>
      <c r="AD50" s="12"/>
      <c r="AE50" s="12"/>
    </row>
    <row r="51" spans="1:31" ht="13.5" customHeight="1">
      <c r="A51" s="13"/>
      <c r="B51" s="12"/>
      <c r="C51" s="108" t="str">
        <f>Model!C137</f>
        <v>Total Current Liabilities (Excl. Debt)</v>
      </c>
      <c r="D51" s="12"/>
      <c r="E51" s="12"/>
      <c r="F51" s="12"/>
      <c r="G51" s="109">
        <f t="shared" ref="G51:R51" si="28">SUM(G48:G50)</f>
        <v>11762.937</v>
      </c>
      <c r="H51" s="109">
        <f t="shared" si="28"/>
        <v>13038.225</v>
      </c>
      <c r="I51" s="109">
        <f t="shared" si="28"/>
        <v>14435.143</v>
      </c>
      <c r="J51" s="110">
        <f t="shared" si="28"/>
        <v>13783.545</v>
      </c>
      <c r="K51" s="109">
        <f t="shared" si="28"/>
        <v>11614.666999999999</v>
      </c>
      <c r="L51" s="109">
        <f t="shared" si="28"/>
        <v>20320</v>
      </c>
      <c r="M51" s="109">
        <f t="shared" si="28"/>
        <v>19482</v>
      </c>
      <c r="N51" s="111">
        <f t="shared" si="28"/>
        <v>21741.808382608695</v>
      </c>
      <c r="O51" s="109">
        <f t="shared" si="28"/>
        <v>24908.31884766154</v>
      </c>
      <c r="P51" s="109">
        <f t="shared" si="28"/>
        <v>25478.624924680156</v>
      </c>
      <c r="Q51" s="109">
        <f t="shared" si="28"/>
        <v>25540.209266751444</v>
      </c>
      <c r="R51" s="109">
        <f t="shared" si="28"/>
        <v>24310.038955544012</v>
      </c>
      <c r="S51" s="12"/>
      <c r="T51" s="109">
        <f t="shared" ref="T51:AA51" si="29">SUM(T48:T50)</f>
        <v>6997.3720000000003</v>
      </c>
      <c r="U51" s="109">
        <f t="shared" si="29"/>
        <v>9298.4529999999995</v>
      </c>
      <c r="V51" s="110">
        <f t="shared" si="29"/>
        <v>13783.545</v>
      </c>
      <c r="W51" s="109">
        <f t="shared" si="29"/>
        <v>21741.808382608695</v>
      </c>
      <c r="X51" s="109">
        <f t="shared" si="29"/>
        <v>24310.038955544012</v>
      </c>
      <c r="Y51" s="109">
        <f t="shared" si="29"/>
        <v>25965.259660480478</v>
      </c>
      <c r="Z51" s="109">
        <f t="shared" si="29"/>
        <v>26453.804615764777</v>
      </c>
      <c r="AA51" s="109">
        <f t="shared" si="29"/>
        <v>26920.129822712443</v>
      </c>
      <c r="AB51" s="12"/>
      <c r="AC51" s="12"/>
      <c r="AD51" s="12"/>
      <c r="AE51" s="12"/>
    </row>
    <row r="52" spans="1:31" ht="13.5" customHeight="1">
      <c r="A52" s="13"/>
      <c r="B52" s="12"/>
      <c r="C52" s="12"/>
      <c r="D52" s="12"/>
      <c r="E52" s="12"/>
      <c r="F52" s="12"/>
      <c r="G52" s="112"/>
      <c r="H52" s="112"/>
      <c r="I52" s="112"/>
      <c r="J52" s="113"/>
      <c r="K52" s="112"/>
      <c r="L52" s="112"/>
      <c r="M52" s="112"/>
      <c r="N52" s="114"/>
      <c r="O52" s="112"/>
      <c r="P52" s="112"/>
      <c r="Q52" s="112"/>
      <c r="R52" s="112"/>
      <c r="S52" s="12"/>
      <c r="T52" s="112"/>
      <c r="U52" s="112"/>
      <c r="V52" s="113"/>
      <c r="W52" s="112"/>
      <c r="X52" s="112"/>
      <c r="Y52" s="112"/>
      <c r="Z52" s="112"/>
      <c r="AA52" s="112"/>
      <c r="AB52" s="12"/>
      <c r="AC52" s="12"/>
      <c r="AD52" s="12"/>
      <c r="AE52" s="12"/>
    </row>
    <row r="53" spans="1:31" ht="13.5" customHeight="1">
      <c r="A53" s="13"/>
      <c r="B53" s="12"/>
      <c r="C53" s="12" t="str">
        <f>Model!C139</f>
        <v>Revolver</v>
      </c>
      <c r="D53" s="12"/>
      <c r="E53" s="12"/>
      <c r="F53" s="12"/>
      <c r="G53" s="85">
        <f>Model!P139</f>
        <v>0</v>
      </c>
      <c r="H53" s="85">
        <f>Model!Q139</f>
        <v>0</v>
      </c>
      <c r="I53" s="85">
        <f>Model!R139</f>
        <v>0</v>
      </c>
      <c r="J53" s="86">
        <f>Model!S139</f>
        <v>0</v>
      </c>
      <c r="K53" s="85">
        <f>Model!U139</f>
        <v>0</v>
      </c>
      <c r="L53" s="85">
        <f>Model!V139</f>
        <v>0</v>
      </c>
      <c r="M53" s="85">
        <f>Model!W139</f>
        <v>0</v>
      </c>
      <c r="N53" s="87" t="str">
        <f ca="1">Model!X139</f>
        <v/>
      </c>
      <c r="O53" s="85" t="str">
        <f ca="1">Model!Z139</f>
        <v/>
      </c>
      <c r="P53" s="85" t="str">
        <f ca="1">Model!AA139</f>
        <v/>
      </c>
      <c r="Q53" s="85" t="str">
        <f ca="1">Model!AB139</f>
        <v/>
      </c>
      <c r="R53" s="85" t="str">
        <f ca="1">Model!AC139</f>
        <v/>
      </c>
      <c r="S53" s="12"/>
      <c r="T53" s="85">
        <f>Model!J139</f>
        <v>0</v>
      </c>
      <c r="U53" s="85">
        <f>Model!O139</f>
        <v>0</v>
      </c>
      <c r="V53" s="86">
        <f>Model!T139</f>
        <v>0</v>
      </c>
      <c r="W53" s="85" t="str">
        <f ca="1">Model!Y139</f>
        <v/>
      </c>
      <c r="X53" s="85" t="str">
        <f ca="1">Model!AD139</f>
        <v/>
      </c>
      <c r="Y53" s="85" t="str">
        <f ca="1">Model!AE139</f>
        <v/>
      </c>
      <c r="Z53" s="85" t="str">
        <f ca="1">Model!AF139</f>
        <v/>
      </c>
      <c r="AA53" s="85" t="str">
        <f ca="1">Model!AG139</f>
        <v/>
      </c>
      <c r="AB53" s="12"/>
      <c r="AC53" s="12"/>
      <c r="AD53" s="12"/>
      <c r="AE53" s="12"/>
    </row>
    <row r="54" spans="1:31" ht="13.5" customHeight="1">
      <c r="A54" s="13"/>
      <c r="B54" s="12"/>
      <c r="C54" s="12" t="str">
        <f>Model!C140</f>
        <v>LT Debt (Incl. Current Portion)</v>
      </c>
      <c r="D54" s="12"/>
      <c r="E54" s="12"/>
      <c r="F54" s="12"/>
      <c r="G54" s="105">
        <f>Model!P140</f>
        <v>15016.918</v>
      </c>
      <c r="H54" s="105">
        <f>Model!Q140</f>
        <v>14453.206</v>
      </c>
      <c r="I54" s="105">
        <f>Model!R140</f>
        <v>14463.02</v>
      </c>
      <c r="J54" s="106">
        <f>Model!S140</f>
        <v>14462.835999999999</v>
      </c>
      <c r="K54" s="105">
        <f>Model!U140</f>
        <v>23244</v>
      </c>
      <c r="L54" s="105">
        <f>Model!V140</f>
        <v>23311</v>
      </c>
      <c r="M54" s="105">
        <f>Model!W140</f>
        <v>25233</v>
      </c>
      <c r="N54" s="107">
        <f>Model!X140</f>
        <v>24733</v>
      </c>
      <c r="O54" s="105">
        <f>Model!Z140</f>
        <v>24233</v>
      </c>
      <c r="P54" s="105">
        <f>Model!AA140</f>
        <v>23733</v>
      </c>
      <c r="Q54" s="105">
        <f>Model!AB140</f>
        <v>23233</v>
      </c>
      <c r="R54" s="105">
        <f>Model!AC140</f>
        <v>22733</v>
      </c>
      <c r="S54" s="12"/>
      <c r="T54" s="105">
        <f>Model!J140</f>
        <v>15501</v>
      </c>
      <c r="U54" s="105">
        <f>Model!O140</f>
        <v>17365</v>
      </c>
      <c r="V54" s="106">
        <f>Model!T140</f>
        <v>14462.835999999999</v>
      </c>
      <c r="W54" s="105">
        <f>Model!Y140</f>
        <v>24733</v>
      </c>
      <c r="X54" s="105">
        <f>Model!AD140</f>
        <v>22733</v>
      </c>
      <c r="Y54" s="105">
        <f>Model!AE140</f>
        <v>21333</v>
      </c>
      <c r="Z54" s="105">
        <f>Model!AF140</f>
        <v>20033</v>
      </c>
      <c r="AA54" s="105">
        <f>Model!AG140</f>
        <v>18833</v>
      </c>
      <c r="AB54" s="12"/>
      <c r="AC54" s="12"/>
      <c r="AD54" s="12"/>
      <c r="AE54" s="12"/>
    </row>
    <row r="55" spans="1:31" ht="13.5" customHeight="1">
      <c r="A55" s="13"/>
      <c r="B55" s="12"/>
      <c r="C55" s="12" t="str">
        <f>Model!C141</f>
        <v>Deferred Income Taxes</v>
      </c>
      <c r="D55" s="12"/>
      <c r="E55" s="12"/>
      <c r="F55" s="12"/>
      <c r="G55" s="105">
        <f>Model!P141</f>
        <v>0</v>
      </c>
      <c r="H55" s="105">
        <f>Model!Q141</f>
        <v>0</v>
      </c>
      <c r="I55" s="105">
        <f>Model!R141</f>
        <v>0</v>
      </c>
      <c r="J55" s="106">
        <f>Model!S141</f>
        <v>168</v>
      </c>
      <c r="K55" s="105">
        <f>Model!U141</f>
        <v>0</v>
      </c>
      <c r="L55" s="105">
        <f>Model!V141</f>
        <v>0</v>
      </c>
      <c r="M55" s="105">
        <f>Model!W141</f>
        <v>0</v>
      </c>
      <c r="N55" s="107">
        <f>Model!X141</f>
        <v>0</v>
      </c>
      <c r="O55" s="105">
        <f>Model!Z141</f>
        <v>0</v>
      </c>
      <c r="P55" s="105">
        <f>Model!AA141</f>
        <v>0</v>
      </c>
      <c r="Q55" s="105">
        <f>Model!AB141</f>
        <v>0</v>
      </c>
      <c r="R55" s="105">
        <f>Model!AC141</f>
        <v>0</v>
      </c>
      <c r="S55" s="12"/>
      <c r="T55" s="105">
        <f>Model!J141</f>
        <v>0</v>
      </c>
      <c r="U55" s="105">
        <f>Model!O141</f>
        <v>0</v>
      </c>
      <c r="V55" s="106">
        <f>Model!T141</f>
        <v>168</v>
      </c>
      <c r="W55" s="105">
        <f>Model!Y141</f>
        <v>0</v>
      </c>
      <c r="X55" s="105">
        <f>Model!AD141</f>
        <v>0</v>
      </c>
      <c r="Y55" s="105">
        <f>Model!AE141</f>
        <v>0</v>
      </c>
      <c r="Z55" s="105">
        <f>Model!AF141</f>
        <v>0</v>
      </c>
      <c r="AA55" s="105">
        <f>Model!AG141</f>
        <v>0</v>
      </c>
      <c r="AB55" s="12"/>
      <c r="AC55" s="12"/>
      <c r="AD55" s="12"/>
      <c r="AE55" s="12"/>
    </row>
    <row r="56" spans="1:31" ht="13.5" customHeight="1">
      <c r="A56" s="13"/>
      <c r="B56" s="12"/>
      <c r="C56" s="12" t="str">
        <f>Model!C142</f>
        <v>Other Non-Current Liabilities</v>
      </c>
      <c r="D56" s="12"/>
      <c r="E56" s="12"/>
      <c r="F56" s="12"/>
      <c r="G56" s="105">
        <f>Model!P142</f>
        <v>4330.0150000000003</v>
      </c>
      <c r="H56" s="105">
        <f>Model!Q142</f>
        <v>4752.2240000000002</v>
      </c>
      <c r="I56" s="105">
        <f>Model!R142</f>
        <v>4785.9210000000003</v>
      </c>
      <c r="J56" s="106">
        <f>Model!S142</f>
        <v>4536.6040000000003</v>
      </c>
      <c r="K56" s="105">
        <f>Model!U142</f>
        <v>5957</v>
      </c>
      <c r="L56" s="105">
        <f>Model!V142</f>
        <v>5948</v>
      </c>
      <c r="M56" s="119">
        <f>Model!W142</f>
        <v>6261</v>
      </c>
      <c r="N56" s="107">
        <f>Model!X142</f>
        <v>6261</v>
      </c>
      <c r="O56" s="105">
        <f>Model!Z142</f>
        <v>6261</v>
      </c>
      <c r="P56" s="105">
        <f>Model!AA142</f>
        <v>6261</v>
      </c>
      <c r="Q56" s="105">
        <f>Model!AB142</f>
        <v>6261</v>
      </c>
      <c r="R56" s="105">
        <f>Model!AC142</f>
        <v>6261</v>
      </c>
      <c r="S56" s="12"/>
      <c r="T56" s="105">
        <f>Model!J142</f>
        <v>8002.0350000000035</v>
      </c>
      <c r="U56" s="105">
        <f>Model!O142</f>
        <v>7473.8439999999973</v>
      </c>
      <c r="V56" s="106">
        <f>Model!T142</f>
        <v>4536.6040000000003</v>
      </c>
      <c r="W56" s="105">
        <f>Model!Y142</f>
        <v>6261</v>
      </c>
      <c r="X56" s="105">
        <f>Model!AD142</f>
        <v>6261</v>
      </c>
      <c r="Y56" s="105">
        <f>Model!AE142</f>
        <v>6261</v>
      </c>
      <c r="Z56" s="105">
        <f>Model!AF142</f>
        <v>6261</v>
      </c>
      <c r="AA56" s="105">
        <f>Model!AG142</f>
        <v>6261</v>
      </c>
      <c r="AB56" s="12"/>
      <c r="AC56" s="12"/>
      <c r="AD56" s="12"/>
      <c r="AE56" s="12"/>
    </row>
    <row r="57" spans="1:31" ht="13.5" customHeight="1">
      <c r="A57" s="13"/>
      <c r="B57" s="12"/>
      <c r="C57" s="108" t="str">
        <f>Model!C143</f>
        <v>Total Non-Current Liabilities</v>
      </c>
      <c r="D57" s="12"/>
      <c r="E57" s="12"/>
      <c r="F57" s="12"/>
      <c r="G57" s="109">
        <f>SUM(G53:G56)</f>
        <v>19346.933000000001</v>
      </c>
      <c r="H57" s="109">
        <f t="array" ref="H57">INDEX(Data,MATCH($C57,Line_Items,0),MATCH(H$32,Fiscal_Periods,0))</f>
        <v>19205.43</v>
      </c>
      <c r="I57" s="109">
        <f t="array" ref="I57">INDEX(Data,MATCH($C57,Line_Items,0),MATCH(I$32,Fiscal_Periods,0))</f>
        <v>19248.940999999999</v>
      </c>
      <c r="J57" s="110">
        <f t="array" ref="J57">INDEX(Data,MATCH($C57,Line_Items,0),MATCH(J$32,Fiscal_Periods,0))</f>
        <v>19167.439999999999</v>
      </c>
      <c r="K57" s="109">
        <f t="array" ref="K57">INDEX(Data,MATCH($C57,Line_Items,0),MATCH(K$32,Fiscal_Periods,0))</f>
        <v>29201</v>
      </c>
      <c r="L57" s="109">
        <f t="array" ref="L57">INDEX(Data,MATCH($C57,Line_Items,0),MATCH(L$32,Fiscal_Periods,0))</f>
        <v>29259</v>
      </c>
      <c r="M57" s="109">
        <f t="array" ref="M57">INDEX(Data,MATCH($C57,Line_Items,0),MATCH(M$32,Fiscal_Periods,0))</f>
        <v>31494</v>
      </c>
      <c r="N57" s="111" t="str">
        <f ca="1">INDEX(Data,MATCH($C57,Line_Items,0),MATCH(N$32,Fiscal_Periods,0))</f>
        <v/>
      </c>
      <c r="O57" s="109" t="str">
        <f ca="1">INDEX(Data,MATCH($C57,Line_Items,0),MATCH(O$32,Fiscal_Periods,0))</f>
        <v/>
      </c>
      <c r="P57" s="109" t="str">
        <f ca="1">INDEX(Data,MATCH($C57,Line_Items,0),MATCH(P$32,Fiscal_Periods,0))</f>
        <v/>
      </c>
      <c r="Q57" s="109" t="str">
        <f ca="1">INDEX(Data,MATCH($C57,Line_Items,0),MATCH(Q$32,Fiscal_Periods,0))</f>
        <v/>
      </c>
      <c r="R57" s="109" t="str">
        <f ca="1">INDEX(Data,MATCH($C57,Line_Items,0),MATCH(R$32,Fiscal_Periods,0))</f>
        <v/>
      </c>
      <c r="S57" s="12"/>
      <c r="T57" s="109">
        <f t="array" ref="T57">INDEX(Data,MATCH($C57,Line_Items,0),MATCH(T$32,Fiscal_Periods,0))</f>
        <v>23503.035000000003</v>
      </c>
      <c r="U57" s="109">
        <f t="array" ref="U57">INDEX(Data,MATCH($C57,Line_Items,0),MATCH(U$32,Fiscal_Periods,0))</f>
        <v>24838.843999999997</v>
      </c>
      <c r="V57" s="110">
        <f t="array" ref="V57">INDEX(Data,MATCH($C57,Line_Items,0),MATCH(V$32,Fiscal_Periods,0))</f>
        <v>19167.439999999999</v>
      </c>
      <c r="W57" s="109" t="str">
        <f ca="1">INDEX(Data,MATCH($C57,Line_Items,0),MATCH(W$32,Fiscal_Periods,0))</f>
        <v/>
      </c>
      <c r="X57" s="109" t="str">
        <f ca="1">INDEX(Data,MATCH($C57,Line_Items,0),MATCH(X$32,Fiscal_Periods,0))</f>
        <v/>
      </c>
      <c r="Y57" s="109" t="str">
        <f ca="1">INDEX(Data,MATCH($C57,Line_Items,0),MATCH(Y$32,Fiscal_Periods,0))</f>
        <v/>
      </c>
      <c r="Z57" s="109" t="str">
        <f ca="1">INDEX(Data,MATCH($C57,Line_Items,0),MATCH(Z$32,Fiscal_Periods,0))</f>
        <v/>
      </c>
      <c r="AA57" s="109" t="str">
        <f ca="1">INDEX(Data,MATCH($C57,Line_Items,0),MATCH(AA$32,Fiscal_Periods,0))</f>
        <v/>
      </c>
      <c r="AB57" s="12"/>
      <c r="AC57" s="12"/>
      <c r="AD57" s="12"/>
      <c r="AE57" s="12"/>
    </row>
    <row r="58" spans="1:31" ht="13.5" customHeight="1">
      <c r="A58" s="13"/>
      <c r="B58" s="12"/>
      <c r="C58" s="12"/>
      <c r="D58" s="12"/>
      <c r="E58" s="12"/>
      <c r="F58" s="12"/>
      <c r="G58" s="112"/>
      <c r="H58" s="112"/>
      <c r="I58" s="112"/>
      <c r="J58" s="113"/>
      <c r="K58" s="112"/>
      <c r="L58" s="112"/>
      <c r="M58" s="112"/>
      <c r="N58" s="114"/>
      <c r="O58" s="112"/>
      <c r="P58" s="112"/>
      <c r="Q58" s="112"/>
      <c r="R58" s="112"/>
      <c r="S58" s="12"/>
      <c r="T58" s="112"/>
      <c r="U58" s="112"/>
      <c r="V58" s="113"/>
      <c r="W58" s="112"/>
      <c r="X58" s="112"/>
      <c r="Y58" s="112"/>
      <c r="Z58" s="112"/>
      <c r="AA58" s="112"/>
      <c r="AB58" s="12"/>
      <c r="AC58" s="12"/>
      <c r="AD58" s="12"/>
      <c r="AE58" s="12"/>
    </row>
    <row r="59" spans="1:31" ht="13.5" customHeight="1">
      <c r="A59" s="13"/>
      <c r="B59" s="12"/>
      <c r="C59" s="108" t="str">
        <f>Model!C145</f>
        <v>Total Liabilities</v>
      </c>
      <c r="D59" s="12"/>
      <c r="E59" s="12"/>
      <c r="F59" s="12"/>
      <c r="G59" s="109">
        <f t="shared" ref="G59:R59" si="30">SUM(G51,G57)</f>
        <v>31109.870000000003</v>
      </c>
      <c r="H59" s="109">
        <f t="shared" si="30"/>
        <v>32243.654999999999</v>
      </c>
      <c r="I59" s="109">
        <f t="shared" si="30"/>
        <v>33684.084000000003</v>
      </c>
      <c r="J59" s="110">
        <f t="shared" si="30"/>
        <v>32950.985000000001</v>
      </c>
      <c r="K59" s="109">
        <f t="shared" si="30"/>
        <v>40815.667000000001</v>
      </c>
      <c r="L59" s="109">
        <f t="shared" si="30"/>
        <v>49579</v>
      </c>
      <c r="M59" s="109">
        <f t="shared" si="30"/>
        <v>50976</v>
      </c>
      <c r="N59" s="111" t="str">
        <f t="shared" ca="1" si="30"/>
        <v>#REF!</v>
      </c>
      <c r="O59" s="109" t="str">
        <f t="shared" ca="1" si="30"/>
        <v>#REF!</v>
      </c>
      <c r="P59" s="109" t="str">
        <f t="shared" ca="1" si="30"/>
        <v>#REF!</v>
      </c>
      <c r="Q59" s="109" t="str">
        <f t="shared" ca="1" si="30"/>
        <v>#REF!</v>
      </c>
      <c r="R59" s="109" t="str">
        <f t="shared" ca="1" si="30"/>
        <v>#REF!</v>
      </c>
      <c r="S59" s="12"/>
      <c r="T59" s="109">
        <f t="shared" ref="T59:AA59" si="31">SUM(T51,T57)</f>
        <v>30500.407000000003</v>
      </c>
      <c r="U59" s="109">
        <f t="shared" si="31"/>
        <v>34137.296999999999</v>
      </c>
      <c r="V59" s="110">
        <f t="shared" si="31"/>
        <v>32950.985000000001</v>
      </c>
      <c r="W59" s="109" t="str">
        <f t="shared" ca="1" si="31"/>
        <v>#REF!</v>
      </c>
      <c r="X59" s="109" t="str">
        <f t="shared" ca="1" si="31"/>
        <v>#REF!</v>
      </c>
      <c r="Y59" s="109" t="str">
        <f t="shared" ca="1" si="31"/>
        <v>#REF!</v>
      </c>
      <c r="Z59" s="109" t="str">
        <f t="shared" ca="1" si="31"/>
        <v>#REF!</v>
      </c>
      <c r="AA59" s="109" t="str">
        <f t="shared" ca="1" si="31"/>
        <v>#REF!</v>
      </c>
      <c r="AB59" s="12"/>
      <c r="AC59" s="12"/>
      <c r="AD59" s="12"/>
      <c r="AE59" s="12"/>
    </row>
    <row r="60" spans="1:31" ht="13.5" customHeight="1">
      <c r="A60" s="13"/>
      <c r="B60" s="12"/>
      <c r="C60" s="12"/>
      <c r="D60" s="12"/>
      <c r="E60" s="12"/>
      <c r="F60" s="12"/>
      <c r="G60" s="12"/>
      <c r="H60" s="12"/>
      <c r="I60" s="12"/>
      <c r="J60" s="93"/>
      <c r="K60" s="12"/>
      <c r="L60" s="12"/>
      <c r="M60" s="12"/>
      <c r="N60" s="94"/>
      <c r="O60" s="12"/>
      <c r="P60" s="12"/>
      <c r="Q60" s="12"/>
      <c r="R60" s="12"/>
      <c r="S60" s="12"/>
      <c r="T60" s="12"/>
      <c r="U60" s="12"/>
      <c r="V60" s="93"/>
      <c r="W60" s="12"/>
      <c r="X60" s="12"/>
      <c r="Y60" s="12"/>
      <c r="Z60" s="12"/>
      <c r="AA60" s="12"/>
      <c r="AB60" s="12"/>
      <c r="AC60" s="12"/>
      <c r="AD60" s="12"/>
      <c r="AE60" s="12"/>
    </row>
    <row r="61" spans="1:31" ht="13.5" customHeight="1">
      <c r="A61" s="13"/>
      <c r="B61" s="12"/>
      <c r="C61" s="12" t="str">
        <f>Model!C147</f>
        <v>Common Stock &amp; APIC</v>
      </c>
      <c r="D61" s="12"/>
      <c r="E61" s="12"/>
      <c r="F61" s="12"/>
      <c r="G61" s="85">
        <f>Model!P147</f>
        <v>-10077.459999999999</v>
      </c>
      <c r="H61" s="85">
        <f>Model!Q147</f>
        <v>-11460.114</v>
      </c>
      <c r="I61" s="85">
        <f>Model!R147</f>
        <v>-13190.306</v>
      </c>
      <c r="J61" s="86">
        <f>Model!S147</f>
        <v>-15086.248</v>
      </c>
      <c r="K61" s="85">
        <f>Model!U147</f>
        <v>-16203.478999999999</v>
      </c>
      <c r="L61" s="85">
        <f>Model!V147</f>
        <v>350</v>
      </c>
      <c r="M61" s="85">
        <f>Model!W147</f>
        <v>343</v>
      </c>
      <c r="N61" s="87">
        <f>Model!X147</f>
        <v>394.3</v>
      </c>
      <c r="O61" s="85">
        <f>Model!Z147</f>
        <v>454.834</v>
      </c>
      <c r="P61" s="85">
        <f>Model!AA147</f>
        <v>523.84276</v>
      </c>
      <c r="Q61" s="85">
        <f>Model!AB147</f>
        <v>584.57046879999996</v>
      </c>
      <c r="R61" s="85">
        <f>Model!AC147</f>
        <v>642.26179215999991</v>
      </c>
      <c r="S61" s="12"/>
      <c r="T61" s="85">
        <f>Model!J147</f>
        <v>-1777.028</v>
      </c>
      <c r="U61" s="85">
        <f>Model!O147</f>
        <v>-6919.5119999999997</v>
      </c>
      <c r="V61" s="86">
        <f>Model!T147</f>
        <v>-15086.248</v>
      </c>
      <c r="W61" s="85">
        <f>Model!Y147</f>
        <v>394.3</v>
      </c>
      <c r="X61" s="85">
        <f>Model!AD147</f>
        <v>642.26179215999991</v>
      </c>
      <c r="Y61" s="85">
        <f>Model!AE147</f>
        <v>895.18282016319995</v>
      </c>
      <c r="Z61" s="85">
        <f>Model!AF147</f>
        <v>1153.1622687264639</v>
      </c>
      <c r="AA61" s="85">
        <f>Model!AG147</f>
        <v>1416.3013062609932</v>
      </c>
      <c r="AB61" s="12"/>
      <c r="AC61" s="12"/>
      <c r="AD61" s="12"/>
      <c r="AE61" s="12"/>
    </row>
    <row r="62" spans="1:31" ht="13.5" customHeight="1">
      <c r="A62" s="13"/>
      <c r="B62" s="12"/>
      <c r="C62" s="12" t="str">
        <f>Model!C148</f>
        <v>Retained Earnings</v>
      </c>
      <c r="D62" s="12"/>
      <c r="E62" s="12"/>
      <c r="F62" s="12"/>
      <c r="G62" s="105">
        <f>Model!P148</f>
        <v>34191.267999999996</v>
      </c>
      <c r="H62" s="105">
        <f>Model!Q148</f>
        <v>37316.680999999997</v>
      </c>
      <c r="I62" s="105">
        <f>Model!R148</f>
        <v>39863.597000000002</v>
      </c>
      <c r="J62" s="106">
        <f>Model!S148</f>
        <v>42282.118000000002</v>
      </c>
      <c r="K62" s="105">
        <f>Model!U148</f>
        <v>47564.909</v>
      </c>
      <c r="L62" s="105">
        <f>Model!V148</f>
        <v>-460</v>
      </c>
      <c r="M62" s="105">
        <f>Model!W148</f>
        <v>-1913</v>
      </c>
      <c r="N62" s="107" t="str">
        <f ca="1">Model!X148</f>
        <v/>
      </c>
      <c r="O62" s="105" t="str">
        <f ca="1">Model!Z148</f>
        <v/>
      </c>
      <c r="P62" s="105" t="str">
        <f ca="1">Model!AA148</f>
        <v/>
      </c>
      <c r="Q62" s="105" t="str">
        <f ca="1">Model!AB148</f>
        <v/>
      </c>
      <c r="R62" s="105" t="str">
        <f ca="1">Model!AC148</f>
        <v/>
      </c>
      <c r="S62" s="12"/>
      <c r="T62" s="105">
        <f>Model!J148</f>
        <v>22589.286</v>
      </c>
      <c r="U62" s="105">
        <f>Model!O148</f>
        <v>31300.917000000001</v>
      </c>
      <c r="V62" s="106">
        <f>Model!T148</f>
        <v>42282.118000000002</v>
      </c>
      <c r="W62" s="105" t="str">
        <f ca="1">Model!Y148</f>
        <v/>
      </c>
      <c r="X62" s="105" t="str">
        <f ca="1">Model!AD148</f>
        <v/>
      </c>
      <c r="Y62" s="105" t="str">
        <f ca="1">Model!AE148</f>
        <v/>
      </c>
      <c r="Z62" s="105" t="str">
        <f ca="1">Model!AF148</f>
        <v/>
      </c>
      <c r="AA62" s="105" t="str">
        <f ca="1">Model!AG148</f>
        <v/>
      </c>
      <c r="AB62" s="12"/>
      <c r="AC62" s="12"/>
      <c r="AD62" s="12"/>
      <c r="AE62" s="12"/>
    </row>
    <row r="63" spans="1:31" ht="13.5" customHeight="1">
      <c r="A63" s="13"/>
      <c r="B63" s="12"/>
      <c r="C63" s="12" t="str">
        <f>Model!C149</f>
        <v>Treasury Stock</v>
      </c>
      <c r="D63" s="12"/>
      <c r="E63" s="12"/>
      <c r="F63" s="12"/>
      <c r="G63" s="105">
        <f>Model!P149</f>
        <v>0</v>
      </c>
      <c r="H63" s="105">
        <f>Model!Q149</f>
        <v>0</v>
      </c>
      <c r="I63" s="105">
        <f>Model!R149</f>
        <v>0</v>
      </c>
      <c r="J63" s="106">
        <f>Model!S149</f>
        <v>0</v>
      </c>
      <c r="K63" s="105">
        <f>Model!U149</f>
        <v>0</v>
      </c>
      <c r="L63" s="105">
        <f>Model!V149</f>
        <v>0</v>
      </c>
      <c r="M63" s="105">
        <f>Model!W149</f>
        <v>0</v>
      </c>
      <c r="N63" s="107">
        <f>Model!X149</f>
        <v>-500</v>
      </c>
      <c r="O63" s="105">
        <f>Model!Z149</f>
        <v>-1000</v>
      </c>
      <c r="P63" s="105">
        <f>Model!AA149</f>
        <v>-1500</v>
      </c>
      <c r="Q63" s="105">
        <f>Model!AB149</f>
        <v>-2000</v>
      </c>
      <c r="R63" s="105">
        <f>Model!AC149</f>
        <v>-2500</v>
      </c>
      <c r="S63" s="12"/>
      <c r="T63" s="105">
        <f>Model!J149</f>
        <v>0</v>
      </c>
      <c r="U63" s="105">
        <f>Model!O149</f>
        <v>0</v>
      </c>
      <c r="V63" s="106">
        <f>Model!T149</f>
        <v>0</v>
      </c>
      <c r="W63" s="105">
        <f>Model!Y149</f>
        <v>-500</v>
      </c>
      <c r="X63" s="105">
        <f>Model!AD149</f>
        <v>-2500</v>
      </c>
      <c r="Y63" s="105">
        <f>Model!AE149</f>
        <v>-5500</v>
      </c>
      <c r="Z63" s="105">
        <f>Model!AF149</f>
        <v>-8500</v>
      </c>
      <c r="AA63" s="105">
        <f>Model!AG149</f>
        <v>-11500</v>
      </c>
      <c r="AB63" s="12"/>
      <c r="AC63" s="12"/>
      <c r="AD63" s="12"/>
      <c r="AE63" s="12"/>
    </row>
    <row r="64" spans="1:31" ht="13.5" customHeight="1">
      <c r="A64" s="13"/>
      <c r="B64" s="12"/>
      <c r="C64" s="12" t="str">
        <f>Model!C150</f>
        <v>Accumulated Other Comprehensive Income (AOCI)</v>
      </c>
      <c r="D64" s="12"/>
      <c r="E64" s="12"/>
      <c r="F64" s="12"/>
      <c r="G64" s="105">
        <f>Model!P150</f>
        <v>-85.734999999999999</v>
      </c>
      <c r="H64" s="105">
        <f>Model!Q150</f>
        <v>-904.66800000000001</v>
      </c>
      <c r="I64" s="105">
        <f>Model!R150</f>
        <v>-719.25599999999997</v>
      </c>
      <c r="J64" s="106">
        <f>Model!S150</f>
        <v>-580.38199999999995</v>
      </c>
      <c r="K64" s="105">
        <f>Model!U150</f>
        <v>-235.03100000000001</v>
      </c>
      <c r="L64" s="105">
        <f>Model!V150</f>
        <v>-65</v>
      </c>
      <c r="M64" s="105">
        <f>Model!W150</f>
        <v>-6</v>
      </c>
      <c r="N64" s="107">
        <f>Model!X150</f>
        <v>-6</v>
      </c>
      <c r="O64" s="105">
        <f>Model!Z150</f>
        <v>-6</v>
      </c>
      <c r="P64" s="105">
        <f>Model!AA150</f>
        <v>-6</v>
      </c>
      <c r="Q64" s="105">
        <f>Model!AB150</f>
        <v>-6</v>
      </c>
      <c r="R64" s="105">
        <f>Model!AC150</f>
        <v>-6</v>
      </c>
      <c r="S64" s="12"/>
      <c r="T64" s="105">
        <f>Model!J150</f>
        <v>-223.94499999999999</v>
      </c>
      <c r="U64" s="105">
        <f>Model!O150</f>
        <v>362.16199999999998</v>
      </c>
      <c r="V64" s="106">
        <f>Model!T150</f>
        <v>-580.38199999999995</v>
      </c>
      <c r="W64" s="105">
        <f>Model!Y150</f>
        <v>-6</v>
      </c>
      <c r="X64" s="105">
        <f>Model!AD150</f>
        <v>-6</v>
      </c>
      <c r="Y64" s="105">
        <f>Model!AE150</f>
        <v>-6</v>
      </c>
      <c r="Z64" s="105">
        <f>Model!AF150</f>
        <v>-6</v>
      </c>
      <c r="AA64" s="105">
        <f>Model!AG150</f>
        <v>-6</v>
      </c>
      <c r="AB64" s="12"/>
      <c r="AC64" s="12"/>
      <c r="AD64" s="12"/>
      <c r="AE64" s="12"/>
    </row>
    <row r="65" spans="1:31" ht="13.5" customHeight="1">
      <c r="A65" s="13"/>
      <c r="B65" s="12"/>
      <c r="C65" s="108" t="str">
        <f>Model!C151</f>
        <v>Total Shareholder's Equity</v>
      </c>
      <c r="D65" s="12"/>
      <c r="E65" s="12"/>
      <c r="F65" s="12"/>
      <c r="G65" s="109">
        <f t="shared" ref="G65:R65" si="32">SUM(G61:G64)</f>
        <v>24028.072999999997</v>
      </c>
      <c r="H65" s="109">
        <f t="shared" si="32"/>
        <v>24951.898999999994</v>
      </c>
      <c r="I65" s="109">
        <f t="shared" si="32"/>
        <v>25954.035</v>
      </c>
      <c r="J65" s="110">
        <f t="shared" si="32"/>
        <v>26615.488000000001</v>
      </c>
      <c r="K65" s="109">
        <f t="shared" si="32"/>
        <v>31126.399000000001</v>
      </c>
      <c r="L65" s="109">
        <f t="shared" si="32"/>
        <v>-175</v>
      </c>
      <c r="M65" s="109">
        <f t="shared" si="32"/>
        <v>-1576</v>
      </c>
      <c r="N65" s="111" t="str">
        <f t="shared" ca="1" si="32"/>
        <v>#REF!</v>
      </c>
      <c r="O65" s="109" t="str">
        <f t="shared" ca="1" si="32"/>
        <v>#REF!</v>
      </c>
      <c r="P65" s="109" t="str">
        <f t="shared" ca="1" si="32"/>
        <v>#REF!</v>
      </c>
      <c r="Q65" s="109" t="str">
        <f t="shared" ca="1" si="32"/>
        <v>#REF!</v>
      </c>
      <c r="R65" s="109" t="str">
        <f t="shared" ca="1" si="32"/>
        <v>#REF!</v>
      </c>
      <c r="S65" s="12"/>
      <c r="T65" s="109">
        <f t="shared" ref="T65:AA65" si="33">SUM(T61:T64)</f>
        <v>20588.313000000002</v>
      </c>
      <c r="U65" s="109">
        <f t="shared" si="33"/>
        <v>24743.567000000003</v>
      </c>
      <c r="V65" s="110">
        <f t="shared" si="33"/>
        <v>26615.488000000001</v>
      </c>
      <c r="W65" s="109" t="str">
        <f t="shared" ca="1" si="33"/>
        <v>#REF!</v>
      </c>
      <c r="X65" s="109" t="str">
        <f t="shared" ca="1" si="33"/>
        <v>#REF!</v>
      </c>
      <c r="Y65" s="109" t="str">
        <f t="shared" ca="1" si="33"/>
        <v>#REF!</v>
      </c>
      <c r="Z65" s="109" t="str">
        <f t="shared" ca="1" si="33"/>
        <v>#REF!</v>
      </c>
      <c r="AA65" s="109" t="str">
        <f t="shared" ca="1" si="33"/>
        <v>#REF!</v>
      </c>
      <c r="AB65" s="12"/>
      <c r="AC65" s="12"/>
      <c r="AD65" s="12"/>
      <c r="AE65" s="12"/>
    </row>
    <row r="66" spans="1:31" ht="13.5" customHeight="1">
      <c r="A66" s="13"/>
      <c r="B66" s="12"/>
      <c r="C66" s="12"/>
      <c r="D66" s="12"/>
      <c r="E66" s="12"/>
      <c r="F66" s="12"/>
      <c r="G66" s="112"/>
      <c r="H66" s="112"/>
      <c r="I66" s="112"/>
      <c r="J66" s="113"/>
      <c r="K66" s="112"/>
      <c r="L66" s="112"/>
      <c r="M66" s="112"/>
      <c r="N66" s="114"/>
      <c r="O66" s="112"/>
      <c r="P66" s="112"/>
      <c r="Q66" s="112"/>
      <c r="R66" s="112"/>
      <c r="S66" s="12"/>
      <c r="T66" s="112"/>
      <c r="U66" s="112"/>
      <c r="V66" s="113"/>
      <c r="W66" s="112"/>
      <c r="X66" s="112"/>
      <c r="Y66" s="112"/>
      <c r="Z66" s="112"/>
      <c r="AA66" s="112"/>
      <c r="AB66" s="12"/>
      <c r="AC66" s="12"/>
      <c r="AD66" s="12"/>
      <c r="AE66" s="12"/>
    </row>
    <row r="67" spans="1:31" ht="13.5" customHeight="1">
      <c r="A67" s="13"/>
      <c r="B67" s="12"/>
      <c r="C67" s="12" t="str">
        <f>Model!C153</f>
        <v>Noncontrolling Interests</v>
      </c>
      <c r="D67" s="12"/>
      <c r="E67" s="12"/>
      <c r="F67" s="12"/>
      <c r="G67" s="105">
        <f>Model!P153</f>
        <v>0</v>
      </c>
      <c r="H67" s="105">
        <f>Model!Q153</f>
        <v>0</v>
      </c>
      <c r="I67" s="105">
        <f>Model!R153</f>
        <v>0</v>
      </c>
      <c r="J67" s="106">
        <f>Model!S153</f>
        <v>0</v>
      </c>
      <c r="K67" s="105">
        <f>Model!U153</f>
        <v>0</v>
      </c>
      <c r="L67" s="105">
        <f>Model!V153</f>
        <v>0</v>
      </c>
      <c r="M67" s="105">
        <f>Model!W153</f>
        <v>0</v>
      </c>
      <c r="N67" s="107">
        <f>Model!X153</f>
        <v>0</v>
      </c>
      <c r="O67" s="105">
        <f>Model!Z153</f>
        <v>0</v>
      </c>
      <c r="P67" s="105">
        <f>Model!AA153</f>
        <v>0</v>
      </c>
      <c r="Q67" s="105">
        <f>Model!AB153</f>
        <v>0</v>
      </c>
      <c r="R67" s="105">
        <f>Model!AC153</f>
        <v>0</v>
      </c>
      <c r="S67" s="12"/>
      <c r="T67" s="105">
        <f>Model!J153</f>
        <v>0</v>
      </c>
      <c r="U67" s="105">
        <f>Model!O153</f>
        <v>0</v>
      </c>
      <c r="V67" s="106">
        <f>Model!T153</f>
        <v>0</v>
      </c>
      <c r="W67" s="105">
        <f>Model!Y153</f>
        <v>0</v>
      </c>
      <c r="X67" s="105">
        <f>Model!AD153</f>
        <v>0</v>
      </c>
      <c r="Y67" s="105">
        <f>Model!AE153</f>
        <v>0</v>
      </c>
      <c r="Z67" s="105">
        <f>Model!AF153</f>
        <v>0</v>
      </c>
      <c r="AA67" s="105">
        <f>Model!AG153</f>
        <v>0</v>
      </c>
      <c r="AB67" s="12"/>
      <c r="AC67" s="12"/>
      <c r="AD67" s="12"/>
      <c r="AE67" s="12"/>
    </row>
    <row r="68" spans="1:31" ht="13.5" customHeight="1">
      <c r="A68" s="13"/>
      <c r="B68" s="12"/>
      <c r="C68" s="108" t="str">
        <f>Model!C154</f>
        <v>Total Equity</v>
      </c>
      <c r="D68" s="12"/>
      <c r="E68" s="12"/>
      <c r="F68" s="12"/>
      <c r="G68" s="109">
        <f t="shared" ref="G68:R68" si="34">SUM(G65,G67)</f>
        <v>24028.072999999997</v>
      </c>
      <c r="H68" s="109">
        <f t="shared" si="34"/>
        <v>24951.898999999994</v>
      </c>
      <c r="I68" s="109">
        <f t="shared" si="34"/>
        <v>25954.035</v>
      </c>
      <c r="J68" s="110">
        <f t="shared" si="34"/>
        <v>26615.488000000001</v>
      </c>
      <c r="K68" s="109">
        <f t="shared" si="34"/>
        <v>31126.399000000001</v>
      </c>
      <c r="L68" s="109">
        <f t="shared" si="34"/>
        <v>-175</v>
      </c>
      <c r="M68" s="109">
        <f t="shared" si="34"/>
        <v>-1576</v>
      </c>
      <c r="N68" s="111" t="str">
        <f t="shared" ca="1" si="34"/>
        <v>#REF!</v>
      </c>
      <c r="O68" s="109" t="str">
        <f t="shared" ca="1" si="34"/>
        <v>#REF!</v>
      </c>
      <c r="P68" s="109" t="str">
        <f t="shared" ca="1" si="34"/>
        <v>#REF!</v>
      </c>
      <c r="Q68" s="109" t="str">
        <f t="shared" ca="1" si="34"/>
        <v>#REF!</v>
      </c>
      <c r="R68" s="109" t="str">
        <f t="shared" ca="1" si="34"/>
        <v>#REF!</v>
      </c>
      <c r="S68" s="12"/>
      <c r="T68" s="109">
        <f t="shared" ref="T68:AA68" si="35">SUM(T65,T67)</f>
        <v>20588.313000000002</v>
      </c>
      <c r="U68" s="109">
        <f t="shared" si="35"/>
        <v>24743.567000000003</v>
      </c>
      <c r="V68" s="110">
        <f t="shared" si="35"/>
        <v>26615.488000000001</v>
      </c>
      <c r="W68" s="109" t="str">
        <f t="shared" ca="1" si="35"/>
        <v>#REF!</v>
      </c>
      <c r="X68" s="109" t="str">
        <f t="shared" ca="1" si="35"/>
        <v>#REF!</v>
      </c>
      <c r="Y68" s="109" t="str">
        <f t="shared" ca="1" si="35"/>
        <v>#REF!</v>
      </c>
      <c r="Z68" s="109" t="str">
        <f t="shared" ca="1" si="35"/>
        <v>#REF!</v>
      </c>
      <c r="AA68" s="109" t="str">
        <f t="shared" ca="1" si="35"/>
        <v>#REF!</v>
      </c>
      <c r="AB68" s="12"/>
      <c r="AC68" s="12"/>
      <c r="AD68" s="12"/>
      <c r="AE68" s="12"/>
    </row>
    <row r="69" spans="1:31" ht="13.5" customHeight="1">
      <c r="A69" s="13"/>
      <c r="B69" s="12"/>
      <c r="C69" s="12"/>
      <c r="D69" s="12"/>
      <c r="E69" s="12"/>
      <c r="F69" s="12"/>
      <c r="G69" s="112"/>
      <c r="H69" s="112"/>
      <c r="I69" s="112"/>
      <c r="J69" s="113"/>
      <c r="K69" s="112"/>
      <c r="L69" s="112"/>
      <c r="M69" s="112"/>
      <c r="N69" s="114"/>
      <c r="O69" s="112"/>
      <c r="P69" s="112"/>
      <c r="Q69" s="112"/>
      <c r="R69" s="112"/>
      <c r="S69" s="12"/>
      <c r="T69" s="112"/>
      <c r="U69" s="112"/>
      <c r="V69" s="113"/>
      <c r="W69" s="112"/>
      <c r="X69" s="112"/>
      <c r="Y69" s="112"/>
      <c r="Z69" s="112"/>
      <c r="AA69" s="112"/>
      <c r="AB69" s="12"/>
      <c r="AC69" s="12"/>
      <c r="AD69" s="12"/>
      <c r="AE69" s="12"/>
    </row>
    <row r="70" spans="1:31" ht="13.5" customHeight="1">
      <c r="A70" s="13"/>
      <c r="B70" s="12"/>
      <c r="C70" s="108" t="str">
        <f>Model!C156</f>
        <v>Total Liabilities &amp; Shareholder's Equity</v>
      </c>
      <c r="D70" s="12"/>
      <c r="E70" s="12"/>
      <c r="F70" s="12"/>
      <c r="G70" s="115">
        <f t="shared" ref="G70:R70" si="36">SUM(G59,G68)</f>
        <v>55137.942999999999</v>
      </c>
      <c r="H70" s="115">
        <f t="shared" si="36"/>
        <v>57195.553999999989</v>
      </c>
      <c r="I70" s="115">
        <f t="shared" si="36"/>
        <v>59638.119000000006</v>
      </c>
      <c r="J70" s="116">
        <f t="shared" si="36"/>
        <v>59566.472999999998</v>
      </c>
      <c r="K70" s="115">
        <f t="shared" si="36"/>
        <v>71942.066000000006</v>
      </c>
      <c r="L70" s="115">
        <f t="shared" si="36"/>
        <v>49404</v>
      </c>
      <c r="M70" s="115">
        <f t="shared" si="36"/>
        <v>49400</v>
      </c>
      <c r="N70" s="117" t="str">
        <f t="shared" ca="1" si="36"/>
        <v>#REF!</v>
      </c>
      <c r="O70" s="115" t="str">
        <f t="shared" ca="1" si="36"/>
        <v>#REF!</v>
      </c>
      <c r="P70" s="115" t="str">
        <f t="shared" ca="1" si="36"/>
        <v>#REF!</v>
      </c>
      <c r="Q70" s="115" t="str">
        <f t="shared" ca="1" si="36"/>
        <v>#REF!</v>
      </c>
      <c r="R70" s="115" t="str">
        <f t="shared" ca="1" si="36"/>
        <v>#REF!</v>
      </c>
      <c r="S70" s="118"/>
      <c r="T70" s="115">
        <f t="shared" ref="T70:AA70" si="37">SUM(T59,T68)</f>
        <v>51088.72</v>
      </c>
      <c r="U70" s="115">
        <f t="shared" si="37"/>
        <v>58880.864000000001</v>
      </c>
      <c r="V70" s="116">
        <f t="shared" si="37"/>
        <v>59566.472999999998</v>
      </c>
      <c r="W70" s="115" t="str">
        <f t="shared" ca="1" si="37"/>
        <v>#REF!</v>
      </c>
      <c r="X70" s="115" t="str">
        <f t="shared" ca="1" si="37"/>
        <v>#REF!</v>
      </c>
      <c r="Y70" s="115" t="str">
        <f t="shared" ca="1" si="37"/>
        <v>#REF!</v>
      </c>
      <c r="Z70" s="115" t="str">
        <f t="shared" ca="1" si="37"/>
        <v>#REF!</v>
      </c>
      <c r="AA70" s="115" t="str">
        <f t="shared" ca="1" si="37"/>
        <v>#REF!</v>
      </c>
      <c r="AB70" s="12"/>
      <c r="AC70" s="12"/>
      <c r="AD70" s="12"/>
      <c r="AE70" s="12"/>
    </row>
    <row r="71" spans="1:31" ht="4.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row>
    <row r="72" spans="1:31" ht="13.5" customHeight="1">
      <c r="A72" s="13"/>
      <c r="B72" s="12"/>
      <c r="C72" s="81"/>
      <c r="D72" s="81"/>
      <c r="E72" s="81"/>
      <c r="F72" s="81"/>
      <c r="G72" s="882" t="str">
        <f>G$5</f>
        <v>Quarterly</v>
      </c>
      <c r="H72" s="883"/>
      <c r="I72" s="883"/>
      <c r="J72" s="883"/>
      <c r="K72" s="883"/>
      <c r="L72" s="883"/>
      <c r="M72" s="883"/>
      <c r="N72" s="883"/>
      <c r="O72" s="883"/>
      <c r="P72" s="883"/>
      <c r="Q72" s="883"/>
      <c r="R72" s="883"/>
      <c r="S72" s="883"/>
      <c r="T72" s="884" t="str">
        <f>T$31</f>
        <v>Annuals</v>
      </c>
      <c r="U72" s="885"/>
      <c r="V72" s="885"/>
      <c r="W72" s="885"/>
      <c r="X72" s="885"/>
      <c r="Y72" s="885"/>
      <c r="Z72" s="885"/>
      <c r="AA72" s="885"/>
      <c r="AB72" s="12"/>
      <c r="AC72" s="12"/>
      <c r="AD72" s="12"/>
      <c r="AE72" s="12"/>
    </row>
    <row r="73" spans="1:31" ht="13.5" customHeight="1">
      <c r="A73" s="13" t="s">
        <v>1</v>
      </c>
      <c r="B73" s="12"/>
      <c r="C73" s="81" t="s">
        <v>110</v>
      </c>
      <c r="D73" s="81"/>
      <c r="E73" s="81"/>
      <c r="F73" s="81"/>
      <c r="G73" s="82" t="str">
        <f t="shared" ref="G73:R73" si="38">G$6</f>
        <v>1Q25</v>
      </c>
      <c r="H73" s="82" t="str">
        <f t="shared" si="38"/>
        <v>2Q25</v>
      </c>
      <c r="I73" s="82" t="str">
        <f t="shared" si="38"/>
        <v>3Q25</v>
      </c>
      <c r="J73" s="82" t="str">
        <f t="shared" si="38"/>
        <v>4Q25</v>
      </c>
      <c r="K73" s="82" t="str">
        <f t="shared" si="38"/>
        <v>1Q26</v>
      </c>
      <c r="L73" s="82" t="str">
        <f t="shared" si="38"/>
        <v>2Q26</v>
      </c>
      <c r="M73" s="82" t="str">
        <f t="shared" si="38"/>
        <v>3Q26e</v>
      </c>
      <c r="N73" s="82" t="str">
        <f t="shared" si="38"/>
        <v>4Q26e</v>
      </c>
      <c r="O73" s="82" t="str">
        <f t="shared" si="38"/>
        <v>1Q27e</v>
      </c>
      <c r="P73" s="82" t="str">
        <f t="shared" si="38"/>
        <v>2Q27e</v>
      </c>
      <c r="Q73" s="82" t="str">
        <f t="shared" si="38"/>
        <v>3Q27e</v>
      </c>
      <c r="R73" s="82" t="str">
        <f t="shared" si="38"/>
        <v>4Q27e</v>
      </c>
      <c r="S73" s="82"/>
      <c r="T73" s="82">
        <f t="shared" ref="T73:AA73" si="39">T$6</f>
        <v>2023</v>
      </c>
      <c r="U73" s="82">
        <f t="shared" si="39"/>
        <v>2024</v>
      </c>
      <c r="V73" s="82">
        <f t="shared" si="39"/>
        <v>2025</v>
      </c>
      <c r="W73" s="82" t="str">
        <f t="shared" si="39"/>
        <v>2026e</v>
      </c>
      <c r="X73" s="82" t="str">
        <f t="shared" si="39"/>
        <v>2027e</v>
      </c>
      <c r="Y73" s="82" t="str">
        <f t="shared" si="39"/>
        <v>2028e</v>
      </c>
      <c r="Z73" s="82" t="str">
        <f t="shared" si="39"/>
        <v>2029e</v>
      </c>
      <c r="AA73" s="82" t="str">
        <f t="shared" si="39"/>
        <v>2030e</v>
      </c>
      <c r="AB73" s="12"/>
      <c r="AC73" s="12"/>
      <c r="AD73" s="12"/>
      <c r="AE73" s="12"/>
    </row>
    <row r="74" spans="1:31" ht="4.5" customHeight="1">
      <c r="A74" s="13"/>
      <c r="B74" s="12"/>
      <c r="C74" s="40"/>
      <c r="D74" s="40"/>
      <c r="E74" s="40"/>
      <c r="F74" s="40"/>
      <c r="G74" s="120"/>
      <c r="H74" s="120"/>
      <c r="I74" s="120"/>
      <c r="J74" s="120"/>
      <c r="K74" s="120"/>
      <c r="L74" s="120"/>
      <c r="M74" s="120"/>
      <c r="N74" s="121"/>
      <c r="O74" s="121"/>
      <c r="P74" s="121"/>
      <c r="Q74" s="121"/>
      <c r="R74" s="121"/>
      <c r="S74" s="12"/>
      <c r="T74" s="12"/>
      <c r="U74" s="12"/>
      <c r="V74" s="12"/>
      <c r="W74" s="12"/>
      <c r="X74" s="12"/>
      <c r="Y74" s="12"/>
      <c r="Z74" s="12"/>
      <c r="AA74" s="12"/>
      <c r="AB74" s="12"/>
      <c r="AC74" s="12"/>
      <c r="AD74" s="12"/>
      <c r="AE74" s="12"/>
    </row>
    <row r="75" spans="1:31" ht="13.5" customHeight="1">
      <c r="A75" s="13"/>
      <c r="B75" s="12"/>
      <c r="C75" s="100" t="s">
        <v>111</v>
      </c>
      <c r="D75" s="100"/>
      <c r="E75" s="100"/>
      <c r="F75" s="12"/>
      <c r="G75" s="12"/>
      <c r="H75" s="12"/>
      <c r="I75" s="12"/>
      <c r="J75" s="93"/>
      <c r="K75" s="12"/>
      <c r="L75" s="12"/>
      <c r="M75" s="12"/>
      <c r="N75" s="94"/>
      <c r="O75" s="12"/>
      <c r="P75" s="12"/>
      <c r="Q75" s="12"/>
      <c r="R75" s="12"/>
      <c r="S75" s="12"/>
      <c r="T75" s="12"/>
      <c r="U75" s="12"/>
      <c r="V75" s="93"/>
      <c r="W75" s="12"/>
      <c r="X75" s="12"/>
      <c r="Y75" s="12"/>
      <c r="Z75" s="12"/>
      <c r="AA75" s="12"/>
      <c r="AB75" s="12"/>
      <c r="AC75" s="12"/>
      <c r="AD75" s="12"/>
      <c r="AE75" s="12"/>
    </row>
    <row r="76" spans="1:31" ht="13.5" customHeight="1">
      <c r="A76" s="13"/>
      <c r="B76" s="12"/>
      <c r="C76" s="108" t="s">
        <v>112</v>
      </c>
      <c r="D76" s="12"/>
      <c r="E76" s="12"/>
      <c r="F76" s="12"/>
      <c r="G76" s="122">
        <f t="shared" ref="G76:R76" si="40">G12</f>
        <v>0.50078285647239285</v>
      </c>
      <c r="H76" s="122">
        <f t="shared" si="40"/>
        <v>0.51934008390162223</v>
      </c>
      <c r="I76" s="122">
        <f t="shared" si="40"/>
        <v>0.4644582459877048</v>
      </c>
      <c r="J76" s="123">
        <f t="shared" si="40"/>
        <v>0.4587378789822586</v>
      </c>
      <c r="K76" s="122">
        <f t="shared" si="40"/>
        <v>0.51931797504228039</v>
      </c>
      <c r="L76" s="122">
        <f t="shared" si="40"/>
        <v>0.33775843307943415</v>
      </c>
      <c r="M76" s="122">
        <f t="shared" si="40"/>
        <v>0.33104982982808273</v>
      </c>
      <c r="N76" s="124">
        <f t="shared" si="40"/>
        <v>0.12999999999999998</v>
      </c>
      <c r="O76" s="122">
        <f t="shared" si="40"/>
        <v>0.13999999999999996</v>
      </c>
      <c r="P76" s="122">
        <f t="shared" si="40"/>
        <v>0.14499999999999999</v>
      </c>
      <c r="Q76" s="122">
        <f t="shared" si="40"/>
        <v>0.11999999999999998</v>
      </c>
      <c r="R76" s="122">
        <f t="shared" si="40"/>
        <v>0.13499999999999993</v>
      </c>
      <c r="S76" s="12"/>
      <c r="T76" s="122">
        <f t="shared" ref="T76:AA76" si="41">T12</f>
        <v>0.41537744663577819</v>
      </c>
      <c r="U76" s="122">
        <f t="shared" si="41"/>
        <v>0.46056556650417324</v>
      </c>
      <c r="V76" s="123">
        <f t="shared" si="41"/>
        <v>0.48486575802475951</v>
      </c>
      <c r="W76" s="122">
        <f t="shared" si="41"/>
        <v>0.30873193880803756</v>
      </c>
      <c r="X76" s="122">
        <f t="shared" si="41"/>
        <v>0.13533005878561802</v>
      </c>
      <c r="Y76" s="122">
        <f t="shared" si="41"/>
        <v>0.13899999999999996</v>
      </c>
      <c r="Z76" s="122">
        <f t="shared" si="41"/>
        <v>0.13999999999999996</v>
      </c>
      <c r="AA76" s="122">
        <f t="shared" si="41"/>
        <v>0.14200000000000007</v>
      </c>
      <c r="AB76" s="12"/>
      <c r="AC76" s="12"/>
      <c r="AD76" s="12"/>
      <c r="AE76" s="12"/>
    </row>
    <row r="77" spans="1:31" ht="13.5" customHeight="1">
      <c r="A77" s="13"/>
      <c r="B77" s="12"/>
      <c r="C77" s="108" t="s">
        <v>113</v>
      </c>
      <c r="D77" s="12"/>
      <c r="E77" s="12"/>
      <c r="F77" s="12"/>
      <c r="G77" s="122">
        <f t="shared" ref="G77:R77" si="42">G28</f>
        <v>0.32577926871615998</v>
      </c>
      <c r="H77" s="122">
        <f t="shared" si="42"/>
        <v>0.34860358622661675</v>
      </c>
      <c r="I77" s="122">
        <f t="shared" si="42"/>
        <v>0.35988206048717902</v>
      </c>
      <c r="J77" s="123">
        <f t="shared" si="42"/>
        <v>0.25248577641812198</v>
      </c>
      <c r="K77" s="122">
        <f t="shared" si="42"/>
        <v>0.33107366946136157</v>
      </c>
      <c r="L77" s="122">
        <f t="shared" si="42"/>
        <v>0.16753717809212912</v>
      </c>
      <c r="M77" s="122">
        <f t="shared" si="42"/>
        <v>0.13993367658608954</v>
      </c>
      <c r="N77" s="124" t="str">
        <f t="shared" ca="1" si="42"/>
        <v>#REF!</v>
      </c>
      <c r="O77" s="122" t="str">
        <f t="shared" ca="1" si="42"/>
        <v>#REF!</v>
      </c>
      <c r="P77" s="122" t="str">
        <f t="shared" ca="1" si="42"/>
        <v>#REF!</v>
      </c>
      <c r="Q77" s="122" t="str">
        <f t="shared" ca="1" si="42"/>
        <v>#REF!</v>
      </c>
      <c r="R77" s="122" t="str">
        <f t="shared" ca="1" si="42"/>
        <v>#REF!</v>
      </c>
      <c r="S77" s="12"/>
      <c r="T77" s="122">
        <f t="shared" ref="T77:AA77" si="43">T28</f>
        <v>-8.0344457423602342E-2</v>
      </c>
      <c r="U77" s="122">
        <f t="shared" si="43"/>
        <v>0.28037838857632397</v>
      </c>
      <c r="V77" s="123">
        <f t="shared" si="43"/>
        <v>0.32051546956694105</v>
      </c>
      <c r="W77" s="122" t="str">
        <f t="shared" ca="1" si="43"/>
        <v>#REF!</v>
      </c>
      <c r="X77" s="122" t="str">
        <f t="shared" ca="1" si="43"/>
        <v>#REF!</v>
      </c>
      <c r="Y77" s="122" t="str">
        <f t="shared" ca="1" si="43"/>
        <v>#REF!</v>
      </c>
      <c r="Z77" s="122" t="str">
        <f t="shared" ca="1" si="43"/>
        <v>#REF!</v>
      </c>
      <c r="AA77" s="122" t="str">
        <f t="shared" ca="1" si="43"/>
        <v>#REF!</v>
      </c>
      <c r="AB77" s="12"/>
      <c r="AC77" s="12"/>
      <c r="AD77" s="12"/>
      <c r="AE77" s="12"/>
    </row>
    <row r="78" spans="1:31" ht="13.5" customHeight="1">
      <c r="A78" s="13"/>
      <c r="B78" s="12"/>
      <c r="C78" s="108" t="s">
        <v>114</v>
      </c>
      <c r="D78" s="12"/>
      <c r="E78" s="12"/>
      <c r="F78" s="12"/>
      <c r="G78" s="122">
        <f t="shared" ref="G78:R78" si="44">G16</f>
        <v>0.31746772039043514</v>
      </c>
      <c r="H78" s="122">
        <f t="shared" si="44"/>
        <v>0.34070199868834899</v>
      </c>
      <c r="I78" s="122">
        <f t="shared" si="44"/>
        <v>0.28220333306487827</v>
      </c>
      <c r="J78" s="123">
        <f t="shared" si="44"/>
        <v>0.24535070894272079</v>
      </c>
      <c r="K78" s="122">
        <f t="shared" si="44"/>
        <v>0.32302657105769528</v>
      </c>
      <c r="L78" s="122">
        <f t="shared" si="44"/>
        <v>0.15270221254987304</v>
      </c>
      <c r="M78" s="122">
        <f t="shared" si="44"/>
        <v>0.1216947377607121</v>
      </c>
      <c r="N78" s="124">
        <f t="shared" si="44"/>
        <v>-0.10521155515545128</v>
      </c>
      <c r="O78" s="122">
        <f t="shared" si="44"/>
        <v>-9.7917671983246551E-2</v>
      </c>
      <c r="P78" s="122">
        <f t="shared" si="44"/>
        <v>-9.1501414669771644E-2</v>
      </c>
      <c r="Q78" s="122">
        <f t="shared" si="44"/>
        <v>-0.11327856808301211</v>
      </c>
      <c r="R78" s="122">
        <f t="shared" si="44"/>
        <v>-9.9045992780588885E-2</v>
      </c>
      <c r="S78" s="12"/>
      <c r="T78" s="122">
        <f t="shared" ref="T78:AA78" si="45">T16</f>
        <v>-0.14568474725350836</v>
      </c>
      <c r="U78" s="122">
        <f t="shared" si="45"/>
        <v>0.26711169154117881</v>
      </c>
      <c r="V78" s="123">
        <f t="shared" si="45"/>
        <v>0.29494704605507255</v>
      </c>
      <c r="W78" s="122">
        <f t="shared" si="45"/>
        <v>0.10253621065765144</v>
      </c>
      <c r="X78" s="122">
        <f t="shared" si="45"/>
        <v>-0.10015651845772622</v>
      </c>
      <c r="Y78" s="122">
        <f t="shared" si="45"/>
        <v>-8.9230245486357079E-2</v>
      </c>
      <c r="Z78" s="122">
        <f t="shared" si="45"/>
        <v>-8.4448693932685684E-2</v>
      </c>
      <c r="AA78" s="122">
        <f t="shared" si="45"/>
        <v>-7.7647439185815875E-2</v>
      </c>
      <c r="AB78" s="12"/>
      <c r="AC78" s="12"/>
      <c r="AD78" s="12"/>
      <c r="AE78" s="12"/>
    </row>
    <row r="79" spans="1:31" ht="13.5" customHeight="1">
      <c r="A79" s="13"/>
      <c r="B79" s="12"/>
      <c r="C79" s="108" t="s">
        <v>115</v>
      </c>
      <c r="D79" s="12"/>
      <c r="E79" s="12"/>
      <c r="F79" s="12"/>
      <c r="G79" s="122">
        <f t="shared" ref="G79:R79" si="46">G20</f>
        <v>0.27415399380107813</v>
      </c>
      <c r="H79" s="122">
        <f t="shared" si="46"/>
        <v>0.28209821930639906</v>
      </c>
      <c r="I79" s="122">
        <f t="shared" si="46"/>
        <v>0.22127263851433329</v>
      </c>
      <c r="J79" s="123">
        <f t="shared" si="46"/>
        <v>0.20069444571222969</v>
      </c>
      <c r="K79" s="122">
        <f t="shared" si="46"/>
        <v>0.43125679962467828</v>
      </c>
      <c r="L79" s="122">
        <f t="shared" si="46"/>
        <v>0.10946681175190424</v>
      </c>
      <c r="M79" s="122">
        <f t="shared" si="46"/>
        <v>8.2729732088314856E-2</v>
      </c>
      <c r="N79" s="124" t="str">
        <f t="shared" ca="1" si="46"/>
        <v>#REF!</v>
      </c>
      <c r="O79" s="122" t="str">
        <f t="shared" ca="1" si="46"/>
        <v>#REF!</v>
      </c>
      <c r="P79" s="122" t="str">
        <f t="shared" ca="1" si="46"/>
        <v>#REF!</v>
      </c>
      <c r="Q79" s="122" t="str">
        <f t="shared" ca="1" si="46"/>
        <v>#REF!</v>
      </c>
      <c r="R79" s="122" t="str">
        <f t="shared" ca="1" si="46"/>
        <v>#REF!</v>
      </c>
      <c r="S79" s="12"/>
      <c r="T79" s="122">
        <f t="shared" ref="T79:AA79" si="47">T20</f>
        <v>-0.19152759589312979</v>
      </c>
      <c r="U79" s="122">
        <f t="shared" si="47"/>
        <v>0.22336962115246067</v>
      </c>
      <c r="V79" s="123">
        <f t="shared" si="47"/>
        <v>0.24303813935832025</v>
      </c>
      <c r="W79" s="122" t="str">
        <f t="shared" ca="1" si="47"/>
        <v>#REF!</v>
      </c>
      <c r="X79" s="122" t="str">
        <f t="shared" ca="1" si="47"/>
        <v>#REF!</v>
      </c>
      <c r="Y79" s="122" t="str">
        <f t="shared" ca="1" si="47"/>
        <v>#REF!</v>
      </c>
      <c r="Z79" s="122" t="str">
        <f t="shared" ca="1" si="47"/>
        <v>#REF!</v>
      </c>
      <c r="AA79" s="122" t="str">
        <f t="shared" ca="1" si="47"/>
        <v>#REF!</v>
      </c>
      <c r="AB79" s="12"/>
      <c r="AC79" s="12"/>
      <c r="AD79" s="12"/>
      <c r="AE79" s="12"/>
    </row>
    <row r="80" spans="1:31" ht="13.5" customHeight="1">
      <c r="A80" s="13"/>
      <c r="B80" s="12"/>
      <c r="C80" s="108" t="s">
        <v>116</v>
      </c>
      <c r="D80" s="12"/>
      <c r="E80" s="12"/>
      <c r="F80" s="12"/>
      <c r="G80" s="122">
        <f t="shared" ref="G80:R80" si="48">G19/G46</f>
        <v>5.2420363233354576E-2</v>
      </c>
      <c r="H80" s="122">
        <f t="shared" si="48"/>
        <v>5.4644334767698921E-2</v>
      </c>
      <c r="I80" s="122">
        <f t="shared" si="48"/>
        <v>4.2706175893978141E-2</v>
      </c>
      <c r="J80" s="123">
        <f t="shared" si="48"/>
        <v>4.0602051425807952E-2</v>
      </c>
      <c r="K80" s="122">
        <f t="shared" si="48"/>
        <v>7.3431182807566289E-2</v>
      </c>
      <c r="L80" s="122">
        <f t="shared" si="48"/>
        <v>6.1088170998299732E-2</v>
      </c>
      <c r="M80" s="122">
        <f t="shared" si="48"/>
        <v>3.8380566801619435E-2</v>
      </c>
      <c r="N80" s="124" t="str">
        <f t="shared" ca="1" si="48"/>
        <v>#REF!</v>
      </c>
      <c r="O80" s="122" t="str">
        <f t="shared" ca="1" si="48"/>
        <v>#REF!</v>
      </c>
      <c r="P80" s="122" t="str">
        <f t="shared" ca="1" si="48"/>
        <v>#REF!</v>
      </c>
      <c r="Q80" s="122" t="str">
        <f t="shared" ca="1" si="48"/>
        <v>#REF!</v>
      </c>
      <c r="R80" s="122" t="str">
        <f t="shared" ca="1" si="48"/>
        <v>#REF!</v>
      </c>
      <c r="S80" s="12"/>
      <c r="T80" s="122">
        <f t="shared" ref="T80:AA80" si="49">T19/T46</f>
        <v>-0.1264259899249775</v>
      </c>
      <c r="U80" s="122">
        <f t="shared" si="49"/>
        <v>0.14795351848097879</v>
      </c>
      <c r="V80" s="123">
        <f t="shared" si="49"/>
        <v>0.18435204313674911</v>
      </c>
      <c r="W80" s="122" t="str">
        <f t="shared" ca="1" si="49"/>
        <v>#REF!</v>
      </c>
      <c r="X80" s="122" t="str">
        <f t="shared" ca="1" si="49"/>
        <v>#REF!</v>
      </c>
      <c r="Y80" s="122" t="str">
        <f t="shared" ca="1" si="49"/>
        <v>#REF!</v>
      </c>
      <c r="Z80" s="122" t="str">
        <f t="shared" ca="1" si="49"/>
        <v>#REF!</v>
      </c>
      <c r="AA80" s="122" t="str">
        <f t="shared" ca="1" si="49"/>
        <v>#REF!</v>
      </c>
      <c r="AB80" s="12"/>
      <c r="AC80" s="12"/>
      <c r="AD80" s="12"/>
      <c r="AE80" s="12"/>
    </row>
    <row r="81" spans="1:31" ht="13.5" customHeight="1">
      <c r="A81" s="13"/>
      <c r="B81" s="12"/>
      <c r="C81" s="108" t="s">
        <v>117</v>
      </c>
      <c r="D81" s="12"/>
      <c r="E81" s="12"/>
      <c r="F81" s="12"/>
      <c r="G81" s="122">
        <f t="shared" ref="G81:R81" si="50">G19*4/G68</f>
        <v>0.48116234705962491</v>
      </c>
      <c r="H81" s="122">
        <f t="shared" si="50"/>
        <v>0.50103008191881515</v>
      </c>
      <c r="I81" s="122">
        <f t="shared" si="50"/>
        <v>0.39252717352041794</v>
      </c>
      <c r="J81" s="123">
        <f t="shared" si="50"/>
        <v>0.36347573262605598</v>
      </c>
      <c r="K81" s="122">
        <f t="shared" si="50"/>
        <v>0.67888238533471212</v>
      </c>
      <c r="L81" s="122">
        <f t="shared" si="50"/>
        <v>-68.982857142857142</v>
      </c>
      <c r="M81" s="122">
        <f t="shared" si="50"/>
        <v>-4.812182741116751</v>
      </c>
      <c r="N81" s="124" t="str">
        <f t="shared" ca="1" si="50"/>
        <v>#REF!</v>
      </c>
      <c r="O81" s="122" t="str">
        <f t="shared" ca="1" si="50"/>
        <v>#REF!</v>
      </c>
      <c r="P81" s="122" t="str">
        <f t="shared" ca="1" si="50"/>
        <v>#REF!</v>
      </c>
      <c r="Q81" s="122" t="str">
        <f t="shared" ca="1" si="50"/>
        <v>#REF!</v>
      </c>
      <c r="R81" s="122" t="str">
        <f t="shared" ca="1" si="50"/>
        <v>#REF!</v>
      </c>
      <c r="S81" s="12"/>
      <c r="T81" s="122">
        <f t="shared" ref="T81:AA81" si="51">T19/T68</f>
        <v>-0.31371885593540361</v>
      </c>
      <c r="U81" s="122">
        <f t="shared" si="51"/>
        <v>0.35207660237507382</v>
      </c>
      <c r="V81" s="123">
        <f t="shared" si="51"/>
        <v>0.41258687422902035</v>
      </c>
      <c r="W81" s="122" t="str">
        <f t="shared" ca="1" si="51"/>
        <v>#REF!</v>
      </c>
      <c r="X81" s="122" t="str">
        <f t="shared" ca="1" si="51"/>
        <v>#REF!</v>
      </c>
      <c r="Y81" s="122" t="str">
        <f t="shared" ca="1" si="51"/>
        <v>#REF!</v>
      </c>
      <c r="Z81" s="122" t="str">
        <f t="shared" ca="1" si="51"/>
        <v>#REF!</v>
      </c>
      <c r="AA81" s="122" t="str">
        <f t="shared" ca="1" si="51"/>
        <v>#REF!</v>
      </c>
      <c r="AB81" s="12"/>
      <c r="AC81" s="12"/>
      <c r="AD81" s="12"/>
      <c r="AE81" s="12"/>
    </row>
    <row r="82" spans="1:31" ht="13.5" customHeight="1">
      <c r="A82" s="13"/>
      <c r="B82" s="12"/>
      <c r="C82" s="108" t="s">
        <v>118</v>
      </c>
      <c r="D82" s="12"/>
      <c r="E82" s="12"/>
      <c r="F82" s="12"/>
      <c r="G82" s="122">
        <f t="shared" ref="G82:S82" si="52">G19*4/(G53+G54+G68)</f>
        <v>0.29610466551266468</v>
      </c>
      <c r="H82" s="122">
        <f t="shared" si="52"/>
        <v>0.31725970530975622</v>
      </c>
      <c r="I82" s="122">
        <f t="shared" si="52"/>
        <v>0.25206349151366919</v>
      </c>
      <c r="J82" s="123">
        <f t="shared" si="52"/>
        <v>0.23550337642791858</v>
      </c>
      <c r="K82" s="122">
        <f t="shared" si="52"/>
        <v>0.38865199425886132</v>
      </c>
      <c r="L82" s="122">
        <f t="shared" si="52"/>
        <v>0.52178423236514526</v>
      </c>
      <c r="M82" s="122">
        <f t="shared" si="52"/>
        <v>0.32058164602443251</v>
      </c>
      <c r="N82" s="124" t="str">
        <f t="shared" ca="1" si="52"/>
        <v>#REF!</v>
      </c>
      <c r="O82" s="122" t="str">
        <f t="shared" ca="1" si="52"/>
        <v>#REF!</v>
      </c>
      <c r="P82" s="122" t="str">
        <f t="shared" ca="1" si="52"/>
        <v>#REF!</v>
      </c>
      <c r="Q82" s="122" t="str">
        <f t="shared" ca="1" si="52"/>
        <v>#REF!</v>
      </c>
      <c r="R82" s="122" t="str">
        <f t="shared" ca="1" si="52"/>
        <v>#REF!</v>
      </c>
      <c r="S82" s="122" t="e">
        <f t="shared" si="52"/>
        <v>#DIV/0!</v>
      </c>
      <c r="T82" s="122">
        <f t="shared" ref="T82:AA82" si="53">T19/(T53+T54+T68)</f>
        <v>-0.17897104331135361</v>
      </c>
      <c r="U82" s="122">
        <f t="shared" si="53"/>
        <v>0.20688500275965219</v>
      </c>
      <c r="V82" s="123">
        <f t="shared" si="53"/>
        <v>0.26732349158159424</v>
      </c>
      <c r="W82" s="122" t="str">
        <f t="shared" ca="1" si="53"/>
        <v>#REF!</v>
      </c>
      <c r="X82" s="122" t="str">
        <f t="shared" ca="1" si="53"/>
        <v>#REF!</v>
      </c>
      <c r="Y82" s="122" t="str">
        <f t="shared" ca="1" si="53"/>
        <v>#REF!</v>
      </c>
      <c r="Z82" s="122" t="str">
        <f t="shared" ca="1" si="53"/>
        <v>#REF!</v>
      </c>
      <c r="AA82" s="122" t="str">
        <f t="shared" ca="1" si="53"/>
        <v>#REF!</v>
      </c>
      <c r="AB82" s="12"/>
      <c r="AC82" s="12"/>
      <c r="AD82" s="12"/>
      <c r="AE82" s="12"/>
    </row>
    <row r="83" spans="1:31" ht="13.5" customHeight="1">
      <c r="A83" s="13"/>
      <c r="B83" s="12"/>
      <c r="C83" s="12"/>
      <c r="D83" s="12"/>
      <c r="E83" s="12"/>
      <c r="F83" s="12"/>
      <c r="G83" s="12"/>
      <c r="H83" s="12"/>
      <c r="I83" s="12"/>
      <c r="J83" s="93"/>
      <c r="K83" s="12"/>
      <c r="L83" s="12"/>
      <c r="M83" s="12"/>
      <c r="N83" s="94"/>
      <c r="O83" s="12"/>
      <c r="P83" s="12"/>
      <c r="Q83" s="12"/>
      <c r="R83" s="12"/>
      <c r="S83" s="12"/>
      <c r="T83" s="12"/>
      <c r="U83" s="12"/>
      <c r="V83" s="93"/>
      <c r="W83" s="12"/>
      <c r="X83" s="12"/>
      <c r="Y83" s="12"/>
      <c r="Z83" s="12"/>
      <c r="AA83" s="12"/>
      <c r="AB83" s="12"/>
      <c r="AC83" s="12"/>
      <c r="AD83" s="12"/>
      <c r="AE83" s="12"/>
    </row>
    <row r="84" spans="1:31" ht="13.5" customHeight="1">
      <c r="A84" s="13"/>
      <c r="B84" s="12"/>
      <c r="C84" s="100" t="s">
        <v>119</v>
      </c>
      <c r="D84" s="100"/>
      <c r="E84" s="100"/>
      <c r="F84" s="12"/>
      <c r="G84" s="12"/>
      <c r="H84" s="12"/>
      <c r="I84" s="12"/>
      <c r="J84" s="93"/>
      <c r="K84" s="12"/>
      <c r="L84" s="12"/>
      <c r="M84" s="12"/>
      <c r="N84" s="94"/>
      <c r="O84" s="12"/>
      <c r="P84" s="12"/>
      <c r="Q84" s="12"/>
      <c r="R84" s="12"/>
      <c r="S84" s="12"/>
      <c r="T84" s="12"/>
      <c r="U84" s="12"/>
      <c r="V84" s="93"/>
      <c r="W84" s="12"/>
      <c r="X84" s="12"/>
      <c r="Y84" s="12"/>
      <c r="Z84" s="12"/>
      <c r="AA84" s="12"/>
      <c r="AB84" s="12"/>
      <c r="AC84" s="12"/>
      <c r="AD84" s="12"/>
      <c r="AE84" s="12"/>
    </row>
    <row r="85" spans="1:31" ht="13.5" customHeight="1">
      <c r="A85" s="13"/>
      <c r="B85" s="12"/>
      <c r="C85" s="108" t="s">
        <v>120</v>
      </c>
      <c r="D85" s="12"/>
      <c r="E85" s="12"/>
      <c r="F85" s="12"/>
      <c r="G85" s="85">
        <f>-Model!P39</f>
        <v>205</v>
      </c>
      <c r="H85" s="85">
        <f>-Model!Q39</f>
        <v>219</v>
      </c>
      <c r="I85" s="85">
        <f>-Model!R39</f>
        <v>221</v>
      </c>
      <c r="J85" s="86">
        <f>-Model!S39</f>
        <v>204</v>
      </c>
      <c r="K85" s="85">
        <f>-Model!U39</f>
        <v>211</v>
      </c>
      <c r="L85" s="85">
        <f>-Model!V39</f>
        <v>216</v>
      </c>
      <c r="M85" s="85">
        <f>-Model!W39</f>
        <v>223</v>
      </c>
      <c r="N85" s="87" t="str">
        <f ca="1">-Model!X39</f>
        <v/>
      </c>
      <c r="O85" s="85" t="str">
        <f ca="1">-Model!Z39</f>
        <v/>
      </c>
      <c r="P85" s="85" t="str">
        <f ca="1">-Model!AA39</f>
        <v/>
      </c>
      <c r="Q85" s="85" t="str">
        <f ca="1">-Model!AB39</f>
        <v/>
      </c>
      <c r="R85" s="85" t="str">
        <f ca="1">-Model!AC39</f>
        <v/>
      </c>
      <c r="S85" s="12"/>
      <c r="T85" s="85">
        <f>-Model!J39</f>
        <v>699.8</v>
      </c>
      <c r="U85" s="85">
        <f>-Model!O39</f>
        <v>709.13</v>
      </c>
      <c r="V85" s="86">
        <f>-Model!T39</f>
        <v>849</v>
      </c>
      <c r="W85" s="85" t="str">
        <f ca="1">-Model!Y39</f>
        <v/>
      </c>
      <c r="X85" s="85" t="str">
        <f ca="1">-Model!AD39</f>
        <v/>
      </c>
      <c r="Y85" s="85" t="str">
        <f ca="1">-Model!AE39</f>
        <v/>
      </c>
      <c r="Z85" s="85" t="str">
        <f ca="1">-Model!AF39</f>
        <v/>
      </c>
      <c r="AA85" s="85" t="str">
        <f ca="1">-Model!AG39</f>
        <v/>
      </c>
      <c r="AB85" s="12"/>
      <c r="AC85" s="12"/>
      <c r="AD85" s="12"/>
      <c r="AE85" s="12"/>
    </row>
    <row r="86" spans="1:31" ht="13.5" customHeight="1">
      <c r="A86" s="13"/>
      <c r="B86" s="12"/>
      <c r="C86" s="108" t="s">
        <v>121</v>
      </c>
      <c r="D86" s="12"/>
      <c r="E86" s="12"/>
      <c r="F86" s="12"/>
      <c r="G86" s="105">
        <f>Model!P193</f>
        <v>328</v>
      </c>
      <c r="H86" s="105">
        <f>Model!Q193</f>
        <v>382</v>
      </c>
      <c r="I86" s="105">
        <f>Model!R193</f>
        <v>462</v>
      </c>
      <c r="J86" s="106">
        <f>Model!S193</f>
        <v>557</v>
      </c>
      <c r="K86" s="105">
        <f>Model!U193</f>
        <v>461</v>
      </c>
      <c r="L86" s="105">
        <f>Model!V193</f>
        <v>385</v>
      </c>
      <c r="M86" s="105">
        <f>Model!W193</f>
        <v>410</v>
      </c>
      <c r="N86" s="107">
        <f>Model!X193</f>
        <v>370.12569999999999</v>
      </c>
      <c r="O86" s="105">
        <f>Model!Z193</f>
        <v>616.58587199999999</v>
      </c>
      <c r="P86" s="105">
        <f>Model!AA193</f>
        <v>644.33223623999993</v>
      </c>
      <c r="Q86" s="105">
        <f>Model!AB193</f>
        <v>438.14592064320004</v>
      </c>
      <c r="R86" s="105">
        <f>Model!AC193</f>
        <v>416.23862461104</v>
      </c>
      <c r="S86" s="12"/>
      <c r="T86" s="105">
        <f>Model!J193</f>
        <v>1174</v>
      </c>
      <c r="U86" s="105">
        <f>Model!O193</f>
        <v>1484</v>
      </c>
      <c r="V86" s="106">
        <f>Model!T193</f>
        <v>1729</v>
      </c>
      <c r="W86" s="105">
        <f>Model!Y193</f>
        <v>1626.1257000000001</v>
      </c>
      <c r="X86" s="105">
        <f>Model!AD193</f>
        <v>2115.3026534942401</v>
      </c>
      <c r="Y86" s="105">
        <f>Model!AE193</f>
        <v>2146.8311554730876</v>
      </c>
      <c r="Z86" s="105">
        <f>Model!AF193</f>
        <v>2189.7677785825495</v>
      </c>
      <c r="AA86" s="105">
        <f>Model!AG193</f>
        <v>2345.2412908619103</v>
      </c>
      <c r="AB86" s="12"/>
      <c r="AC86" s="12"/>
      <c r="AD86" s="12"/>
      <c r="AE86" s="12"/>
    </row>
    <row r="87" spans="1:31" ht="13.5" customHeight="1">
      <c r="A87" s="13"/>
      <c r="B87" s="12"/>
      <c r="C87" s="108" t="s">
        <v>122</v>
      </c>
      <c r="D87" s="12"/>
      <c r="E87" s="12"/>
      <c r="F87" s="12"/>
      <c r="G87" s="125">
        <f t="shared" ref="G87:R87" si="54">IF(ISERROR(G15/G85),"N/A",(G15/G85))</f>
        <v>16.326824390243903</v>
      </c>
      <c r="H87" s="125">
        <f t="shared" si="54"/>
        <v>17.236045662100459</v>
      </c>
      <c r="I87" s="125">
        <f t="shared" si="54"/>
        <v>14.697950226244345</v>
      </c>
      <c r="J87" s="126">
        <f t="shared" si="54"/>
        <v>14.493446078431372</v>
      </c>
      <c r="K87" s="125">
        <f t="shared" si="54"/>
        <v>18.753540284360191</v>
      </c>
      <c r="L87" s="125">
        <f t="shared" si="54"/>
        <v>19.49074074074074</v>
      </c>
      <c r="M87" s="125">
        <f t="shared" si="54"/>
        <v>12.506726457399104</v>
      </c>
      <c r="N87" s="127" t="str">
        <f t="shared" ca="1" si="54"/>
        <v>N/A</v>
      </c>
      <c r="O87" s="125" t="str">
        <f t="shared" ca="1" si="54"/>
        <v>N/A</v>
      </c>
      <c r="P87" s="125" t="str">
        <f t="shared" ca="1" si="54"/>
        <v>N/A</v>
      </c>
      <c r="Q87" s="125" t="str">
        <f t="shared" ca="1" si="54"/>
        <v>N/A</v>
      </c>
      <c r="R87" s="125" t="str">
        <f t="shared" ca="1" si="54"/>
        <v>N/A</v>
      </c>
      <c r="S87" s="12"/>
      <c r="T87" s="125">
        <f t="shared" ref="T87:AA87" si="55">IF(ISERROR(T15/T85),"N/A",(T15/T85))</f>
        <v>-7.0205344384109711</v>
      </c>
      <c r="U87" s="125">
        <f t="shared" si="55"/>
        <v>14.690697051316404</v>
      </c>
      <c r="V87" s="126">
        <f t="shared" si="55"/>
        <v>15.696823321554772</v>
      </c>
      <c r="W87" s="125" t="str">
        <f t="shared" ca="1" si="55"/>
        <v>N/A</v>
      </c>
      <c r="X87" s="125" t="str">
        <f t="shared" ca="1" si="55"/>
        <v>N/A</v>
      </c>
      <c r="Y87" s="125" t="str">
        <f t="shared" ca="1" si="55"/>
        <v>N/A</v>
      </c>
      <c r="Z87" s="125" t="str">
        <f t="shared" ca="1" si="55"/>
        <v>N/A</v>
      </c>
      <c r="AA87" s="125" t="str">
        <f t="shared" ca="1" si="55"/>
        <v>N/A</v>
      </c>
      <c r="AB87" s="12"/>
      <c r="AC87" s="12"/>
      <c r="AD87" s="12"/>
      <c r="AE87" s="12"/>
    </row>
    <row r="88" spans="1:31" ht="13.5" customHeight="1">
      <c r="A88" s="13"/>
      <c r="B88" s="12"/>
      <c r="C88" s="108" t="s">
        <v>123</v>
      </c>
      <c r="D88" s="12"/>
      <c r="E88" s="12"/>
      <c r="F88" s="12"/>
      <c r="G88" s="125">
        <f t="shared" ref="G88:R88" si="56">IF(ISERROR(G27/G85),"N/A",(G27/G85))</f>
        <v>16.754273170731707</v>
      </c>
      <c r="H88" s="125">
        <f t="shared" si="56"/>
        <v>17.635785388127857</v>
      </c>
      <c r="I88" s="125">
        <f t="shared" si="56"/>
        <v>18.743678733031675</v>
      </c>
      <c r="J88" s="126">
        <f t="shared" si="56"/>
        <v>14.914931372549022</v>
      </c>
      <c r="K88" s="125">
        <f t="shared" si="56"/>
        <v>19.220720379146918</v>
      </c>
      <c r="L88" s="125">
        <f t="shared" si="56"/>
        <v>21.38425925925926</v>
      </c>
      <c r="M88" s="125">
        <f t="shared" si="56"/>
        <v>14.381165919282511</v>
      </c>
      <c r="N88" s="127" t="str">
        <f t="shared" ca="1" si="56"/>
        <v>N/A</v>
      </c>
      <c r="O88" s="125" t="str">
        <f t="shared" ca="1" si="56"/>
        <v>N/A</v>
      </c>
      <c r="P88" s="125" t="str">
        <f t="shared" ca="1" si="56"/>
        <v>N/A</v>
      </c>
      <c r="Q88" s="125" t="str">
        <f t="shared" ca="1" si="56"/>
        <v>N/A</v>
      </c>
      <c r="R88" s="125" t="str">
        <f t="shared" ca="1" si="56"/>
        <v>N/A</v>
      </c>
      <c r="S88" s="12"/>
      <c r="T88" s="125">
        <f t="shared" ref="T88:AA88" si="57">IF(ISERROR(T27/T85),"N/A",(T27/T85))</f>
        <v>-3.8717919405544396</v>
      </c>
      <c r="U88" s="125">
        <f t="shared" si="57"/>
        <v>15.42034323748819</v>
      </c>
      <c r="V88" s="126">
        <f t="shared" si="57"/>
        <v>17.057552414605418</v>
      </c>
      <c r="W88" s="125" t="str">
        <f t="shared" ca="1" si="57"/>
        <v>N/A</v>
      </c>
      <c r="X88" s="125" t="str">
        <f t="shared" ca="1" si="57"/>
        <v>N/A</v>
      </c>
      <c r="Y88" s="125" t="str">
        <f t="shared" ca="1" si="57"/>
        <v>N/A</v>
      </c>
      <c r="Z88" s="125" t="str">
        <f t="shared" ca="1" si="57"/>
        <v>N/A</v>
      </c>
      <c r="AA88" s="125" t="str">
        <f t="shared" ca="1" si="57"/>
        <v>N/A</v>
      </c>
      <c r="AB88" s="12"/>
      <c r="AC88" s="12"/>
      <c r="AD88" s="12"/>
      <c r="AE88" s="12"/>
    </row>
    <row r="89" spans="1:31" ht="13.5" customHeight="1">
      <c r="A89" s="13"/>
      <c r="B89" s="12"/>
      <c r="C89" s="108" t="s">
        <v>124</v>
      </c>
      <c r="D89" s="12"/>
      <c r="E89" s="12"/>
      <c r="F89" s="12"/>
      <c r="G89" s="125">
        <f t="shared" ref="G89:R89" si="58">IF(ISERROR((G27-G86)/G85),"N/A",((G27-G86)/G85))</f>
        <v>15.154273170731706</v>
      </c>
      <c r="H89" s="125">
        <f t="shared" si="58"/>
        <v>15.891493150684934</v>
      </c>
      <c r="I89" s="125">
        <f t="shared" si="58"/>
        <v>16.653180995475115</v>
      </c>
      <c r="J89" s="126">
        <f t="shared" si="58"/>
        <v>12.184539215686277</v>
      </c>
      <c r="K89" s="125">
        <f t="shared" si="58"/>
        <v>17.035886255924172</v>
      </c>
      <c r="L89" s="125">
        <f t="shared" si="58"/>
        <v>19.601851851851851</v>
      </c>
      <c r="M89" s="125">
        <f t="shared" si="58"/>
        <v>12.542600896860986</v>
      </c>
      <c r="N89" s="127" t="str">
        <f t="shared" ca="1" si="58"/>
        <v>N/A</v>
      </c>
      <c r="O89" s="125" t="str">
        <f t="shared" ca="1" si="58"/>
        <v>N/A</v>
      </c>
      <c r="P89" s="125" t="str">
        <f t="shared" ca="1" si="58"/>
        <v>N/A</v>
      </c>
      <c r="Q89" s="125" t="str">
        <f t="shared" ca="1" si="58"/>
        <v>N/A</v>
      </c>
      <c r="R89" s="125" t="str">
        <f t="shared" ca="1" si="58"/>
        <v>N/A</v>
      </c>
      <c r="S89" s="12"/>
      <c r="T89" s="125">
        <f t="shared" ref="T89:AA89" si="59">IF(ISERROR((T27-T86)/T85),"N/A",((T27-T86)/T85))</f>
        <v>-5.5494141183195156</v>
      </c>
      <c r="U89" s="125">
        <f t="shared" si="59"/>
        <v>13.327638091746225</v>
      </c>
      <c r="V89" s="126">
        <f t="shared" si="59"/>
        <v>15.021038869257952</v>
      </c>
      <c r="W89" s="125" t="str">
        <f t="shared" ca="1" si="59"/>
        <v>N/A</v>
      </c>
      <c r="X89" s="125" t="str">
        <f t="shared" ca="1" si="59"/>
        <v>N/A</v>
      </c>
      <c r="Y89" s="125" t="str">
        <f t="shared" ca="1" si="59"/>
        <v>N/A</v>
      </c>
      <c r="Z89" s="125" t="str">
        <f t="shared" ca="1" si="59"/>
        <v>N/A</v>
      </c>
      <c r="AA89" s="125" t="str">
        <f t="shared" ca="1" si="59"/>
        <v>N/A</v>
      </c>
      <c r="AB89" s="12"/>
      <c r="AC89" s="12"/>
      <c r="AD89" s="12"/>
      <c r="AE89" s="12"/>
    </row>
    <row r="90" spans="1:31" ht="13.5" customHeight="1">
      <c r="A90" s="13"/>
      <c r="B90" s="12"/>
      <c r="C90" s="12"/>
      <c r="D90" s="12"/>
      <c r="E90" s="12"/>
      <c r="F90" s="12"/>
      <c r="G90" s="12"/>
      <c r="H90" s="12"/>
      <c r="I90" s="12"/>
      <c r="J90" s="93"/>
      <c r="K90" s="12"/>
      <c r="L90" s="12"/>
      <c r="M90" s="12"/>
      <c r="N90" s="94"/>
      <c r="O90" s="12"/>
      <c r="P90" s="12"/>
      <c r="Q90" s="12"/>
      <c r="R90" s="12"/>
      <c r="S90" s="12"/>
      <c r="T90" s="12"/>
      <c r="U90" s="12"/>
      <c r="V90" s="93"/>
      <c r="W90" s="12"/>
      <c r="X90" s="12"/>
      <c r="Y90" s="12"/>
      <c r="Z90" s="12"/>
      <c r="AA90" s="12"/>
      <c r="AB90" s="12"/>
      <c r="AC90" s="12"/>
      <c r="AD90" s="12"/>
      <c r="AE90" s="12"/>
    </row>
    <row r="91" spans="1:31" ht="13.5" customHeight="1">
      <c r="A91" s="13"/>
      <c r="B91" s="12"/>
      <c r="C91" s="100" t="s">
        <v>125</v>
      </c>
      <c r="D91" s="100"/>
      <c r="E91" s="100"/>
      <c r="F91" s="12"/>
      <c r="G91" s="12"/>
      <c r="H91" s="12"/>
      <c r="I91" s="12"/>
      <c r="J91" s="93"/>
      <c r="K91" s="12"/>
      <c r="L91" s="12"/>
      <c r="M91" s="12"/>
      <c r="N91" s="94"/>
      <c r="O91" s="12"/>
      <c r="P91" s="12"/>
      <c r="Q91" s="12"/>
      <c r="R91" s="12"/>
      <c r="S91" s="12"/>
      <c r="T91" s="12"/>
      <c r="U91" s="12"/>
      <c r="V91" s="93"/>
      <c r="W91" s="12"/>
      <c r="X91" s="12"/>
      <c r="Y91" s="12"/>
      <c r="Z91" s="12"/>
      <c r="AA91" s="12"/>
      <c r="AB91" s="12"/>
      <c r="AC91" s="12"/>
      <c r="AD91" s="12"/>
      <c r="AE91" s="12"/>
    </row>
    <row r="92" spans="1:31" ht="13.5" customHeight="1">
      <c r="A92" s="13"/>
      <c r="B92" s="12"/>
      <c r="C92" s="108" t="s">
        <v>126</v>
      </c>
      <c r="D92" s="12"/>
      <c r="E92" s="12"/>
      <c r="F92" s="12"/>
      <c r="G92" s="125">
        <f t="shared" ref="G92:R92" si="60">IF(ISERROR((G53+G54)/G27),"NA",((G53+G54)/G27))</f>
        <v>4.3722134520614473</v>
      </c>
      <c r="H92" s="125">
        <f t="shared" si="60"/>
        <v>3.7421851636758694</v>
      </c>
      <c r="I92" s="125">
        <f t="shared" si="60"/>
        <v>3.4914986723729244</v>
      </c>
      <c r="J92" s="126">
        <f t="shared" si="60"/>
        <v>4.7533745299321692</v>
      </c>
      <c r="K92" s="125">
        <f t="shared" si="60"/>
        <v>5.7313740207299979</v>
      </c>
      <c r="L92" s="125">
        <f t="shared" si="60"/>
        <v>5.0467633686945224</v>
      </c>
      <c r="M92" s="125">
        <f t="shared" si="60"/>
        <v>7.8681010289990647</v>
      </c>
      <c r="N92" s="128" t="str">
        <f t="shared" ca="1" si="60"/>
        <v>NA</v>
      </c>
      <c r="O92" s="125" t="str">
        <f t="shared" ca="1" si="60"/>
        <v>NA</v>
      </c>
      <c r="P92" s="125" t="str">
        <f t="shared" ca="1" si="60"/>
        <v>NA</v>
      </c>
      <c r="Q92" s="125" t="str">
        <f t="shared" ca="1" si="60"/>
        <v>NA</v>
      </c>
      <c r="R92" s="125" t="str">
        <f t="shared" ca="1" si="60"/>
        <v>NA</v>
      </c>
      <c r="S92" s="125"/>
      <c r="T92" s="125">
        <f t="shared" ref="T92:AA92" si="61">IF(ISERROR((T53+T54)/T27),"NA",((T53+T54)/T27))</f>
        <v>-5.7210239603171154</v>
      </c>
      <c r="U92" s="125">
        <f t="shared" si="61"/>
        <v>1.588016052633793</v>
      </c>
      <c r="V92" s="126">
        <f t="shared" si="61"/>
        <v>0.99868621866442298</v>
      </c>
      <c r="W92" s="125" t="str">
        <f t="shared" ca="1" si="61"/>
        <v>NA</v>
      </c>
      <c r="X92" s="125" t="str">
        <f t="shared" ca="1" si="61"/>
        <v>NA</v>
      </c>
      <c r="Y92" s="125" t="str">
        <f t="shared" ca="1" si="61"/>
        <v>NA</v>
      </c>
      <c r="Z92" s="125" t="str">
        <f t="shared" ca="1" si="61"/>
        <v>NA</v>
      </c>
      <c r="AA92" s="125" t="str">
        <f t="shared" ca="1" si="61"/>
        <v>NA</v>
      </c>
      <c r="AB92" s="12"/>
      <c r="AC92" s="12"/>
      <c r="AD92" s="12"/>
      <c r="AE92" s="12"/>
    </row>
    <row r="93" spans="1:31" ht="13.5" customHeight="1">
      <c r="A93" s="13"/>
      <c r="B93" s="12"/>
      <c r="C93" s="108" t="s">
        <v>127</v>
      </c>
      <c r="D93" s="12"/>
      <c r="E93" s="12"/>
      <c r="F93" s="12"/>
      <c r="G93" s="125">
        <f t="shared" ref="G93:R93" si="62">IF(ISERROR((G53+G54)/G68),"NA",((G53+G54)/G68))</f>
        <v>0.62497387951168626</v>
      </c>
      <c r="H93" s="125">
        <f t="shared" si="62"/>
        <v>0.5792427261748696</v>
      </c>
      <c r="I93" s="125">
        <f t="shared" si="62"/>
        <v>0.55725516282920939</v>
      </c>
      <c r="J93" s="126">
        <f t="shared" si="62"/>
        <v>0.54339924182491028</v>
      </c>
      <c r="K93" s="125">
        <f t="shared" si="62"/>
        <v>0.7467616154377511</v>
      </c>
      <c r="L93" s="125">
        <f t="shared" si="62"/>
        <v>-133.20571428571429</v>
      </c>
      <c r="M93" s="125">
        <f t="shared" si="62"/>
        <v>-16.010786802030456</v>
      </c>
      <c r="N93" s="128" t="str">
        <f t="shared" ca="1" si="62"/>
        <v>NA</v>
      </c>
      <c r="O93" s="125" t="str">
        <f t="shared" ca="1" si="62"/>
        <v>NA</v>
      </c>
      <c r="P93" s="125" t="str">
        <f t="shared" ca="1" si="62"/>
        <v>NA</v>
      </c>
      <c r="Q93" s="125" t="str">
        <f t="shared" ca="1" si="62"/>
        <v>NA</v>
      </c>
      <c r="R93" s="125" t="str">
        <f t="shared" ca="1" si="62"/>
        <v>NA</v>
      </c>
      <c r="S93" s="125"/>
      <c r="T93" s="125">
        <f t="shared" ref="T93:AA93" si="63">IF(ISERROR((T53+T54)/T68),"NA",((T53+T54)/T68))</f>
        <v>0.75290287261515787</v>
      </c>
      <c r="U93" s="125">
        <f t="shared" si="63"/>
        <v>0.70179857253402467</v>
      </c>
      <c r="V93" s="126">
        <f t="shared" si="63"/>
        <v>0.54339924182491028</v>
      </c>
      <c r="W93" s="125" t="str">
        <f t="shared" ca="1" si="63"/>
        <v>NA</v>
      </c>
      <c r="X93" s="125" t="str">
        <f t="shared" ca="1" si="63"/>
        <v>NA</v>
      </c>
      <c r="Y93" s="125" t="str">
        <f t="shared" ca="1" si="63"/>
        <v>NA</v>
      </c>
      <c r="Z93" s="125" t="str">
        <f t="shared" ca="1" si="63"/>
        <v>NA</v>
      </c>
      <c r="AA93" s="125" t="str">
        <f t="shared" ca="1" si="63"/>
        <v>NA</v>
      </c>
      <c r="AB93" s="12"/>
      <c r="AC93" s="12"/>
      <c r="AD93" s="12"/>
      <c r="AE93" s="12"/>
    </row>
    <row r="94" spans="1:31" ht="13.5" customHeight="1">
      <c r="A94" s="13"/>
      <c r="B94" s="12"/>
      <c r="C94" s="108" t="s">
        <v>128</v>
      </c>
      <c r="D94" s="12"/>
      <c r="E94" s="12"/>
      <c r="F94" s="12"/>
      <c r="G94" s="125">
        <f t="shared" ref="G94:R94" si="64">IF(ISERROR((G53+G54)/G46),"NA",((G53+G54)/G46))</f>
        <v>0.27235179955842748</v>
      </c>
      <c r="H94" s="125">
        <f t="shared" si="64"/>
        <v>0.25269806810508394</v>
      </c>
      <c r="I94" s="125">
        <f t="shared" si="64"/>
        <v>0.24251301420153776</v>
      </c>
      <c r="J94" s="126">
        <f t="shared" si="64"/>
        <v>0.24280161761466051</v>
      </c>
      <c r="K94" s="125">
        <f t="shared" si="64"/>
        <v>0.32309330677270232</v>
      </c>
      <c r="L94" s="125">
        <f t="shared" si="64"/>
        <v>0.47184438507003479</v>
      </c>
      <c r="M94" s="125">
        <f t="shared" si="64"/>
        <v>0.51078947368421057</v>
      </c>
      <c r="N94" s="128" t="str">
        <f t="shared" ca="1" si="64"/>
        <v>NA</v>
      </c>
      <c r="O94" s="125" t="str">
        <f t="shared" ca="1" si="64"/>
        <v>NA</v>
      </c>
      <c r="P94" s="125" t="str">
        <f t="shared" ca="1" si="64"/>
        <v>NA</v>
      </c>
      <c r="Q94" s="125" t="str">
        <f t="shared" ca="1" si="64"/>
        <v>NA</v>
      </c>
      <c r="R94" s="125" t="str">
        <f t="shared" ca="1" si="64"/>
        <v>NA</v>
      </c>
      <c r="S94" s="125"/>
      <c r="T94" s="125">
        <f t="shared" ref="T94:AA94" si="65">IF(ISERROR((T53+T54)/T46),"NA",((T53+T54)/T46))</f>
        <v>0.30341335621640159</v>
      </c>
      <c r="U94" s="125">
        <f t="shared" si="65"/>
        <v>0.29491754740555437</v>
      </c>
      <c r="V94" s="126">
        <f t="shared" si="65"/>
        <v>0.24280161761466051</v>
      </c>
      <c r="W94" s="125" t="str">
        <f t="shared" ca="1" si="65"/>
        <v>NA</v>
      </c>
      <c r="X94" s="125" t="str">
        <f t="shared" ca="1" si="65"/>
        <v>NA</v>
      </c>
      <c r="Y94" s="125" t="str">
        <f t="shared" ca="1" si="65"/>
        <v>NA</v>
      </c>
      <c r="Z94" s="125" t="str">
        <f t="shared" ca="1" si="65"/>
        <v>NA</v>
      </c>
      <c r="AA94" s="125" t="str">
        <f t="shared" ca="1" si="65"/>
        <v>NA</v>
      </c>
      <c r="AB94" s="12"/>
      <c r="AC94" s="12"/>
      <c r="AD94" s="12"/>
      <c r="AE94" s="12"/>
    </row>
    <row r="95" spans="1:31" ht="13.5" customHeight="1">
      <c r="A95" s="13"/>
      <c r="B95" s="12"/>
      <c r="C95" s="12"/>
      <c r="D95" s="12"/>
      <c r="E95" s="12"/>
      <c r="F95" s="12"/>
      <c r="G95" s="12"/>
      <c r="H95" s="12"/>
      <c r="I95" s="12"/>
      <c r="J95" s="93"/>
      <c r="K95" s="12"/>
      <c r="L95" s="12"/>
      <c r="M95" s="12"/>
      <c r="N95" s="94"/>
      <c r="O95" s="12"/>
      <c r="P95" s="12"/>
      <c r="Q95" s="12"/>
      <c r="R95" s="12"/>
      <c r="S95" s="12"/>
      <c r="T95" s="12"/>
      <c r="U95" s="12"/>
      <c r="V95" s="93"/>
      <c r="W95" s="12"/>
      <c r="X95" s="12"/>
      <c r="Y95" s="12"/>
      <c r="Z95" s="12"/>
      <c r="AA95" s="12"/>
      <c r="AB95" s="12"/>
      <c r="AC95" s="12"/>
      <c r="AD95" s="12"/>
      <c r="AE95" s="12"/>
    </row>
    <row r="96" spans="1:31" ht="13.5" customHeight="1">
      <c r="A96" s="13"/>
      <c r="B96" s="12"/>
      <c r="C96" s="100" t="s">
        <v>129</v>
      </c>
      <c r="D96" s="100"/>
      <c r="E96" s="100"/>
      <c r="F96" s="12"/>
      <c r="G96" s="12"/>
      <c r="H96" s="12"/>
      <c r="I96" s="12"/>
      <c r="J96" s="93"/>
      <c r="K96" s="12"/>
      <c r="L96" s="12"/>
      <c r="M96" s="12"/>
      <c r="N96" s="94"/>
      <c r="O96" s="12"/>
      <c r="P96" s="12"/>
      <c r="Q96" s="12"/>
      <c r="R96" s="12"/>
      <c r="S96" s="12"/>
      <c r="T96" s="12"/>
      <c r="U96" s="12"/>
      <c r="V96" s="93"/>
      <c r="W96" s="12"/>
      <c r="X96" s="12"/>
      <c r="Y96" s="12"/>
      <c r="Z96" s="12"/>
      <c r="AA96" s="12"/>
      <c r="AB96" s="12"/>
      <c r="AC96" s="12"/>
      <c r="AD96" s="12"/>
      <c r="AE96" s="12"/>
    </row>
    <row r="97" spans="1:31" ht="13.5" customHeight="1">
      <c r="A97" s="13"/>
      <c r="B97" s="12"/>
      <c r="C97" s="108" t="s">
        <v>130</v>
      </c>
      <c r="D97" s="12"/>
      <c r="E97" s="12"/>
      <c r="F97" s="12"/>
      <c r="G97" s="125">
        <f t="shared" ref="G97:R97" si="66">G8/G46</f>
        <v>0.19120773148900386</v>
      </c>
      <c r="H97" s="125">
        <f t="shared" si="66"/>
        <v>0.19370676958562202</v>
      </c>
      <c r="I97" s="125">
        <f t="shared" si="66"/>
        <v>0.19300251572320715</v>
      </c>
      <c r="J97" s="126">
        <f t="shared" si="66"/>
        <v>0.20230779821393824</v>
      </c>
      <c r="K97" s="125">
        <f t="shared" si="66"/>
        <v>0.17027252178162355</v>
      </c>
      <c r="L97" s="125">
        <f t="shared" si="66"/>
        <v>0.55805197959679376</v>
      </c>
      <c r="M97" s="125">
        <f t="shared" si="66"/>
        <v>0.4639271255060729</v>
      </c>
      <c r="N97" s="127" t="str">
        <f t="shared" ca="1" si="66"/>
        <v>#REF!</v>
      </c>
      <c r="O97" s="129" t="str">
        <f t="shared" ca="1" si="66"/>
        <v>#REF!</v>
      </c>
      <c r="P97" s="129" t="str">
        <f t="shared" ca="1" si="66"/>
        <v>#REF!</v>
      </c>
      <c r="Q97" s="129" t="str">
        <f t="shared" ca="1" si="66"/>
        <v>#REF!</v>
      </c>
      <c r="R97" s="129" t="str">
        <f t="shared" ca="1" si="66"/>
        <v>#REF!</v>
      </c>
      <c r="S97" s="12"/>
      <c r="T97" s="129">
        <f t="shared" ref="T97:AA97" si="67">T8/T46</f>
        <v>0.66009281500887096</v>
      </c>
      <c r="U97" s="129">
        <f t="shared" si="67"/>
        <v>0.66237081711300971</v>
      </c>
      <c r="V97" s="130">
        <f t="shared" si="67"/>
        <v>0.75853133019979213</v>
      </c>
      <c r="W97" s="129" t="str">
        <f t="shared" ca="1" si="67"/>
        <v>#REF!</v>
      </c>
      <c r="X97" s="129" t="str">
        <f t="shared" ca="1" si="67"/>
        <v>#REF!</v>
      </c>
      <c r="Y97" s="129" t="str">
        <f t="shared" ca="1" si="67"/>
        <v>#REF!</v>
      </c>
      <c r="Z97" s="129" t="str">
        <f t="shared" ca="1" si="67"/>
        <v>#REF!</v>
      </c>
      <c r="AA97" s="129" t="str">
        <f t="shared" ca="1" si="67"/>
        <v>#REF!</v>
      </c>
      <c r="AB97" s="12"/>
      <c r="AC97" s="12"/>
      <c r="AD97" s="12"/>
      <c r="AE97" s="12"/>
    </row>
    <row r="98" spans="1:31" ht="13.5" customHeight="1">
      <c r="A98" s="13"/>
      <c r="B98" s="12"/>
      <c r="C98" s="108" t="str">
        <f>Model!C182</f>
        <v>Days Sales Outstanding</v>
      </c>
      <c r="D98" s="12"/>
      <c r="E98" s="12"/>
      <c r="F98" s="12"/>
      <c r="G98" s="131">
        <f>Model!P182</f>
        <v>0</v>
      </c>
      <c r="H98" s="131">
        <f>Model!Q182</f>
        <v>0</v>
      </c>
      <c r="I98" s="131">
        <f>Model!R182</f>
        <v>0</v>
      </c>
      <c r="J98" s="132">
        <f>Model!S182</f>
        <v>0</v>
      </c>
      <c r="K98" s="131">
        <f>Model!U182</f>
        <v>0</v>
      </c>
      <c r="L98" s="131">
        <f>Model!V182</f>
        <v>0</v>
      </c>
      <c r="M98" s="131">
        <f>Model!W182</f>
        <v>0</v>
      </c>
      <c r="N98" s="133">
        <f>Model!X182</f>
        <v>0</v>
      </c>
      <c r="O98" s="131">
        <f>Model!Z182</f>
        <v>0</v>
      </c>
      <c r="P98" s="131">
        <f>Model!AA182</f>
        <v>0</v>
      </c>
      <c r="Q98" s="131">
        <f>Model!AB182</f>
        <v>0</v>
      </c>
      <c r="R98" s="131">
        <f>Model!AC182</f>
        <v>0</v>
      </c>
      <c r="S98" s="131"/>
      <c r="T98" s="131">
        <f>Model!J182</f>
        <v>0</v>
      </c>
      <c r="U98" s="131">
        <f>Model!O182</f>
        <v>0</v>
      </c>
      <c r="V98" s="132">
        <f>Model!T182</f>
        <v>0</v>
      </c>
      <c r="W98" s="131">
        <f>Model!Y182</f>
        <v>0</v>
      </c>
      <c r="X98" s="131">
        <f>Model!AD182</f>
        <v>0</v>
      </c>
      <c r="Y98" s="131">
        <f>Model!AE182</f>
        <v>0</v>
      </c>
      <c r="Z98" s="131">
        <f>Model!AF182</f>
        <v>0</v>
      </c>
      <c r="AA98" s="131">
        <f>Model!AG182</f>
        <v>0</v>
      </c>
      <c r="AB98" s="12"/>
      <c r="AC98" s="12"/>
      <c r="AD98" s="12"/>
      <c r="AE98" s="12"/>
    </row>
    <row r="99" spans="1:31" ht="13.5" customHeight="1">
      <c r="A99" s="13"/>
      <c r="B99" s="12"/>
      <c r="C99" s="108" t="str">
        <f>Model!C183</f>
        <v>Days Inventory Outstanding</v>
      </c>
      <c r="D99" s="12"/>
      <c r="E99" s="12"/>
      <c r="F99" s="12"/>
      <c r="G99" s="131">
        <f>Model!P183</f>
        <v>234.80058603721309</v>
      </c>
      <c r="H99" s="131">
        <f>Model!Q183</f>
        <v>240.20888169723798</v>
      </c>
      <c r="I99" s="131">
        <f>Model!R183</f>
        <v>220.46120777061282</v>
      </c>
      <c r="J99" s="132">
        <f>Model!S183</f>
        <v>225.00617466506179</v>
      </c>
      <c r="K99" s="131">
        <f>Model!U183</f>
        <v>264.23439405812059</v>
      </c>
      <c r="L99" s="131">
        <f>Model!V183</f>
        <v>88.976448680030671</v>
      </c>
      <c r="M99" s="131">
        <f>Model!W183</f>
        <v>102.03652729763225</v>
      </c>
      <c r="N99" s="133">
        <f>Model!X183</f>
        <v>90</v>
      </c>
      <c r="O99" s="131">
        <f>Model!Z183</f>
        <v>95</v>
      </c>
      <c r="P99" s="131">
        <f>Model!AA183</f>
        <v>80</v>
      </c>
      <c r="Q99" s="131">
        <f>Model!AB183</f>
        <v>85</v>
      </c>
      <c r="R99" s="131">
        <f>Model!AC183</f>
        <v>90</v>
      </c>
      <c r="S99" s="131"/>
      <c r="T99" s="131">
        <f>Model!J183</f>
        <v>232.12171703338504</v>
      </c>
      <c r="U99" s="131">
        <f>Model!O183</f>
        <v>223.28388612400602</v>
      </c>
      <c r="V99" s="132">
        <f>Model!T183</f>
        <v>230.30351149923598</v>
      </c>
      <c r="W99" s="131">
        <f>Model!Y183</f>
        <v>108.47399358257836</v>
      </c>
      <c r="X99" s="131">
        <f>Model!AD183</f>
        <v>78.93300806770992</v>
      </c>
      <c r="Y99" s="131">
        <f>Model!AE183</f>
        <v>84</v>
      </c>
      <c r="Z99" s="131">
        <f>Model!AF183</f>
        <v>84</v>
      </c>
      <c r="AA99" s="131">
        <f>Model!AG183</f>
        <v>84</v>
      </c>
      <c r="AB99" s="12"/>
      <c r="AC99" s="12"/>
      <c r="AD99" s="12"/>
      <c r="AE99" s="12"/>
    </row>
    <row r="100" spans="1:31" ht="13.5" customHeight="1">
      <c r="A100" s="13"/>
      <c r="B100" s="12"/>
      <c r="C100" s="108" t="str">
        <f>Model!C184</f>
        <v>Days Payables Outstanding</v>
      </c>
      <c r="D100" s="12"/>
      <c r="E100" s="12"/>
      <c r="F100" s="12"/>
      <c r="G100" s="131">
        <f>Model!P184</f>
        <v>12.948129702628485</v>
      </c>
      <c r="H100" s="131">
        <f>Model!Q184</f>
        <v>10.656263737460591</v>
      </c>
      <c r="I100" s="131">
        <f>Model!R184</f>
        <v>10.640993794865556</v>
      </c>
      <c r="J100" s="132">
        <f>Model!S184</f>
        <v>11.945638110814656</v>
      </c>
      <c r="K100" s="131">
        <f>Model!U184</f>
        <v>13.720264873804354</v>
      </c>
      <c r="L100" s="131">
        <f>Model!V184</f>
        <v>32.161709141198379</v>
      </c>
      <c r="M100" s="131">
        <f>Model!W184</f>
        <v>70.04565912204032</v>
      </c>
      <c r="N100" s="133">
        <f>Model!X184</f>
        <v>55</v>
      </c>
      <c r="O100" s="131">
        <f>Model!Z184</f>
        <v>58</v>
      </c>
      <c r="P100" s="131">
        <f>Model!AA184</f>
        <v>48</v>
      </c>
      <c r="Q100" s="131">
        <f>Model!AB184</f>
        <v>53</v>
      </c>
      <c r="R100" s="131">
        <f>Model!AC184</f>
        <v>55</v>
      </c>
      <c r="S100" s="131"/>
      <c r="T100" s="131">
        <f>Model!J184</f>
        <v>11.552491098329225</v>
      </c>
      <c r="U100" s="131">
        <f>Model!O184</f>
        <v>14.289830403018014</v>
      </c>
      <c r="V100" s="132">
        <f>Model!T184</f>
        <v>14.11774168691665</v>
      </c>
      <c r="W100" s="131">
        <f>Model!Y184</f>
        <v>38.18906877588617</v>
      </c>
      <c r="X100" s="131">
        <f>Model!AD184</f>
        <v>48.236838263600504</v>
      </c>
      <c r="Y100" s="131">
        <f>Model!AE184</f>
        <v>54</v>
      </c>
      <c r="Z100" s="131">
        <f>Model!AF184</f>
        <v>54</v>
      </c>
      <c r="AA100" s="131">
        <f>Model!AG184</f>
        <v>54</v>
      </c>
      <c r="AB100" s="12"/>
      <c r="AC100" s="12"/>
      <c r="AD100" s="12"/>
      <c r="AE100" s="12"/>
    </row>
    <row r="101" spans="1:31" ht="13.5" customHeight="1">
      <c r="A101" s="13"/>
      <c r="B101" s="12"/>
      <c r="C101" s="108" t="s">
        <v>131</v>
      </c>
      <c r="D101" s="12"/>
      <c r="E101" s="12"/>
      <c r="F101" s="12"/>
      <c r="G101" s="131">
        <f t="shared" ref="G101:R101" si="68">G98+G99-G100</f>
        <v>221.85245633458462</v>
      </c>
      <c r="H101" s="131">
        <f t="shared" si="68"/>
        <v>229.55261795977739</v>
      </c>
      <c r="I101" s="131">
        <f t="shared" si="68"/>
        <v>209.82021397574727</v>
      </c>
      <c r="J101" s="132">
        <f t="shared" si="68"/>
        <v>213.06053655424714</v>
      </c>
      <c r="K101" s="131">
        <f t="shared" si="68"/>
        <v>250.51412918431623</v>
      </c>
      <c r="L101" s="131">
        <f t="shared" si="68"/>
        <v>56.814739538832292</v>
      </c>
      <c r="M101" s="131">
        <f t="shared" si="68"/>
        <v>31.990868175591928</v>
      </c>
      <c r="N101" s="133">
        <f t="shared" si="68"/>
        <v>35</v>
      </c>
      <c r="O101" s="131">
        <f t="shared" si="68"/>
        <v>37</v>
      </c>
      <c r="P101" s="131">
        <f t="shared" si="68"/>
        <v>32</v>
      </c>
      <c r="Q101" s="131">
        <f t="shared" si="68"/>
        <v>32</v>
      </c>
      <c r="R101" s="131">
        <f t="shared" si="68"/>
        <v>35</v>
      </c>
      <c r="S101" s="131"/>
      <c r="T101" s="131">
        <f t="shared" ref="T101:AA101" si="69">T98+T99-T100</f>
        <v>220.56922593505581</v>
      </c>
      <c r="U101" s="131">
        <f t="shared" si="69"/>
        <v>208.994055720988</v>
      </c>
      <c r="V101" s="132">
        <f t="shared" si="69"/>
        <v>216.18576981231934</v>
      </c>
      <c r="W101" s="131">
        <f t="shared" si="69"/>
        <v>70.284924806692189</v>
      </c>
      <c r="X101" s="131">
        <f t="shared" si="69"/>
        <v>30.696169804109417</v>
      </c>
      <c r="Y101" s="131">
        <f t="shared" si="69"/>
        <v>30</v>
      </c>
      <c r="Z101" s="131">
        <f t="shared" si="69"/>
        <v>30</v>
      </c>
      <c r="AA101" s="131">
        <f t="shared" si="69"/>
        <v>30</v>
      </c>
      <c r="AB101" s="12"/>
      <c r="AC101" s="12"/>
      <c r="AD101" s="12"/>
      <c r="AE101" s="12"/>
    </row>
    <row r="102" spans="1:31" ht="13.5" customHeight="1">
      <c r="A102" s="13"/>
      <c r="B102" s="12"/>
      <c r="C102" s="12"/>
      <c r="D102" s="12"/>
      <c r="E102" s="12"/>
      <c r="F102" s="12"/>
      <c r="G102" s="12"/>
      <c r="H102" s="12"/>
      <c r="I102" s="12"/>
      <c r="J102" s="93"/>
      <c r="K102" s="12"/>
      <c r="L102" s="12"/>
      <c r="M102" s="12"/>
      <c r="N102" s="94"/>
      <c r="O102" s="12"/>
      <c r="P102" s="12"/>
      <c r="Q102" s="12"/>
      <c r="R102" s="12"/>
      <c r="S102" s="12"/>
      <c r="T102" s="12"/>
      <c r="U102" s="12"/>
      <c r="V102" s="93"/>
      <c r="W102" s="12"/>
      <c r="X102" s="12"/>
      <c r="Y102" s="12"/>
      <c r="Z102" s="12"/>
      <c r="AA102" s="12"/>
      <c r="AB102" s="12"/>
      <c r="AC102" s="12"/>
      <c r="AD102" s="12"/>
      <c r="AE102" s="12"/>
    </row>
    <row r="103" spans="1:31" ht="13.5" customHeight="1">
      <c r="A103" s="13"/>
      <c r="B103" s="12"/>
      <c r="C103" s="100" t="s">
        <v>132</v>
      </c>
      <c r="D103" s="100"/>
      <c r="E103" s="100"/>
      <c r="F103" s="12"/>
      <c r="G103" s="12"/>
      <c r="H103" s="12"/>
      <c r="I103" s="12"/>
      <c r="J103" s="93"/>
      <c r="K103" s="12"/>
      <c r="L103" s="12"/>
      <c r="M103" s="12"/>
      <c r="N103" s="94"/>
      <c r="O103" s="12"/>
      <c r="P103" s="12"/>
      <c r="Q103" s="12"/>
      <c r="R103" s="12"/>
      <c r="S103" s="12"/>
      <c r="T103" s="12"/>
      <c r="U103" s="12"/>
      <c r="V103" s="93"/>
      <c r="W103" s="12"/>
      <c r="X103" s="12"/>
      <c r="Y103" s="12"/>
      <c r="Z103" s="12"/>
      <c r="AA103" s="12"/>
      <c r="AB103" s="12"/>
      <c r="AC103" s="12"/>
      <c r="AD103" s="12"/>
      <c r="AE103" s="12"/>
    </row>
    <row r="104" spans="1:31" ht="13.5" customHeight="1">
      <c r="A104" s="13"/>
      <c r="B104" s="12"/>
      <c r="C104" s="108" t="s">
        <v>133</v>
      </c>
      <c r="D104" s="12"/>
      <c r="E104" s="12"/>
      <c r="F104" s="12"/>
      <c r="G104" s="125">
        <f t="shared" ref="G104:R104" si="70">IF(ISERROR(G38/G51),"NA",(G38/G51))</f>
        <v>2.2086858069545046</v>
      </c>
      <c r="H104" s="125">
        <f t="shared" si="70"/>
        <v>1.9806458317754141</v>
      </c>
      <c r="I104" s="125">
        <f t="shared" si="70"/>
        <v>1.9864669854673418</v>
      </c>
      <c r="J104" s="126">
        <f t="shared" si="70"/>
        <v>2.1194250825894208</v>
      </c>
      <c r="K104" s="125">
        <f t="shared" si="70"/>
        <v>2.6121463490946404</v>
      </c>
      <c r="L104" s="125">
        <f t="shared" si="70"/>
        <v>1.2343996062992126</v>
      </c>
      <c r="M104" s="125">
        <f t="shared" si="70"/>
        <v>1.2754850631352017</v>
      </c>
      <c r="N104" s="127" t="str">
        <f t="shared" ca="1" si="70"/>
        <v>NA</v>
      </c>
      <c r="O104" s="129" t="str">
        <f t="shared" ca="1" si="70"/>
        <v>NA</v>
      </c>
      <c r="P104" s="129" t="str">
        <f t="shared" ca="1" si="70"/>
        <v>NA</v>
      </c>
      <c r="Q104" s="129" t="str">
        <f t="shared" ca="1" si="70"/>
        <v>NA</v>
      </c>
      <c r="R104" s="129" t="str">
        <f t="shared" ca="1" si="70"/>
        <v>NA</v>
      </c>
      <c r="S104" s="12"/>
      <c r="T104" s="129">
        <f t="shared" ref="T104:AA104" si="71">IF(ISERROR(T38/T51),"NA",(T38/T51))</f>
        <v>2.2996090532274116</v>
      </c>
      <c r="U104" s="129">
        <f t="shared" si="71"/>
        <v>2.0810607958119487</v>
      </c>
      <c r="V104" s="130">
        <f t="shared" si="71"/>
        <v>2.1194250825894208</v>
      </c>
      <c r="W104" s="129" t="str">
        <f t="shared" ca="1" si="71"/>
        <v>NA</v>
      </c>
      <c r="X104" s="129" t="str">
        <f t="shared" ca="1" si="71"/>
        <v>NA</v>
      </c>
      <c r="Y104" s="129" t="str">
        <f t="shared" ca="1" si="71"/>
        <v>NA</v>
      </c>
      <c r="Z104" s="129" t="str">
        <f t="shared" ca="1" si="71"/>
        <v>NA</v>
      </c>
      <c r="AA104" s="129" t="str">
        <f t="shared" ca="1" si="71"/>
        <v>NA</v>
      </c>
      <c r="AB104" s="12"/>
      <c r="AC104" s="12"/>
      <c r="AD104" s="12"/>
      <c r="AE104" s="12"/>
    </row>
    <row r="105" spans="1:31" ht="13.5" customHeight="1">
      <c r="A105" s="13"/>
      <c r="B105" s="12"/>
      <c r="C105" s="108" t="s">
        <v>134</v>
      </c>
      <c r="D105" s="12"/>
      <c r="E105" s="12"/>
      <c r="F105" s="12"/>
      <c r="G105" s="125">
        <f t="shared" ref="G105:R105" si="72">IF(ISERROR((G34+G35)/G51),"NA",((G34+G35)/G51))</f>
        <v>0.61207910915445696</v>
      </c>
      <c r="H105" s="125">
        <f t="shared" si="72"/>
        <v>0.62718698289069252</v>
      </c>
      <c r="I105" s="125">
        <f t="shared" si="72"/>
        <v>0.6433803253629008</v>
      </c>
      <c r="J105" s="126">
        <f t="shared" si="72"/>
        <v>0.65539605377281396</v>
      </c>
      <c r="K105" s="125">
        <f t="shared" si="72"/>
        <v>0.61525655449269445</v>
      </c>
      <c r="L105" s="125">
        <f t="shared" si="72"/>
        <v>0.30782480314960631</v>
      </c>
      <c r="M105" s="125">
        <f t="shared" si="72"/>
        <v>0.34252130171440304</v>
      </c>
      <c r="N105" s="127" t="str">
        <f t="shared" ca="1" si="72"/>
        <v>NA</v>
      </c>
      <c r="O105" s="129" t="str">
        <f t="shared" ca="1" si="72"/>
        <v>NA</v>
      </c>
      <c r="P105" s="129" t="str">
        <f t="shared" ca="1" si="72"/>
        <v>NA</v>
      </c>
      <c r="Q105" s="129" t="str">
        <f t="shared" ca="1" si="72"/>
        <v>NA</v>
      </c>
      <c r="R105" s="129" t="str">
        <f t="shared" ca="1" si="72"/>
        <v>NA</v>
      </c>
      <c r="S105" s="12"/>
      <c r="T105" s="129">
        <f t="shared" ref="T105:AA105" si="73">IF(ISERROR((T34+T35)/T51),"NA",((T34+T35)/T51))</f>
        <v>0.10418197003103451</v>
      </c>
      <c r="U105" s="129">
        <f t="shared" si="73"/>
        <v>9.4209219533614899E-2</v>
      </c>
      <c r="V105" s="130">
        <f t="shared" si="73"/>
        <v>0.65539605377281396</v>
      </c>
      <c r="W105" s="129" t="str">
        <f t="shared" ca="1" si="73"/>
        <v>NA</v>
      </c>
      <c r="X105" s="129" t="str">
        <f t="shared" ca="1" si="73"/>
        <v>NA</v>
      </c>
      <c r="Y105" s="129" t="str">
        <f t="shared" ca="1" si="73"/>
        <v>NA</v>
      </c>
      <c r="Z105" s="129" t="str">
        <f t="shared" ca="1" si="73"/>
        <v>NA</v>
      </c>
      <c r="AA105" s="129" t="str">
        <f t="shared" ca="1" si="73"/>
        <v>NA</v>
      </c>
      <c r="AB105" s="12"/>
      <c r="AC105" s="12"/>
      <c r="AD105" s="12"/>
      <c r="AE105" s="12"/>
    </row>
    <row r="106" spans="1:31" ht="13.5" customHeight="1">
      <c r="A106" s="13"/>
      <c r="B106" s="12"/>
      <c r="C106" s="108" t="s">
        <v>135</v>
      </c>
      <c r="D106" s="12"/>
      <c r="E106" s="12"/>
      <c r="F106" s="12"/>
      <c r="G106" s="125">
        <f t="shared" ref="G106:R106" si="74">IF(ISERROR(G34/G51),"NA",(G34/G51))</f>
        <v>0.61207910915445696</v>
      </c>
      <c r="H106" s="125">
        <f t="shared" si="74"/>
        <v>0.62718698289069252</v>
      </c>
      <c r="I106" s="125">
        <f t="shared" si="74"/>
        <v>0.6433803253629008</v>
      </c>
      <c r="J106" s="126">
        <f t="shared" si="74"/>
        <v>0.65539605377281396</v>
      </c>
      <c r="K106" s="125">
        <f t="shared" si="74"/>
        <v>0.61525655449269445</v>
      </c>
      <c r="L106" s="125">
        <f t="shared" si="74"/>
        <v>0.30782480314960631</v>
      </c>
      <c r="M106" s="125">
        <f t="shared" si="74"/>
        <v>0.34252130171440304</v>
      </c>
      <c r="N106" s="127" t="str">
        <f t="shared" ca="1" si="74"/>
        <v>NA</v>
      </c>
      <c r="O106" s="129" t="str">
        <f t="shared" ca="1" si="74"/>
        <v>NA</v>
      </c>
      <c r="P106" s="129" t="str">
        <f t="shared" ca="1" si="74"/>
        <v>NA</v>
      </c>
      <c r="Q106" s="129" t="str">
        <f t="shared" ca="1" si="74"/>
        <v>NA</v>
      </c>
      <c r="R106" s="129" t="str">
        <f t="shared" ca="1" si="74"/>
        <v>NA</v>
      </c>
      <c r="S106" s="12"/>
      <c r="T106" s="129">
        <f t="shared" ref="T106:AA106" si="75">IF(ISERROR(T34/T51),"NA",(T34/T51))</f>
        <v>0.10418197003103451</v>
      </c>
      <c r="U106" s="129">
        <f t="shared" si="75"/>
        <v>9.4209219533614899E-2</v>
      </c>
      <c r="V106" s="130">
        <f t="shared" si="75"/>
        <v>0.65539605377281396</v>
      </c>
      <c r="W106" s="129" t="str">
        <f t="shared" ca="1" si="75"/>
        <v>NA</v>
      </c>
      <c r="X106" s="129" t="str">
        <f t="shared" ca="1" si="75"/>
        <v>NA</v>
      </c>
      <c r="Y106" s="129" t="str">
        <f t="shared" ca="1" si="75"/>
        <v>NA</v>
      </c>
      <c r="Z106" s="129" t="str">
        <f t="shared" ca="1" si="75"/>
        <v>NA</v>
      </c>
      <c r="AA106" s="129" t="str">
        <f t="shared" ca="1" si="75"/>
        <v>NA</v>
      </c>
      <c r="AB106" s="12"/>
      <c r="AC106" s="12"/>
      <c r="AD106" s="12"/>
      <c r="AE106" s="12"/>
    </row>
    <row r="107" spans="1:31"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spans="1:31"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spans="1:31"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spans="1:31" ht="13.5" customHeight="1">
      <c r="A110" s="13" t="s">
        <v>1</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1:31" ht="13.5" customHeight="1">
      <c r="A111" s="1"/>
      <c r="B111" s="4"/>
      <c r="C111" s="4"/>
      <c r="D111" s="4"/>
      <c r="E111" s="4"/>
      <c r="F111" s="4"/>
      <c r="G111" s="4"/>
      <c r="H111" s="4"/>
      <c r="I111" s="4"/>
      <c r="J111" s="134"/>
      <c r="K111" s="4"/>
      <c r="L111" s="4"/>
      <c r="M111" s="4"/>
      <c r="N111" s="4"/>
      <c r="O111" s="4"/>
      <c r="P111" s="4"/>
      <c r="Q111" s="4"/>
      <c r="R111" s="4"/>
      <c r="S111" s="4"/>
      <c r="T111" s="4"/>
      <c r="U111" s="4"/>
      <c r="V111" s="4"/>
      <c r="W111" s="4"/>
      <c r="X111" s="4"/>
      <c r="Y111" s="4"/>
      <c r="Z111" s="4"/>
      <c r="AA111" s="4"/>
      <c r="AB111" s="4"/>
      <c r="AC111" s="4"/>
      <c r="AD111" s="4"/>
      <c r="AE111" s="4"/>
    </row>
    <row r="112" spans="1:31" ht="13.5" customHeight="1">
      <c r="A112" s="1"/>
      <c r="B112" s="4"/>
      <c r="C112" s="4"/>
      <c r="D112" s="13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ht="13.5" customHeight="1">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3.5" customHeight="1">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3.5" customHeight="1">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3.5" customHeight="1">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3.5" customHeight="1">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3.5" customHeight="1">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3.5" customHeight="1">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3.5" customHeight="1">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3.5" customHeight="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3.5" customHeight="1">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3.5" customHeight="1">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5" customHeight="1">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3.5" customHeight="1">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3.5" customHeight="1">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3.5" customHeight="1">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3.5" customHeight="1">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3.5" customHeight="1">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3.5" customHeight="1">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3.5" customHeight="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3.5" customHeight="1">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3.5" customHeight="1">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3.5" customHeight="1">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3.5" customHeight="1">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3.5" customHeight="1">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3.5" customHeight="1">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3.5" customHeight="1">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3.5" customHeight="1">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3.5" customHeight="1">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3.5" customHeight="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3.5" customHeight="1">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3.5" customHeight="1">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3.5" customHeight="1">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3.5" customHeight="1">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3.5" customHeight="1">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3.5" customHeight="1">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3.5" customHeight="1">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3.5" customHeight="1">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3.5" customHeight="1">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3.5" customHeight="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3.5" customHeight="1">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5" customHeight="1">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3.5" customHeight="1">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3.5" customHeight="1">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3.5" customHeight="1">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3.5" customHeight="1">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3.5" customHeight="1">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3.5" customHeight="1">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3.5" customHeight="1">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3.5" customHeight="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3.5" customHeight="1">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3.5" customHeight="1">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3.5" customHeight="1">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3.5" customHeight="1">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3.5" customHeight="1">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3.5" customHeight="1">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3.5" customHeight="1">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3.5" customHeight="1">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3.5" customHeight="1">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3.5" customHeight="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3.5" customHeight="1">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3.5" customHeight="1">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3.5" customHeight="1">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3.5" customHeight="1">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3.5" customHeight="1">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3.5" customHeight="1">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3.5" customHeight="1">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3.5" customHeight="1">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3.5" customHeight="1">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3.5" customHeight="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3.5" customHeight="1">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3.5" customHeight="1">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3.5" customHeight="1">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3.5" customHeight="1">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3.5" customHeight="1">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3.5" customHeight="1">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3.5" customHeight="1">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3.5" customHeight="1">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3.5" customHeight="1">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3.5" customHeight="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3.5" customHeight="1">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3.5" customHeight="1">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3.5" customHeight="1">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3.5" customHeight="1">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3.5" customHeight="1">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3.5" customHeight="1">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3.5" customHeight="1">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3.5" customHeight="1">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3.5" customHeight="1">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3.5" customHeight="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3.5" customHeight="1">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3.5" customHeight="1">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3.5" customHeight="1">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3.5" customHeight="1">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3.5" customHeight="1">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3.5" customHeight="1">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3.5" customHeight="1">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3.5" customHeight="1">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3.5" customHeight="1">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3.5" customHeight="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3.5" customHeight="1">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3.5" customHeight="1">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3.5" customHeight="1">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3.5" customHeight="1">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3.5" customHeight="1">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3.5" customHeight="1">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3.5" customHeight="1">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3.5" customHeight="1">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3.5" customHeight="1">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3.5" customHeight="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3.5" customHeight="1">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3.5" customHeight="1">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3.5" customHeight="1">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3.5" customHeight="1">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3.5" customHeight="1">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3.5" customHeight="1">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3.5" customHeight="1">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3.5" customHeight="1">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3.5" customHeight="1">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3.5" customHeight="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3.5" customHeight="1">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3.5" customHeight="1">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3.5" customHeight="1">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3.5" customHeight="1">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3.5" customHeight="1">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3.5" customHeight="1">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3.5" customHeight="1">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3.5" customHeight="1">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3.5" customHeight="1">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3.5" customHeight="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3.5" customHeight="1">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3.5" customHeight="1">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3.5" customHeight="1">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3.5" customHeight="1">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3.5" customHeight="1">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3.5" customHeight="1">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3.5" customHeight="1">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3.5" customHeight="1">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3.5" customHeight="1">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3.5" customHeight="1">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3.5" customHeight="1">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3.5" customHeight="1">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3.5" customHeight="1">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3.5" customHeight="1">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3.5" customHeight="1">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3.5" customHeight="1">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3.5" customHeight="1">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3.5" customHeight="1">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3.5" customHeight="1">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3.5" customHeight="1">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3.5" customHeight="1">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3.5" customHeight="1">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3.5" customHeight="1">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3.5" customHeight="1">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3.5" customHeight="1">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3.5" customHeight="1">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3.5" customHeight="1">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3.5" customHeight="1">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3.5" customHeight="1">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3.5" customHeight="1">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3.5" customHeight="1">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3.5" customHeight="1">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3.5" customHeight="1">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3.5" customHeight="1">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3.5" customHeight="1">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3.5" customHeight="1">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3.5" customHeight="1">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3.5" customHeight="1">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3.5" customHeight="1">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3.5" customHeight="1">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3.5" customHeight="1">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3.5" customHeight="1">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3.5" customHeight="1">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3.5" customHeight="1">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3.5" customHeight="1">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3.5" customHeight="1">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3.5" customHeight="1">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3.5" customHeight="1">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3.5" customHeight="1">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3.5" customHeight="1">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3.5" customHeight="1">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3.5" customHeight="1">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3.5" customHeight="1">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3.5" customHeight="1">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3.5" customHeight="1">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3.5" customHeight="1">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3.5" customHeight="1">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3.5" customHeight="1">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3.5" customHeight="1">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3.5" customHeight="1">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3.5" customHeight="1">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3.5" customHeight="1">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3.5" customHeight="1">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3.5" customHeight="1">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3.5" customHeight="1">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3.5" customHeight="1">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3.5" customHeight="1">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3.5" customHeight="1">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3.5" customHeight="1">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3.5" customHeight="1">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3.5" customHeight="1">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3.5" customHeight="1">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3.5" customHeight="1">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3.5" customHeight="1">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3.5" customHeight="1">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3.5" customHeight="1">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3.5" customHeight="1">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3.5" customHeight="1">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3.5" customHeight="1">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3.5" customHeight="1">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3.5" customHeight="1">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3.5" customHeight="1">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3.5" customHeight="1">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3.5" customHeight="1">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3.5" customHeight="1">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3.5" customHeight="1">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3.5" customHeight="1">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3.5" customHeight="1">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3.5" customHeight="1">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3.5" customHeight="1">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3.5" customHeight="1">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3.5" customHeight="1">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3.5" customHeight="1">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3.5" customHeight="1">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3.5" customHeight="1">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3.5" customHeight="1">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3.5" customHeight="1">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3.5" customHeight="1">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3.5" customHeight="1">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3.5" customHeight="1">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3.5" customHeight="1">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3.5" customHeight="1">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3.5" customHeight="1">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3.5" customHeight="1">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3.5" customHeight="1">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3.5" customHeight="1">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3.5" customHeight="1">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3.5" customHeight="1">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3.5" customHeight="1">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3.5" customHeight="1">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3.5" customHeight="1">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3.5" customHeight="1">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3.5" customHeight="1">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3.5" customHeight="1">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3.5" customHeight="1">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3.5" customHeight="1">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3.5" customHeight="1">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3.5" customHeight="1">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3.5" customHeight="1">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3.5" customHeight="1">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3.5" customHeight="1">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3.5" customHeight="1">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3.5" customHeight="1">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3.5" customHeight="1">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3.5" customHeight="1">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3.5" customHeight="1">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3.5" customHeight="1">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3.5" customHeight="1">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3.5" customHeight="1">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3.5" customHeight="1">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3.5" customHeight="1">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3.5" customHeight="1">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3.5" customHeight="1">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3.5" customHeight="1">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3.5" customHeight="1">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3.5" customHeight="1">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3.5" customHeight="1">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3.5" customHeight="1">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3.5" customHeight="1">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3.5" customHeight="1">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3.5" customHeight="1">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3.5" customHeight="1">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3.5" customHeight="1">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3.5" customHeight="1">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3.5" customHeight="1">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3.5" customHeight="1">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3.5" customHeight="1">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3.5" customHeight="1">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3.5" customHeight="1">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3.5" customHeight="1">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3.5" customHeight="1">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3.5" customHeight="1">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3.5" customHeight="1">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3.5" customHeight="1">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3.5" customHeight="1">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3.5" customHeight="1">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3.5" customHeight="1">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3.5" customHeight="1">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3.5" customHeight="1">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3.5" customHeight="1">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3.5" customHeight="1">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3.5" customHeight="1">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3.5" customHeight="1">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3.5" customHeight="1">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3.5" customHeight="1">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3.5" customHeight="1">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3.5" customHeight="1">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3.5" customHeight="1">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3.5" customHeight="1">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3.5" customHeight="1">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3.5" customHeight="1">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3.5" customHeight="1">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3.5" customHeight="1">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3.5" customHeight="1">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3.5" customHeight="1">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3.5" customHeight="1">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3.5" customHeight="1">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3.5" customHeight="1">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3.5" customHeight="1">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3.5" customHeight="1">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3.5" customHeight="1">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3.5" customHeight="1">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3.5" customHeight="1">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3.5" customHeight="1">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3.5" customHeight="1">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3.5" customHeight="1">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3.5" customHeight="1">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3.5" customHeight="1">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3.5" customHeight="1">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3.5" customHeight="1">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3.5" customHeight="1">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3.5" customHeight="1">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3.5" customHeight="1">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3.5" customHeight="1">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3.5" customHeight="1">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3.5" customHeight="1">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3.5" customHeight="1">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3.5" customHeight="1">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3.5" customHeight="1">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3.5" customHeight="1">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3.5" customHeight="1">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3.5" customHeight="1">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3.5" customHeight="1">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3.5" customHeight="1">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3.5" customHeight="1">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3.5" customHeight="1">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3.5" customHeight="1">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3.5" customHeight="1">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3.5" customHeight="1">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3.5" customHeight="1">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3.5" customHeight="1">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3.5" customHeight="1">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3.5" customHeight="1">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3.5" customHeight="1">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3.5" customHeight="1">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3.5" customHeight="1">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3.5" customHeight="1">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3.5" customHeight="1">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3.5" customHeight="1">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3.5" customHeight="1">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3.5" customHeight="1">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3.5" customHeight="1">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3.5" customHeight="1">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3.5" customHeight="1">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3.5" customHeight="1">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3.5" customHeight="1">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3.5" customHeight="1">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3.5" customHeight="1">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3.5" customHeight="1">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3.5" customHeight="1">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3.5" customHeight="1">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3.5" customHeight="1">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3.5" customHeight="1">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3.5" customHeight="1">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3.5" customHeight="1">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3.5" customHeight="1">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3.5" customHeight="1">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3.5" customHeight="1">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3.5" customHeight="1">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3.5" customHeight="1">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3.5" customHeight="1">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3.5" customHeight="1">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3.5" customHeight="1">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3.5" customHeight="1">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3.5" customHeight="1">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3.5" customHeight="1">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3.5" customHeight="1">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3.5" customHeight="1">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3.5" customHeight="1">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3.5" customHeight="1">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3.5" customHeight="1">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3.5" customHeight="1">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3.5" customHeight="1">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3.5" customHeight="1">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3.5" customHeight="1">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3.5" customHeight="1">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3.5" customHeight="1">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3.5" customHeight="1">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3.5" customHeight="1">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3.5" customHeight="1">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3.5" customHeight="1">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3.5" customHeight="1">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3.5" customHeight="1">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3.5" customHeight="1">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3.5" customHeight="1">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3.5" customHeight="1">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3.5" customHeight="1">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3.5" customHeight="1">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3.5" customHeight="1">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3.5" customHeight="1">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3.5" customHeight="1">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3.5" customHeight="1">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3.5" customHeight="1">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3.5" customHeight="1">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3.5" customHeight="1">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3.5" customHeight="1">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3.5" customHeight="1">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3.5" customHeight="1">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3.5" customHeight="1">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3.5" customHeight="1">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3.5" customHeight="1">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3.5" customHeight="1">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3.5" customHeight="1">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3.5" customHeight="1">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3.5" customHeight="1">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3.5" customHeight="1">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3.5" customHeight="1">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3.5" customHeight="1">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3.5" customHeight="1">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3.5" customHeight="1">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3.5" customHeight="1">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3.5" customHeight="1">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3.5" customHeight="1">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3.5" customHeight="1">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3.5" customHeight="1">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3.5" customHeight="1">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3.5" customHeight="1">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3.5" customHeight="1">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3.5" customHeight="1">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3.5" customHeight="1">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3.5" customHeight="1">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3.5" customHeight="1">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3.5" customHeight="1">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3.5" customHeight="1">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3.5" customHeight="1">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3.5" customHeight="1">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3.5" customHeight="1">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3.5" customHeight="1">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3.5" customHeight="1">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3.5" customHeight="1">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3.5" customHeight="1">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3.5" customHeight="1">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3.5" customHeight="1">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3.5" customHeight="1">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3.5" customHeight="1">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3.5" customHeight="1">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3.5" customHeight="1">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3.5" customHeight="1">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3.5" customHeight="1">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3.5" customHeight="1">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3.5" customHeight="1">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3.5" customHeight="1">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3.5" customHeight="1">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3.5" customHeight="1">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3.5" customHeight="1">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3.5" customHeight="1">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3.5" customHeight="1">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3.5" customHeight="1">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3.5" customHeight="1">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3.5" customHeight="1">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3.5" customHeight="1">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3.5" customHeight="1">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3.5" customHeight="1">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3.5" customHeight="1">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3.5" customHeight="1">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3.5" customHeight="1">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3.5" customHeight="1">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3.5" customHeight="1">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3.5" customHeight="1">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3.5" customHeight="1">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3.5" customHeight="1">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3.5" customHeight="1">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3.5" customHeight="1">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3.5" customHeight="1">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3.5" customHeight="1">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3.5" customHeight="1">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3.5" customHeight="1">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3.5" customHeight="1">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3.5" customHeight="1">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3.5" customHeight="1">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3.5" customHeight="1">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3.5" customHeight="1">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3.5" customHeight="1">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3.5" customHeight="1">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3.5" customHeight="1">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3.5" customHeight="1">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3.5" customHeight="1">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3.5" customHeight="1">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3.5" customHeight="1">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3.5" customHeight="1">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3.5" customHeight="1">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3.5" customHeight="1">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3.5" customHeight="1">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3.5" customHeight="1">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3.5" customHeight="1">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3.5" customHeight="1">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3.5" customHeight="1">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3.5" customHeight="1">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3.5" customHeight="1">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3.5" customHeight="1">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3.5" customHeight="1">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3.5" customHeight="1">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3.5" customHeight="1">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3.5" customHeight="1">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3.5" customHeight="1">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3.5" customHeight="1">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3.5" customHeight="1">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3.5" customHeight="1">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3.5" customHeight="1">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3.5" customHeight="1">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3.5" customHeight="1">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3.5" customHeight="1">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3.5" customHeight="1">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3.5" customHeight="1">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3.5" customHeight="1">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3.5" customHeight="1">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3.5" customHeight="1">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3.5" customHeight="1">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3.5" customHeight="1">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3.5" customHeight="1">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3.5" customHeight="1">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3.5" customHeight="1">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3.5" customHeight="1">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3.5" customHeight="1">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3.5" customHeight="1">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3.5" customHeight="1">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3.5" customHeight="1">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3.5" customHeight="1">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3.5" customHeight="1">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3.5" customHeight="1">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3.5" customHeight="1">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3.5" customHeight="1">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3.5" customHeight="1">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3.5" customHeight="1">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3.5" customHeight="1">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3.5" customHeight="1">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3.5" customHeight="1">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3.5" customHeight="1">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3.5" customHeight="1">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3.5" customHeight="1">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3.5" customHeight="1">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3.5" customHeight="1">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3.5" customHeight="1">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3.5" customHeight="1">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3.5" customHeight="1">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3.5" customHeight="1">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3.5" customHeight="1">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3.5" customHeight="1">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3.5" customHeight="1">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3.5" customHeight="1">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3.5" customHeight="1">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3.5" customHeight="1">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3.5" customHeight="1">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3.5" customHeight="1">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3.5" customHeight="1">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3.5" customHeight="1">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3.5" customHeight="1">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3.5" customHeight="1">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3.5" customHeight="1">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3.5" customHeight="1">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3.5" customHeight="1">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3.5" customHeight="1">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3.5" customHeight="1">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3.5" customHeight="1">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3.5" customHeight="1">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3.5" customHeight="1">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3.5" customHeight="1">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3.5" customHeight="1">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3.5" customHeight="1">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3.5" customHeight="1">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3.5" customHeight="1">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3.5" customHeight="1">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3.5" customHeight="1">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3.5" customHeight="1">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3.5" customHeight="1">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3.5" customHeight="1">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3.5" customHeight="1">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3.5" customHeight="1">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3.5" customHeight="1">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3.5" customHeight="1">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3.5" customHeight="1">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3.5" customHeight="1">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3.5" customHeight="1">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3.5" customHeight="1">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3.5" customHeight="1">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3.5" customHeight="1">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3.5" customHeight="1">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3.5" customHeight="1">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3.5" customHeight="1">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3.5" customHeight="1">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3.5" customHeight="1">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3.5" customHeight="1">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3.5" customHeight="1">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3.5" customHeight="1">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3.5" customHeight="1">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3.5" customHeight="1">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3.5" customHeight="1">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3.5" customHeight="1">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3.5" customHeight="1">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3.5" customHeight="1">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3.5" customHeight="1">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3.5" customHeight="1">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3.5" customHeight="1">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3.5" customHeight="1">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3.5" customHeight="1">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3.5" customHeight="1">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3.5" customHeight="1">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3.5" customHeight="1">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3.5" customHeight="1">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3.5" customHeight="1">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3.5" customHeight="1">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3.5" customHeight="1">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3.5" customHeight="1">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3.5" customHeight="1">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3.5" customHeight="1">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3.5" customHeight="1">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3.5" customHeight="1">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3.5" customHeight="1">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3.5" customHeight="1">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3.5" customHeight="1">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3.5" customHeight="1">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3.5" customHeight="1">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3.5" customHeight="1">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3.5" customHeight="1">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3.5" customHeight="1">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3.5" customHeight="1">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3.5" customHeight="1">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3.5" customHeight="1">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3.5" customHeight="1">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3.5" customHeight="1">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3.5" customHeight="1">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3.5" customHeight="1">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3.5" customHeight="1">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3.5" customHeight="1">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3.5" customHeight="1">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3.5" customHeight="1">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3.5" customHeight="1">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3.5" customHeight="1">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3.5" customHeight="1">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3.5" customHeight="1">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3.5" customHeight="1">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3.5" customHeight="1">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3.5" customHeight="1">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3.5" customHeight="1">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3.5" customHeight="1">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3.5" customHeight="1">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3.5" customHeight="1">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3.5" customHeight="1">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3.5" customHeight="1">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3.5" customHeight="1">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3.5" customHeight="1">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3.5" customHeight="1">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3.5" customHeight="1">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3.5" customHeight="1">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3.5" customHeight="1">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3.5" customHeight="1">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3.5" customHeight="1">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3.5" customHeight="1">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3.5" customHeight="1">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3.5" customHeight="1">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3.5" customHeight="1">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3.5" customHeight="1">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3.5" customHeight="1">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3.5" customHeight="1">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3.5" customHeight="1">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3.5" customHeight="1">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3.5" customHeight="1">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3.5" customHeight="1">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3.5" customHeight="1">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3.5" customHeight="1">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3.5" customHeight="1">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3.5" customHeight="1">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3.5" customHeight="1">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3.5" customHeight="1">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3.5" customHeight="1">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3.5" customHeight="1">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3.5" customHeight="1">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3.5" customHeight="1">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3.5" customHeight="1">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3.5" customHeight="1">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3.5" customHeight="1">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3.5" customHeight="1">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3.5" customHeight="1">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3.5" customHeight="1">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3.5" customHeight="1">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3.5" customHeight="1">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3.5" customHeight="1">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3.5" customHeight="1">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3.5" customHeight="1">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3.5" customHeight="1">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3.5" customHeight="1">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3.5" customHeight="1">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3.5" customHeight="1">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3.5" customHeight="1">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3.5" customHeight="1">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3.5" customHeight="1">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3.5" customHeight="1">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3.5" customHeight="1">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3.5" customHeight="1">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3.5" customHeight="1">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3.5" customHeight="1">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3.5" customHeight="1">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3.5" customHeight="1">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3.5" customHeight="1">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3.5" customHeight="1">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3.5" customHeight="1">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3.5" customHeight="1">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3.5" customHeight="1">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3.5" customHeight="1">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3.5" customHeight="1">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3.5" customHeight="1">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3.5" customHeight="1">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3.5" customHeight="1">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3.5" customHeight="1">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3.5" customHeight="1">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3.5" customHeight="1">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3.5" customHeight="1">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3.5" customHeight="1">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3.5" customHeight="1">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3.5" customHeight="1">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3.5" customHeight="1">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3.5" customHeight="1">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3.5" customHeight="1">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3.5" customHeight="1">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3.5" customHeight="1">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3.5" customHeight="1">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3.5" customHeight="1">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3.5" customHeight="1">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3.5" customHeight="1">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3.5" customHeight="1">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3.5" customHeight="1">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3.5" customHeight="1">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3.5" customHeight="1">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3.5" customHeight="1">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3.5" customHeight="1">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3.5" customHeight="1">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3.5" customHeight="1">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3.5" customHeight="1">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3.5" customHeight="1">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3.5" customHeight="1">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3.5" customHeight="1">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3.5" customHeight="1">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3.5" customHeight="1">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3.5" customHeight="1">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3.5" customHeight="1">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3.5" customHeight="1">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3.5" customHeight="1">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3.5" customHeight="1">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3.5" customHeight="1">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3.5" customHeight="1">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3.5" customHeight="1">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3.5" customHeight="1">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3.5" customHeight="1">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3.5" customHeight="1">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3.5" customHeight="1">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3.5" customHeight="1">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3.5" customHeight="1">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3.5" customHeight="1">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3.5" customHeight="1">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3.5" customHeight="1">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3.5" customHeight="1">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3.5" customHeight="1">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3.5" customHeight="1">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3.5" customHeight="1">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3.5" customHeight="1">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3.5" customHeight="1">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3.5" customHeight="1">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3.5" customHeight="1">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3.5" customHeight="1">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3.5" customHeight="1">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3.5" customHeight="1">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3.5" customHeight="1">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3.5" customHeight="1">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3.5" customHeight="1">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3.5" customHeight="1">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3.5" customHeight="1">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3.5" customHeight="1">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3.5" customHeight="1">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3.5" customHeight="1">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3.5" customHeight="1">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3.5" customHeight="1">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3.5" customHeight="1">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3.5" customHeight="1">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3.5" customHeight="1">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3.5" customHeight="1">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3.5" customHeight="1">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3.5" customHeight="1">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3.5" customHeight="1">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3.5" customHeight="1">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3.5" customHeight="1">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3.5" customHeight="1">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3.5" customHeight="1">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3.5" customHeight="1">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3.5" customHeight="1">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3.5" customHeight="1">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3.5" customHeight="1">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3.5" customHeight="1">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3.5" customHeight="1">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3.5" customHeight="1">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3.5" customHeight="1">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3.5" customHeight="1">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3.5" customHeight="1">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3.5" customHeight="1">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3.5" customHeight="1">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3.5" customHeight="1">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3.5" customHeight="1">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3.5" customHeight="1">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3.5" customHeight="1">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3.5" customHeight="1">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3.5" customHeight="1">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3.5" customHeight="1">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3.5" customHeight="1">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3.5" customHeight="1">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3.5" customHeight="1">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3.5" customHeight="1">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3.5" customHeight="1">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3.5" customHeight="1">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3.5" customHeight="1">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3.5" customHeight="1">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3.5" customHeight="1">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3.5" customHeight="1">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3.5" customHeight="1">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3.5" customHeight="1">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3.5" customHeight="1">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3.5" customHeight="1">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3.5" customHeight="1">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3.5" customHeight="1">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3.5" customHeight="1">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3.5" customHeight="1">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3.5" customHeight="1">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3.5" customHeight="1">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3.5" customHeight="1">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3.5" customHeight="1">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3.5" customHeight="1">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3.5" customHeight="1">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3.5" customHeight="1">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3.5" customHeight="1">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3.5" customHeight="1">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3.5" customHeight="1">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3.5" customHeight="1">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3.5" customHeight="1">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3.5" customHeight="1">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3.5" customHeight="1">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3.5" customHeight="1">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3.5" customHeight="1">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3.5" customHeight="1">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3.5" customHeight="1">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3.5" customHeight="1">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3.5" customHeight="1">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3.5" customHeight="1">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3.5" customHeight="1">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3.5" customHeight="1">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3.5" customHeight="1">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3.5" customHeight="1">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3.5" customHeight="1">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3.5" customHeight="1">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3.5" customHeight="1">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3.5" customHeight="1">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3.5" customHeight="1">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3.5" customHeight="1">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3.5" customHeight="1">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3.5" customHeight="1">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3.5" customHeight="1">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3.5" customHeight="1">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3.5" customHeight="1">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3.5" customHeight="1">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3.5" customHeight="1">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3.5" customHeight="1">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3.5" customHeight="1">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3.5" customHeight="1">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3.5" customHeight="1">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3.5" customHeight="1">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3.5" customHeight="1">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3.5" customHeight="1">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3.5" customHeight="1">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3.5" customHeight="1">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3.5" customHeight="1">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3.5" customHeight="1">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3.5" customHeight="1">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3.5" customHeight="1">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3.5" customHeight="1">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3.5" customHeight="1">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3.5" customHeight="1">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3.5" customHeight="1">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3.5" customHeight="1">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3.5" customHeight="1">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3.5" customHeight="1">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3.5" customHeight="1">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3.5" customHeight="1">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scale="45"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Normal="10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spans="1:30" ht="13.5" customHeight="1">
      <c r="A1" s="4"/>
      <c r="B1" s="135" t="str">
        <f>Company_Name&amp;" "&amp;"("&amp;Ticker&amp;")"&amp;" Valuation Overview"</f>
        <v>NETFLIX INC (NFLX) Valuation Overview</v>
      </c>
      <c r="C1" s="4"/>
      <c r="D1" s="4"/>
      <c r="E1" s="4"/>
      <c r="F1" s="4"/>
      <c r="G1" s="4"/>
      <c r="H1" s="4"/>
      <c r="I1" s="4"/>
      <c r="J1" s="136"/>
      <c r="K1" s="886" t="s">
        <v>136</v>
      </c>
      <c r="L1" s="861"/>
      <c r="M1" s="861"/>
      <c r="N1" s="887" t="str">
        <f>Case_Scenario&amp;" Case"</f>
        <v>Base Case</v>
      </c>
      <c r="O1" s="861"/>
      <c r="P1" s="4"/>
      <c r="Q1" s="4"/>
      <c r="R1" s="12" t="s">
        <v>137</v>
      </c>
      <c r="S1" s="12" t="str">
        <f>IF(N1="Base Case","","Check!")</f>
        <v/>
      </c>
      <c r="T1" s="12"/>
      <c r="U1" s="12"/>
      <c r="V1" s="4"/>
      <c r="W1" s="12"/>
      <c r="X1" s="12"/>
      <c r="Y1" s="40" t="s">
        <v>138</v>
      </c>
      <c r="Z1" s="12"/>
      <c r="AA1" s="12"/>
      <c r="AB1" s="12"/>
      <c r="AC1" s="12"/>
      <c r="AD1" s="12"/>
    </row>
    <row r="2" spans="1:30" ht="15.75" customHeight="1">
      <c r="A2" s="4"/>
      <c r="B2" s="12" t="str">
        <f>Cover!C2</f>
        <v>$ in Millions Except Per Share Data</v>
      </c>
      <c r="C2" s="4"/>
      <c r="D2" s="4"/>
      <c r="E2" s="4"/>
      <c r="F2" s="4"/>
      <c r="G2" s="4"/>
      <c r="H2" s="4"/>
      <c r="I2" s="4"/>
      <c r="J2" s="4"/>
      <c r="K2" s="888" t="s">
        <v>139</v>
      </c>
      <c r="L2" s="861"/>
      <c r="M2" s="861"/>
      <c r="N2" s="861"/>
      <c r="O2" s="138">
        <f>Share_Price</f>
        <v>233.18</v>
      </c>
      <c r="P2" s="4"/>
      <c r="Q2" s="4"/>
      <c r="R2" s="4"/>
      <c r="S2" s="4"/>
      <c r="T2" s="4"/>
      <c r="U2" s="4"/>
      <c r="V2" s="4"/>
      <c r="W2" s="12"/>
      <c r="X2" s="12"/>
      <c r="Y2" s="40" t="s">
        <v>140</v>
      </c>
      <c r="Z2" s="12"/>
      <c r="AA2" s="12"/>
      <c r="AB2" s="12"/>
      <c r="AC2" s="12"/>
      <c r="AD2" s="12"/>
    </row>
    <row r="3" spans="1:30" ht="17.25" customHeight="1">
      <c r="A3" s="4"/>
      <c r="B3" s="4"/>
      <c r="C3" s="4"/>
      <c r="D3" s="4"/>
      <c r="E3" s="4"/>
      <c r="F3" s="4"/>
      <c r="G3" s="4"/>
      <c r="H3" s="4"/>
      <c r="I3" s="4"/>
      <c r="J3" s="4"/>
      <c r="K3" s="888" t="s">
        <v>141</v>
      </c>
      <c r="L3" s="861"/>
      <c r="M3" s="861"/>
      <c r="N3" s="861"/>
      <c r="O3" s="889">
        <f>Current_Date</f>
        <v>45903</v>
      </c>
      <c r="P3" s="861"/>
      <c r="Q3" s="4"/>
      <c r="R3" s="4"/>
      <c r="S3" s="4"/>
      <c r="T3" s="4"/>
      <c r="U3" s="4"/>
      <c r="V3" s="12"/>
      <c r="W3" s="12"/>
      <c r="X3" s="12"/>
      <c r="Y3" s="12"/>
      <c r="Z3" s="12"/>
      <c r="AA3" s="12"/>
      <c r="AB3" s="12"/>
      <c r="AC3" s="12"/>
      <c r="AD3" s="12"/>
    </row>
    <row r="4" spans="1:30" ht="15.75" customHeight="1">
      <c r="A4" s="4"/>
      <c r="B4" s="890" t="str">
        <f>"Multiples Analysis "&amp;"("&amp;S21&amp;")"</f>
        <v>Multiples Analysis (P/E)</v>
      </c>
      <c r="C4" s="891"/>
      <c r="D4" s="891"/>
      <c r="E4" s="891"/>
      <c r="F4" s="891"/>
      <c r="G4" s="892"/>
      <c r="H4" s="4"/>
      <c r="I4" s="893" t="s">
        <v>142</v>
      </c>
      <c r="J4" s="894"/>
      <c r="K4" s="894"/>
      <c r="L4" s="894"/>
      <c r="M4" s="894"/>
      <c r="N4" s="894"/>
      <c r="O4" s="895"/>
      <c r="P4" s="4"/>
      <c r="Q4" s="4"/>
      <c r="R4" s="4"/>
      <c r="S4" s="4"/>
      <c r="T4" s="4"/>
      <c r="U4" s="4"/>
      <c r="V4" s="12"/>
      <c r="W4" s="12"/>
      <c r="X4" s="12"/>
      <c r="Y4" s="12"/>
      <c r="Z4" s="12"/>
      <c r="AA4" s="12"/>
      <c r="AB4" s="12"/>
      <c r="AC4" s="12"/>
      <c r="AD4" s="12"/>
    </row>
    <row r="5" spans="1:30" ht="4.5" customHeight="1">
      <c r="A5" s="4"/>
      <c r="B5" s="4"/>
      <c r="C5" s="4"/>
      <c r="D5" s="4"/>
      <c r="E5" s="4"/>
      <c r="F5" s="4"/>
      <c r="G5" s="4"/>
      <c r="H5" s="4"/>
      <c r="I5" s="139"/>
      <c r="O5" s="140"/>
      <c r="P5" s="4"/>
      <c r="Q5" s="4"/>
      <c r="R5" s="4"/>
      <c r="S5" s="4"/>
      <c r="T5" s="4"/>
      <c r="U5" s="4"/>
      <c r="V5" s="12"/>
      <c r="W5" s="12"/>
      <c r="X5" s="12"/>
      <c r="Y5" s="12"/>
      <c r="Z5" s="12"/>
      <c r="AA5" s="12"/>
      <c r="AB5" s="12"/>
      <c r="AC5" s="12"/>
      <c r="AD5" s="12"/>
    </row>
    <row r="6" spans="1:30" ht="15.75" customHeight="1">
      <c r="A6" s="4"/>
      <c r="B6" s="4"/>
      <c r="C6" s="4"/>
      <c r="D6" s="4"/>
      <c r="E6" s="4"/>
      <c r="F6" s="4"/>
      <c r="G6" s="4"/>
      <c r="H6" s="4"/>
      <c r="I6" s="896" t="s">
        <v>11</v>
      </c>
      <c r="J6" s="858"/>
      <c r="K6" s="858"/>
      <c r="L6" s="858"/>
      <c r="M6" s="858"/>
      <c r="N6" s="858"/>
      <c r="O6" s="854"/>
      <c r="P6" s="4"/>
      <c r="Q6" s="4"/>
      <c r="R6" s="4"/>
      <c r="S6" s="4"/>
      <c r="T6" s="4"/>
      <c r="U6" s="4"/>
      <c r="V6" s="12"/>
      <c r="W6" s="12"/>
      <c r="X6" s="12"/>
      <c r="Y6" s="12"/>
      <c r="Z6" s="12"/>
      <c r="AA6" s="12"/>
      <c r="AB6" s="12"/>
      <c r="AC6" s="12"/>
      <c r="AD6" s="12"/>
    </row>
    <row r="7" spans="1:30" ht="15.75" customHeight="1">
      <c r="A7" s="4"/>
      <c r="B7" s="4"/>
      <c r="C7" s="4"/>
      <c r="D7" s="4"/>
      <c r="E7" s="4"/>
      <c r="F7" s="4"/>
      <c r="G7" s="4"/>
      <c r="H7" s="22"/>
      <c r="I7" s="12" t="str">
        <f>Cover!I9</f>
        <v>Implied Enterprise Value:</v>
      </c>
      <c r="J7" s="12"/>
      <c r="K7" s="12"/>
      <c r="L7" s="12"/>
      <c r="M7" s="12"/>
      <c r="N7" s="897" t="str">
        <f ca="1">Cover!L9</f>
        <v/>
      </c>
      <c r="O7" s="898"/>
      <c r="Q7" s="4"/>
      <c r="R7" s="4"/>
      <c r="S7" s="4"/>
      <c r="T7" s="4"/>
      <c r="U7" s="4"/>
      <c r="V7" s="12"/>
      <c r="W7" s="12"/>
      <c r="X7" s="12"/>
      <c r="Y7" s="12"/>
      <c r="Z7" s="12"/>
      <c r="AA7" s="12"/>
      <c r="AB7" s="12"/>
      <c r="AC7" s="12"/>
      <c r="AD7" s="12"/>
    </row>
    <row r="8" spans="1:30" ht="15.75" customHeight="1">
      <c r="A8" s="4"/>
      <c r="B8" s="4"/>
      <c r="C8" s="4"/>
      <c r="D8" s="4"/>
      <c r="E8" s="4"/>
      <c r="F8" s="4"/>
      <c r="G8" s="4"/>
      <c r="H8" s="22"/>
      <c r="I8" s="71" t="str">
        <f>Cover!I10</f>
        <v>Implied Equity Value:</v>
      </c>
      <c r="J8" s="71"/>
      <c r="K8" s="71"/>
      <c r="L8" s="71"/>
      <c r="M8" s="71"/>
      <c r="N8" s="899" t="str">
        <f ca="1">Cover!L10</f>
        <v/>
      </c>
      <c r="O8" s="900"/>
      <c r="Q8" s="4"/>
      <c r="R8" s="4"/>
      <c r="S8" s="4"/>
      <c r="T8" s="4"/>
      <c r="U8" s="4"/>
      <c r="V8" s="12"/>
      <c r="W8" s="12"/>
      <c r="X8" s="12"/>
      <c r="Y8" s="12"/>
      <c r="Z8" s="12"/>
      <c r="AA8" s="12"/>
      <c r="AB8" s="12"/>
      <c r="AC8" s="12"/>
      <c r="AD8" s="12"/>
    </row>
    <row r="9" spans="1:30" ht="15.75" customHeight="1">
      <c r="A9" s="4"/>
      <c r="B9" s="4"/>
      <c r="C9" s="4"/>
      <c r="D9" s="4"/>
      <c r="E9" s="4"/>
      <c r="F9" s="4"/>
      <c r="G9" s="4"/>
      <c r="H9" s="22"/>
      <c r="I9" s="12" t="str">
        <f>Cover!I12</f>
        <v>Implied Share Price:</v>
      </c>
      <c r="J9" s="12"/>
      <c r="K9" s="12"/>
      <c r="L9" s="12"/>
      <c r="M9" s="12"/>
      <c r="N9" s="901" t="str">
        <f ca="1">Cover!L12</f>
        <v/>
      </c>
      <c r="O9" s="902"/>
      <c r="Q9" s="4"/>
      <c r="R9" s="4"/>
      <c r="S9" s="4"/>
      <c r="T9" s="4"/>
      <c r="U9" s="4"/>
      <c r="V9" s="12"/>
      <c r="W9" s="12"/>
      <c r="X9" s="12"/>
      <c r="Y9" s="12"/>
      <c r="Z9" s="12"/>
      <c r="AA9" s="12"/>
      <c r="AB9" s="12"/>
      <c r="AC9" s="12"/>
      <c r="AD9" s="12"/>
    </row>
    <row r="10" spans="1:30" ht="15.75" customHeight="1">
      <c r="A10" s="4"/>
      <c r="B10" s="4"/>
      <c r="C10" s="4"/>
      <c r="D10" s="4"/>
      <c r="E10" s="4"/>
      <c r="F10" s="4"/>
      <c r="G10" s="4"/>
      <c r="H10" s="22"/>
      <c r="I10" s="100" t="str">
        <f>Cover!I13</f>
        <v>% Return:</v>
      </c>
      <c r="J10" s="100"/>
      <c r="K10" s="100"/>
      <c r="L10" s="100"/>
      <c r="M10" s="100"/>
      <c r="N10" s="903" t="str">
        <f ca="1">Cover!L13</f>
        <v/>
      </c>
      <c r="O10" s="904"/>
      <c r="Q10" s="4"/>
      <c r="R10" s="4"/>
      <c r="S10" s="4"/>
      <c r="T10" s="4"/>
      <c r="U10" s="4"/>
      <c r="V10" s="12"/>
      <c r="W10" s="12"/>
      <c r="X10" s="12"/>
      <c r="Y10" s="12"/>
      <c r="Z10" s="12"/>
      <c r="AA10" s="12"/>
      <c r="AB10" s="12"/>
      <c r="AC10" s="12"/>
      <c r="AD10" s="12"/>
    </row>
    <row r="11" spans="1:30" ht="4.5" customHeight="1">
      <c r="A11" s="4"/>
      <c r="B11" s="4"/>
      <c r="C11" s="4"/>
      <c r="D11" s="4"/>
      <c r="E11" s="4"/>
      <c r="F11" s="4"/>
      <c r="G11" s="4"/>
      <c r="H11" s="4"/>
      <c r="I11" s="141"/>
      <c r="J11" s="12"/>
      <c r="K11" s="12"/>
      <c r="L11" s="12"/>
      <c r="M11" s="12"/>
      <c r="N11" s="12"/>
      <c r="O11" s="142"/>
      <c r="Q11" s="4"/>
      <c r="R11" s="4"/>
      <c r="S11" s="4"/>
      <c r="T11" s="4"/>
      <c r="U11" s="4"/>
      <c r="V11" s="12"/>
      <c r="W11" s="12"/>
      <c r="X11" s="12"/>
      <c r="Y11" s="12"/>
      <c r="Z11" s="12"/>
      <c r="AA11" s="12"/>
      <c r="AB11" s="12"/>
      <c r="AC11" s="12"/>
      <c r="AD11" s="12"/>
    </row>
    <row r="12" spans="1:30" ht="15.75" customHeight="1">
      <c r="A12" s="4"/>
      <c r="B12" s="4"/>
      <c r="C12" s="4"/>
      <c r="D12" s="4"/>
      <c r="E12" s="4"/>
      <c r="F12" s="4"/>
      <c r="G12" s="4"/>
      <c r="H12" s="4"/>
      <c r="I12" s="896" t="str">
        <f>Cover!I15</f>
        <v>Perpetuity Growth Method</v>
      </c>
      <c r="J12" s="858"/>
      <c r="K12" s="858"/>
      <c r="L12" s="858"/>
      <c r="M12" s="858"/>
      <c r="N12" s="858"/>
      <c r="O12" s="854"/>
      <c r="Q12" s="4"/>
      <c r="R12" s="4"/>
      <c r="S12" s="4"/>
      <c r="T12" s="4"/>
      <c r="U12" s="4"/>
      <c r="V12" s="12"/>
      <c r="W12" s="12"/>
      <c r="X12" s="12"/>
      <c r="Y12" s="12"/>
      <c r="Z12" s="12"/>
      <c r="AA12" s="12"/>
      <c r="AB12" s="12"/>
      <c r="AC12" s="12"/>
      <c r="AD12" s="12"/>
    </row>
    <row r="13" spans="1:30" ht="15.75" customHeight="1">
      <c r="A13" s="4"/>
      <c r="B13" s="4"/>
      <c r="C13" s="4"/>
      <c r="D13" s="4"/>
      <c r="E13" s="4"/>
      <c r="F13" s="4"/>
      <c r="G13" s="4"/>
      <c r="H13" s="4"/>
      <c r="I13" s="143" t="str">
        <f>Cover!I16</f>
        <v>Implied Enterprise Value:</v>
      </c>
      <c r="J13" s="101"/>
      <c r="K13" s="101"/>
      <c r="L13" s="101"/>
      <c r="M13" s="101"/>
      <c r="N13" s="897" t="str">
        <f ca="1">Cover!L16</f>
        <v/>
      </c>
      <c r="O13" s="898"/>
      <c r="Q13" s="4"/>
      <c r="R13" s="4"/>
      <c r="S13" s="4"/>
      <c r="T13" s="4"/>
      <c r="U13" s="4"/>
      <c r="V13" s="12"/>
      <c r="W13" s="12"/>
      <c r="X13" s="12"/>
      <c r="Y13" s="12"/>
      <c r="Z13" s="12"/>
      <c r="AA13" s="12"/>
      <c r="AB13" s="12"/>
      <c r="AC13" s="12"/>
      <c r="AD13" s="12"/>
    </row>
    <row r="14" spans="1:30" ht="15.75" customHeight="1">
      <c r="A14" s="4"/>
      <c r="B14" s="4"/>
      <c r="C14" s="4"/>
      <c r="D14" s="4"/>
      <c r="E14" s="4"/>
      <c r="F14" s="4"/>
      <c r="G14" s="4"/>
      <c r="H14" s="4"/>
      <c r="I14" s="144" t="str">
        <f>Cover!I17</f>
        <v>Implied Equity Value:</v>
      </c>
      <c r="J14" s="71"/>
      <c r="K14" s="71"/>
      <c r="L14" s="71"/>
      <c r="M14" s="71"/>
      <c r="N14" s="899" t="str">
        <f ca="1">Cover!L17</f>
        <v/>
      </c>
      <c r="O14" s="900"/>
      <c r="Q14" s="4"/>
      <c r="AB14" s="12"/>
      <c r="AC14" s="12"/>
      <c r="AD14" s="12"/>
    </row>
    <row r="15" spans="1:30" ht="15.75" customHeight="1">
      <c r="A15" s="4"/>
      <c r="B15" s="4"/>
      <c r="C15" s="4"/>
      <c r="D15" s="4"/>
      <c r="E15" s="4"/>
      <c r="F15" s="4"/>
      <c r="G15" s="4"/>
      <c r="H15" s="4"/>
      <c r="I15" s="141" t="str">
        <f>Cover!I19</f>
        <v>Implied Share Price:</v>
      </c>
      <c r="J15" s="12"/>
      <c r="K15" s="12"/>
      <c r="L15" s="12"/>
      <c r="M15" s="12"/>
      <c r="N15" s="901" t="str">
        <f ca="1">Cover!L19</f>
        <v/>
      </c>
      <c r="O15" s="902"/>
      <c r="Q15" s="4"/>
      <c r="AB15" s="12"/>
      <c r="AC15" s="12"/>
      <c r="AD15" s="12"/>
    </row>
    <row r="16" spans="1:30" ht="15.75" customHeight="1">
      <c r="A16" s="4"/>
      <c r="B16" s="4"/>
      <c r="C16" s="4"/>
      <c r="D16" s="4"/>
      <c r="E16" s="4"/>
      <c r="F16" s="4"/>
      <c r="G16" s="4"/>
      <c r="H16" s="4"/>
      <c r="I16" s="145" t="str">
        <f>Cover!I20</f>
        <v>% Return:</v>
      </c>
      <c r="J16" s="100"/>
      <c r="K16" s="100"/>
      <c r="L16" s="100"/>
      <c r="M16" s="100"/>
      <c r="N16" s="903" t="str">
        <f ca="1">Cover!L20</f>
        <v/>
      </c>
      <c r="O16" s="904"/>
      <c r="Q16" s="4"/>
      <c r="AB16" s="12"/>
      <c r="AC16" s="12"/>
      <c r="AD16" s="12"/>
    </row>
    <row r="17" spans="1:30" ht="4.5" customHeight="1">
      <c r="A17" s="4"/>
      <c r="B17" s="4"/>
      <c r="C17" s="4"/>
      <c r="D17" s="4"/>
      <c r="E17" s="4"/>
      <c r="F17" s="4"/>
      <c r="G17" s="4"/>
      <c r="H17" s="4"/>
      <c r="I17" s="4"/>
      <c r="J17" s="4"/>
      <c r="K17" s="4"/>
      <c r="L17" s="4"/>
      <c r="M17" s="4"/>
      <c r="N17" s="4"/>
      <c r="O17" s="4"/>
      <c r="P17" s="4"/>
      <c r="Q17" s="4"/>
      <c r="AB17" s="12"/>
      <c r="AC17" s="12"/>
      <c r="AD17" s="12"/>
    </row>
    <row r="18" spans="1:30" ht="15.75" customHeight="1">
      <c r="A18" s="4"/>
      <c r="B18" s="146"/>
      <c r="C18" s="147"/>
      <c r="D18" s="147"/>
      <c r="E18" s="905" t="s">
        <v>100</v>
      </c>
      <c r="F18" s="906"/>
      <c r="G18" s="906"/>
      <c r="H18" s="906"/>
      <c r="I18" s="906"/>
      <c r="J18" s="906"/>
      <c r="K18" s="907"/>
      <c r="L18" s="4"/>
      <c r="M18" s="148" t="s">
        <v>104</v>
      </c>
      <c r="N18" s="149"/>
      <c r="O18" s="148" t="s">
        <v>104</v>
      </c>
      <c r="P18" s="4"/>
      <c r="Q18" s="4"/>
      <c r="R18" s="12"/>
      <c r="S18" s="12"/>
      <c r="T18" s="12"/>
      <c r="U18" s="12"/>
      <c r="V18" s="12"/>
      <c r="W18" s="12"/>
      <c r="X18" s="12"/>
      <c r="Y18" s="12"/>
      <c r="Z18" s="12"/>
      <c r="AA18" s="12"/>
      <c r="AB18" s="12"/>
      <c r="AC18" s="12"/>
      <c r="AD18" s="12"/>
    </row>
    <row r="19" spans="1:30" ht="15.75" customHeight="1">
      <c r="A19" s="4"/>
      <c r="B19" s="150" t="s">
        <v>143</v>
      </c>
      <c r="C19" s="151"/>
      <c r="D19" s="151"/>
      <c r="E19" s="151">
        <f>Summary!U6</f>
        <v>2024</v>
      </c>
      <c r="F19" s="151">
        <f>Summary!V6</f>
        <v>2025</v>
      </c>
      <c r="G19" s="151" t="str">
        <f>Summary!W6</f>
        <v>2026e</v>
      </c>
      <c r="H19" s="151" t="str">
        <f>Summary!X6</f>
        <v>2027e</v>
      </c>
      <c r="I19" s="151" t="str">
        <f>Summary!Y6</f>
        <v>2028e</v>
      </c>
      <c r="J19" s="151" t="str">
        <f>Summary!Z6</f>
        <v>2029e</v>
      </c>
      <c r="K19" s="152" t="str">
        <f>Summary!AA6</f>
        <v>2030e</v>
      </c>
      <c r="L19" s="149"/>
      <c r="M19" s="153" t="s">
        <v>105</v>
      </c>
      <c r="N19" s="149"/>
      <c r="O19" s="153" t="s">
        <v>106</v>
      </c>
      <c r="P19" s="4"/>
      <c r="Q19" s="4"/>
      <c r="R19" s="4"/>
      <c r="S19" s="4"/>
      <c r="T19" s="4"/>
      <c r="U19" s="4"/>
      <c r="V19" s="12"/>
      <c r="W19" s="12"/>
      <c r="X19" s="12"/>
      <c r="Y19" s="12"/>
      <c r="Z19" s="12"/>
      <c r="AA19" s="12"/>
      <c r="AB19" s="12"/>
      <c r="AC19" s="12"/>
      <c r="AD19" s="12"/>
    </row>
    <row r="20" spans="1:30" ht="4.5" customHeight="1">
      <c r="A20" s="4"/>
      <c r="B20" s="4"/>
      <c r="C20" s="4"/>
      <c r="D20" s="154"/>
      <c r="E20" s="149"/>
      <c r="F20" s="149"/>
      <c r="G20" s="149"/>
      <c r="H20" s="149"/>
      <c r="I20" s="149"/>
      <c r="J20" s="149"/>
      <c r="K20" s="149"/>
      <c r="L20" s="149"/>
      <c r="M20" s="4"/>
      <c r="N20" s="4"/>
      <c r="O20" s="4"/>
      <c r="P20" s="4"/>
      <c r="Q20" s="4"/>
      <c r="R20" s="12"/>
      <c r="S20" s="12"/>
      <c r="T20" s="12"/>
      <c r="U20" s="12"/>
      <c r="V20" s="12"/>
      <c r="W20" s="12"/>
      <c r="X20" s="12"/>
      <c r="Y20" s="12"/>
      <c r="Z20" s="12"/>
      <c r="AA20" s="12"/>
      <c r="AB20" s="12"/>
      <c r="AC20" s="12"/>
      <c r="AD20" s="12"/>
    </row>
    <row r="21" spans="1:30" ht="15.75" customHeight="1">
      <c r="A21" s="4"/>
      <c r="B21" s="12" t="str">
        <f>Summary!C8</f>
        <v>Revenue</v>
      </c>
      <c r="C21" s="12"/>
      <c r="D21" s="155">
        <f>Summary!T8</f>
        <v>33723.297000000006</v>
      </c>
      <c r="E21" s="85">
        <f>Summary!U8</f>
        <v>39000.966</v>
      </c>
      <c r="F21" s="86">
        <f>Summary!V8</f>
        <v>45183.036</v>
      </c>
      <c r="G21" s="85">
        <f>Summary!W8</f>
        <v>84509.856999999989</v>
      </c>
      <c r="H21" s="85">
        <f>Summary!X8</f>
        <v>105236.82134671998</v>
      </c>
      <c r="I21" s="85">
        <f>Summary!Y8</f>
        <v>107341.55777365438</v>
      </c>
      <c r="J21" s="85">
        <f>Summary!Z8</f>
        <v>109488.38892912747</v>
      </c>
      <c r="K21" s="86">
        <f>Summary!AA8</f>
        <v>111678.15670771002</v>
      </c>
      <c r="L21" s="85"/>
      <c r="M21" s="156">
        <f>Summary!AC8</f>
        <v>0.15750450762990087</v>
      </c>
      <c r="N21" s="157"/>
      <c r="O21" s="156">
        <f>Summary!AE8</f>
        <v>0.19839107391671096</v>
      </c>
      <c r="P21" s="4"/>
      <c r="Q21" s="4"/>
      <c r="R21" s="12" t="s">
        <v>144</v>
      </c>
      <c r="S21" s="158" t="s">
        <v>138</v>
      </c>
      <c r="T21" s="4"/>
      <c r="U21" s="12"/>
      <c r="V21" s="12"/>
      <c r="W21" s="12"/>
      <c r="Y21" s="12"/>
      <c r="Z21" s="12"/>
      <c r="AA21" s="12"/>
      <c r="AB21" s="12"/>
      <c r="AC21" s="12"/>
      <c r="AD21" s="12"/>
    </row>
    <row r="22" spans="1:30" ht="15.75" customHeight="1">
      <c r="A22" s="4"/>
      <c r="B22" s="89" t="str">
        <f>Summary!C9</f>
        <v>YoY % Growth</v>
      </c>
      <c r="C22" s="12"/>
      <c r="D22" s="155"/>
      <c r="E22" s="90">
        <f>Summary!U9</f>
        <v>0.15649919994477379</v>
      </c>
      <c r="F22" s="91">
        <f>Summary!V9</f>
        <v>0.15851068919677536</v>
      </c>
      <c r="G22" s="90">
        <f>Summary!W9</f>
        <v>0.87038907699783574</v>
      </c>
      <c r="H22" s="90">
        <f>Summary!X9</f>
        <v>0.24526090899337327</v>
      </c>
      <c r="I22" s="90">
        <f>Summary!Y9</f>
        <v>2.0000000000000018E-2</v>
      </c>
      <c r="J22" s="90">
        <f>Summary!Z9</f>
        <v>2.0000000000000018E-2</v>
      </c>
      <c r="K22" s="91">
        <f>Summary!AA9</f>
        <v>2.0000000000000018E-2</v>
      </c>
      <c r="L22" s="90"/>
      <c r="M22" s="88"/>
      <c r="N22" s="157"/>
      <c r="O22" s="88"/>
      <c r="P22" s="4"/>
      <c r="Q22" s="4"/>
      <c r="R22" s="12"/>
      <c r="S22" s="12"/>
      <c r="T22" s="12"/>
      <c r="U22" s="12"/>
      <c r="V22" s="12"/>
      <c r="W22" s="12"/>
      <c r="Y22" s="12"/>
      <c r="Z22" s="12"/>
      <c r="AA22" s="12"/>
      <c r="AB22" s="12"/>
      <c r="AC22" s="12"/>
      <c r="AD22" s="12"/>
    </row>
    <row r="23" spans="1:30" ht="15.75" customHeight="1">
      <c r="A23" s="4"/>
      <c r="B23" s="4"/>
      <c r="C23" s="4"/>
      <c r="D23" s="155"/>
      <c r="E23" s="85"/>
      <c r="F23" s="86"/>
      <c r="G23" s="85"/>
      <c r="H23" s="85"/>
      <c r="I23" s="85"/>
      <c r="J23" s="85"/>
      <c r="K23" s="159"/>
      <c r="L23" s="4"/>
      <c r="M23" s="88"/>
      <c r="N23" s="157"/>
      <c r="O23" s="88"/>
      <c r="P23" s="4"/>
      <c r="Q23" s="4"/>
      <c r="R23" s="160" t="s">
        <v>145</v>
      </c>
      <c r="S23" s="160" t="s">
        <v>140</v>
      </c>
      <c r="T23" s="160" t="s">
        <v>138</v>
      </c>
      <c r="U23" s="160" t="s">
        <v>146</v>
      </c>
      <c r="W23" s="12"/>
      <c r="Y23" s="12"/>
      <c r="Z23" s="12"/>
      <c r="AA23" s="12"/>
      <c r="AB23" s="12"/>
      <c r="AC23" s="12"/>
      <c r="AD23" s="12"/>
    </row>
    <row r="24" spans="1:30" ht="15.75" customHeight="1">
      <c r="A24" s="4"/>
      <c r="B24" s="12" t="str">
        <f>Summary!C11</f>
        <v>Gross Profit</v>
      </c>
      <c r="C24" s="12"/>
      <c r="D24" s="155">
        <f>Summary!T11</f>
        <v>14007.897000000001</v>
      </c>
      <c r="E24" s="85">
        <f>Summary!U11</f>
        <v>17962.502</v>
      </c>
      <c r="F24" s="86">
        <f>Summary!V11</f>
        <v>21907.706999999999</v>
      </c>
      <c r="G24" s="85">
        <f>Summary!W11</f>
        <v>26090.892</v>
      </c>
      <c r="H24" s="85">
        <f>Summary!X11</f>
        <v>14241.705219263196</v>
      </c>
      <c r="I24" s="85">
        <f>Summary!Y11</f>
        <v>14920.476530537955</v>
      </c>
      <c r="J24" s="85">
        <f>Summary!Z11</f>
        <v>15328.374450077841</v>
      </c>
      <c r="K24" s="86">
        <f>Summary!AA11</f>
        <v>15858.298252494831</v>
      </c>
      <c r="L24" s="85"/>
      <c r="M24" s="88">
        <f>Summary!AC11</f>
        <v>0.25058147775360151</v>
      </c>
      <c r="N24" s="157"/>
      <c r="O24" s="88">
        <f>Summary!AE11</f>
        <v>-6.2584928901940673E-2</v>
      </c>
      <c r="P24" s="4"/>
      <c r="Q24" s="4"/>
      <c r="R24" s="69" t="s">
        <v>147</v>
      </c>
      <c r="S24" s="161">
        <f>Valuation!D12</f>
        <v>12.4849</v>
      </c>
      <c r="T24" s="161">
        <f>Valuation!D11</f>
        <v>18.639800000000001</v>
      </c>
      <c r="U24" s="161">
        <f t="shared" ref="U24:U28" si="0">IF($S$21=$S$23,S24,T24)</f>
        <v>18.639800000000001</v>
      </c>
      <c r="W24" s="12"/>
      <c r="X24" s="12"/>
      <c r="Y24" s="12"/>
      <c r="Z24" s="12"/>
      <c r="AA24" s="12"/>
      <c r="AB24" s="12"/>
      <c r="AC24" s="12"/>
      <c r="AD24" s="12"/>
    </row>
    <row r="25" spans="1:30" ht="15.75" customHeight="1">
      <c r="A25" s="4"/>
      <c r="B25" s="89" t="str">
        <f>Summary!C12</f>
        <v>% Margin</v>
      </c>
      <c r="C25" s="12"/>
      <c r="D25" s="155"/>
      <c r="E25" s="90">
        <f>Summary!U12</f>
        <v>0.46056556650417324</v>
      </c>
      <c r="F25" s="91">
        <f>Summary!V12</f>
        <v>0.48486575802475951</v>
      </c>
      <c r="G25" s="90">
        <f>Summary!W12</f>
        <v>0.30873193880803756</v>
      </c>
      <c r="H25" s="90">
        <f>Summary!X12</f>
        <v>0.13533005878561802</v>
      </c>
      <c r="I25" s="90">
        <f>Summary!Y12</f>
        <v>0.13899999999999996</v>
      </c>
      <c r="J25" s="90">
        <f>Summary!Z12</f>
        <v>0.13999999999999996</v>
      </c>
      <c r="K25" s="91">
        <f>Summary!AA12</f>
        <v>0.14200000000000007</v>
      </c>
      <c r="L25" s="90"/>
      <c r="M25" s="88"/>
      <c r="N25" s="157"/>
      <c r="O25" s="88"/>
      <c r="P25" s="4"/>
      <c r="Q25" s="4"/>
      <c r="R25" s="69" t="str">
        <f>Model!Y25</f>
        <v>2026e</v>
      </c>
      <c r="S25" s="162" t="str">
        <f ca="1">(Comparables!H10*S30)/(Model!Y61)</f>
        <v/>
      </c>
      <c r="T25" s="162" t="str">
        <f ca="1">(Comparables!$G$10*S30)/Summary!W19</f>
        <v/>
      </c>
      <c r="U25" s="162" t="str">
        <f t="shared" ca="1" si="0"/>
        <v>#REF!</v>
      </c>
      <c r="W25" s="12"/>
      <c r="X25" s="12"/>
      <c r="Y25" s="12"/>
      <c r="Z25" s="12"/>
      <c r="AA25" s="12"/>
      <c r="AB25" s="12"/>
      <c r="AC25" s="12"/>
      <c r="AD25" s="12"/>
    </row>
    <row r="26" spans="1:30" ht="15.75" customHeight="1">
      <c r="A26" s="4"/>
      <c r="B26" s="89" t="str">
        <f>Summary!C13</f>
        <v>YoY % Growth</v>
      </c>
      <c r="C26" s="12"/>
      <c r="D26" s="155"/>
      <c r="E26" s="90">
        <f>Summary!U13</f>
        <v>0.2823125412758245</v>
      </c>
      <c r="F26" s="91">
        <f>Summary!V13</f>
        <v>0.21963560532936888</v>
      </c>
      <c r="G26" s="90">
        <f>Summary!W13</f>
        <v>0.19094581646541098</v>
      </c>
      <c r="H26" s="90">
        <f>Summary!X13</f>
        <v>-0.45415031347861945</v>
      </c>
      <c r="I26" s="90">
        <f>Summary!Y13</f>
        <v>4.7660817354698404E-2</v>
      </c>
      <c r="J26" s="90">
        <f>Summary!Z13</f>
        <v>2.7338129496402797E-2</v>
      </c>
      <c r="K26" s="91">
        <f>Summary!AA13</f>
        <v>3.4571428571429363E-2</v>
      </c>
      <c r="L26" s="90"/>
      <c r="M26" s="88"/>
      <c r="N26" s="157"/>
      <c r="O26" s="88"/>
      <c r="P26" s="4"/>
      <c r="Q26" s="4"/>
      <c r="R26" s="69" t="str">
        <f>Summary!AA6</f>
        <v>2030e</v>
      </c>
      <c r="S26" s="162" t="str">
        <f ca="1">(Comparables!H10*S30)/(Model!AG61)</f>
        <v/>
      </c>
      <c r="T26" s="162" t="str">
        <f ca="1">(Comparables!$G$10*S30)/Summary!AA19</f>
        <v/>
      </c>
      <c r="U26" s="162" t="str">
        <f t="shared" ca="1" si="0"/>
        <v>#REF!</v>
      </c>
      <c r="W26" s="12"/>
      <c r="X26" s="12"/>
      <c r="Y26" s="12"/>
      <c r="Z26" s="12"/>
      <c r="AA26" s="12"/>
      <c r="AB26" s="12"/>
      <c r="AC26" s="12"/>
      <c r="AD26" s="12"/>
    </row>
    <row r="27" spans="1:30" ht="15.75" customHeight="1">
      <c r="A27" s="4"/>
      <c r="B27" s="4"/>
      <c r="C27" s="4"/>
      <c r="D27" s="155"/>
      <c r="E27" s="85"/>
      <c r="F27" s="86"/>
      <c r="G27" s="85"/>
      <c r="H27" s="85"/>
      <c r="I27" s="85"/>
      <c r="J27" s="85"/>
      <c r="K27" s="159"/>
      <c r="L27" s="4"/>
      <c r="M27" s="88"/>
      <c r="N27" s="157"/>
      <c r="O27" s="88"/>
      <c r="P27" s="4"/>
      <c r="Q27" s="4"/>
      <c r="R27" s="69" t="s">
        <v>148</v>
      </c>
      <c r="S27" s="162">
        <f>Valuation!K60</f>
        <v>13</v>
      </c>
      <c r="T27" s="162" t="str">
        <f ca="1">Valuation!K72/Summary!AA19</f>
        <v/>
      </c>
      <c r="U27" s="162" t="str">
        <f t="shared" ca="1" si="0"/>
        <v>#REF!</v>
      </c>
      <c r="W27" s="12"/>
      <c r="X27" s="12"/>
      <c r="Y27" s="12"/>
      <c r="Z27" s="12"/>
      <c r="AA27" s="12"/>
      <c r="AB27" s="12"/>
      <c r="AC27" s="12"/>
      <c r="AD27" s="12"/>
    </row>
    <row r="28" spans="1:30" ht="15.75" customHeight="1">
      <c r="A28" s="4"/>
      <c r="B28" s="12" t="str">
        <f>Summary!C27</f>
        <v>EBITDA</v>
      </c>
      <c r="C28" s="12"/>
      <c r="D28" s="155">
        <f>Summary!T27</f>
        <v>-2709.4799999999968</v>
      </c>
      <c r="E28" s="85">
        <f>Summary!U27</f>
        <v>10935.028</v>
      </c>
      <c r="F28" s="86">
        <f>Summary!V27</f>
        <v>14481.862000000001</v>
      </c>
      <c r="G28" s="85" t="str">
        <f ca="1">Summary!W27</f>
        <v/>
      </c>
      <c r="H28" s="85" t="str">
        <f ca="1">Summary!X27</f>
        <v/>
      </c>
      <c r="I28" s="85" t="str">
        <f ca="1">Summary!Y27</f>
        <v/>
      </c>
      <c r="J28" s="85" t="str">
        <f ca="1">Summary!Z27</f>
        <v/>
      </c>
      <c r="K28" s="86" t="str">
        <f ca="1">Summary!AA27</f>
        <v/>
      </c>
      <c r="L28" s="85"/>
      <c r="M28" s="88" t="str">
        <f>Summary!AC27</f>
        <v>N/A</v>
      </c>
      <c r="N28" s="157"/>
      <c r="O28" s="88" t="str">
        <f ca="1">Summary!AE27</f>
        <v>N/A</v>
      </c>
      <c r="P28" s="4"/>
      <c r="Q28" s="4"/>
      <c r="R28" s="69" t="s">
        <v>149</v>
      </c>
      <c r="S28" s="162" t="str">
        <f ca="1">Valuation!K79</f>
        <v/>
      </c>
      <c r="T28" s="162" t="str">
        <f ca="1">Valuation!R72/Summary!AA19</f>
        <v/>
      </c>
      <c r="U28" s="162" t="str">
        <f t="shared" ca="1" si="0"/>
        <v>#REF!</v>
      </c>
      <c r="W28" s="12"/>
      <c r="X28" s="12"/>
      <c r="Y28" s="12"/>
      <c r="Z28" s="12"/>
      <c r="AA28" s="12"/>
      <c r="AB28" s="12"/>
      <c r="AC28" s="12"/>
      <c r="AD28" s="12"/>
    </row>
    <row r="29" spans="1:30" ht="15.75" customHeight="1">
      <c r="A29" s="4"/>
      <c r="B29" s="89" t="str">
        <f>Summary!C28</f>
        <v>Margin</v>
      </c>
      <c r="C29" s="12"/>
      <c r="D29" s="155"/>
      <c r="E29" s="90">
        <f>Summary!U28</f>
        <v>0.28037838857632397</v>
      </c>
      <c r="F29" s="91">
        <f>Summary!V28</f>
        <v>0.32051546956694105</v>
      </c>
      <c r="G29" s="90" t="str">
        <f ca="1">Summary!W28</f>
        <v/>
      </c>
      <c r="H29" s="90" t="str">
        <f ca="1">Summary!X28</f>
        <v/>
      </c>
      <c r="I29" s="90" t="str">
        <f ca="1">Summary!Y28</f>
        <v/>
      </c>
      <c r="J29" s="90" t="str">
        <f ca="1">Summary!Z28</f>
        <v/>
      </c>
      <c r="K29" s="91" t="str">
        <f ca="1">Summary!AA28</f>
        <v/>
      </c>
      <c r="L29" s="90"/>
      <c r="M29" s="88"/>
      <c r="N29" s="157"/>
      <c r="O29" s="88"/>
      <c r="P29" s="4"/>
      <c r="Q29" s="4"/>
      <c r="R29" s="12"/>
      <c r="S29" s="12"/>
      <c r="T29" s="12"/>
      <c r="U29" s="12"/>
      <c r="W29" s="12"/>
      <c r="X29" s="12"/>
      <c r="Y29" s="12"/>
      <c r="Z29" s="12"/>
      <c r="AA29" s="12"/>
      <c r="AB29" s="12"/>
      <c r="AC29" s="12"/>
      <c r="AD29" s="12"/>
    </row>
    <row r="30" spans="1:30" ht="15.75" customHeight="1">
      <c r="A30" s="4"/>
      <c r="B30" s="89" t="str">
        <f>Summary!C29</f>
        <v>YoY % Growth</v>
      </c>
      <c r="C30" s="12"/>
      <c r="D30" s="155"/>
      <c r="E30" s="90">
        <f>Summary!U17</f>
        <v>-3.1204310223754685</v>
      </c>
      <c r="F30" s="91">
        <f>Summary!V17</f>
        <v>0.27923754902034181</v>
      </c>
      <c r="G30" s="90" t="str">
        <f ca="1">Summary!W29</f>
        <v/>
      </c>
      <c r="H30" s="90" t="str">
        <f ca="1">Summary!X29</f>
        <v/>
      </c>
      <c r="I30" s="90" t="str">
        <f ca="1">Summary!Y29</f>
        <v/>
      </c>
      <c r="J30" s="90" t="str">
        <f ca="1">Summary!Z29</f>
        <v/>
      </c>
      <c r="K30" s="91" t="str">
        <f ca="1">Summary!AA29</f>
        <v/>
      </c>
      <c r="L30" s="90"/>
      <c r="M30" s="88"/>
      <c r="N30" s="157"/>
      <c r="O30" s="88"/>
      <c r="P30" s="4"/>
      <c r="Q30" s="4"/>
      <c r="R30" s="12" t="s">
        <v>150</v>
      </c>
      <c r="S30" s="69">
        <f>IF($B$2="$ in Millions Except Per Share Data",1,IF($B$2="$ in Thousands Except Per Share Data",1000,IF($B$2="$ in Billions Except Per Share Data",0.001,0)))</f>
        <v>1</v>
      </c>
      <c r="T30" s="12"/>
      <c r="U30" s="12"/>
      <c r="V30" s="12"/>
      <c r="W30" s="12"/>
      <c r="X30" s="12"/>
      <c r="Y30" s="12"/>
      <c r="Z30" s="12"/>
      <c r="AA30" s="12"/>
      <c r="AB30" s="12"/>
      <c r="AC30" s="12"/>
      <c r="AD30" s="12"/>
    </row>
    <row r="31" spans="1:30" ht="15.75" customHeight="1">
      <c r="A31" s="4"/>
      <c r="B31" s="4"/>
      <c r="C31" s="4"/>
      <c r="D31" s="155"/>
      <c r="E31" s="85"/>
      <c r="F31" s="86"/>
      <c r="G31" s="85"/>
      <c r="H31" s="85"/>
      <c r="I31" s="85"/>
      <c r="J31" s="85"/>
      <c r="K31" s="86"/>
      <c r="L31" s="85"/>
      <c r="M31" s="88"/>
      <c r="N31" s="157"/>
      <c r="O31" s="88"/>
      <c r="P31" s="4"/>
      <c r="Q31" s="4"/>
      <c r="R31" s="12"/>
      <c r="S31" s="12"/>
      <c r="T31" s="12"/>
      <c r="U31" s="12"/>
      <c r="V31" s="12"/>
      <c r="W31" s="12"/>
      <c r="X31" s="12"/>
      <c r="Y31" s="12"/>
      <c r="Z31" s="12"/>
      <c r="AA31" s="12"/>
      <c r="AB31" s="12"/>
      <c r="AC31" s="12"/>
      <c r="AD31" s="12"/>
    </row>
    <row r="32" spans="1:30" ht="15.75" customHeight="1">
      <c r="A32" s="4"/>
      <c r="B32" s="12" t="str">
        <f>Summary!C19</f>
        <v>Net Income (Loss)</v>
      </c>
      <c r="C32" s="12"/>
      <c r="D32" s="155">
        <f>Summary!T19</f>
        <v>-6458.9419999999973</v>
      </c>
      <c r="E32" s="85">
        <f>Summary!U19</f>
        <v>8711.6309999999994</v>
      </c>
      <c r="F32" s="86">
        <f>Summary!V19</f>
        <v>10981.201000000001</v>
      </c>
      <c r="G32" s="85" t="str">
        <f ca="1">Summary!W19</f>
        <v/>
      </c>
      <c r="H32" s="85" t="str">
        <f ca="1">Summary!X19</f>
        <v/>
      </c>
      <c r="I32" s="85" t="str">
        <f ca="1">Summary!Y19</f>
        <v/>
      </c>
      <c r="J32" s="85" t="str">
        <f ca="1">Summary!Z19</f>
        <v/>
      </c>
      <c r="K32" s="86" t="str">
        <f ca="1">Summary!AA19</f>
        <v/>
      </c>
      <c r="L32" s="85"/>
      <c r="M32" s="88" t="str">
        <f>Summary!AC19</f>
        <v>N/A</v>
      </c>
      <c r="N32" s="157"/>
      <c r="O32" s="88" t="str">
        <f ca="1">Summary!AE19</f>
        <v>N/A</v>
      </c>
      <c r="P32" s="4"/>
      <c r="Q32" s="4"/>
      <c r="R32" s="12"/>
      <c r="S32" s="12"/>
      <c r="T32" s="12"/>
      <c r="U32" s="12"/>
      <c r="V32" s="12"/>
      <c r="W32" s="12"/>
      <c r="X32" s="12"/>
      <c r="Y32" s="12"/>
      <c r="Z32" s="12"/>
      <c r="AA32" s="12"/>
      <c r="AB32" s="12"/>
      <c r="AC32" s="12"/>
      <c r="AD32" s="12"/>
    </row>
    <row r="33" spans="1:30" ht="15.75" customHeight="1">
      <c r="A33" s="4"/>
      <c r="B33" s="89" t="str">
        <f>Summary!C20</f>
        <v>Margin</v>
      </c>
      <c r="C33" s="12"/>
      <c r="D33" s="155"/>
      <c r="E33" s="90">
        <f>Summary!U20</f>
        <v>0.22336962115246067</v>
      </c>
      <c r="F33" s="91">
        <f>Summary!V20</f>
        <v>0.24303813935832025</v>
      </c>
      <c r="G33" s="90" t="str">
        <f ca="1">Summary!W20</f>
        <v/>
      </c>
      <c r="H33" s="90" t="str">
        <f ca="1">Summary!X20</f>
        <v/>
      </c>
      <c r="I33" s="90" t="str">
        <f ca="1">Summary!Y20</f>
        <v/>
      </c>
      <c r="J33" s="90" t="str">
        <f ca="1">Summary!Z20</f>
        <v/>
      </c>
      <c r="K33" s="91" t="str">
        <f ca="1">Summary!AA20</f>
        <v/>
      </c>
      <c r="L33" s="90"/>
      <c r="M33" s="88"/>
      <c r="N33" s="157"/>
      <c r="O33" s="88"/>
      <c r="P33" s="4"/>
      <c r="Q33" s="4"/>
      <c r="R33" s="163"/>
      <c r="S33" s="163"/>
      <c r="T33" s="163"/>
      <c r="U33" s="163"/>
      <c r="V33" s="163"/>
      <c r="W33" s="12"/>
      <c r="X33" s="164"/>
      <c r="Y33" s="164"/>
      <c r="Z33" s="164"/>
      <c r="AA33" s="12"/>
      <c r="AB33" s="12"/>
      <c r="AC33" s="12"/>
      <c r="AD33" s="12"/>
    </row>
    <row r="34" spans="1:30" ht="15.75" customHeight="1">
      <c r="A34" s="4"/>
      <c r="B34" s="89" t="str">
        <f>Summary!C21</f>
        <v>YoY % Growth</v>
      </c>
      <c r="C34" s="12"/>
      <c r="D34" s="155"/>
      <c r="E34" s="90">
        <f>Summary!U21</f>
        <v>-2.3487705881241858</v>
      </c>
      <c r="F34" s="91">
        <f>Summary!V21</f>
        <v>0.26052182421408832</v>
      </c>
      <c r="G34" s="90" t="str">
        <f ca="1">Summary!W21</f>
        <v/>
      </c>
      <c r="H34" s="90" t="str">
        <f ca="1">Summary!X21</f>
        <v/>
      </c>
      <c r="I34" s="90" t="str">
        <f ca="1">Summary!Y21</f>
        <v/>
      </c>
      <c r="J34" s="90" t="str">
        <f ca="1">Summary!Z21</f>
        <v/>
      </c>
      <c r="K34" s="91" t="str">
        <f ca="1">Summary!AA21</f>
        <v/>
      </c>
      <c r="L34" s="90"/>
      <c r="M34" s="88"/>
      <c r="N34" s="157"/>
      <c r="O34" s="88"/>
      <c r="P34" s="4"/>
      <c r="Q34" s="4"/>
      <c r="R34" s="164"/>
      <c r="S34" s="164"/>
      <c r="T34" s="164"/>
      <c r="U34" s="164"/>
      <c r="V34" s="164"/>
      <c r="W34" s="12"/>
      <c r="X34" s="12"/>
      <c r="Y34" s="12"/>
      <c r="Z34" s="12"/>
      <c r="AA34" s="12"/>
      <c r="AB34" s="12"/>
      <c r="AC34" s="12"/>
      <c r="AD34" s="12"/>
    </row>
    <row r="35" spans="1:30" ht="15.75" customHeight="1">
      <c r="A35" s="4"/>
      <c r="B35" s="4"/>
      <c r="C35" s="4"/>
      <c r="D35" s="155"/>
      <c r="E35" s="85"/>
      <c r="F35" s="86"/>
      <c r="G35" s="85"/>
      <c r="H35" s="85"/>
      <c r="I35" s="85"/>
      <c r="J35" s="85"/>
      <c r="K35" s="86"/>
      <c r="L35" s="85"/>
      <c r="M35" s="88"/>
      <c r="N35" s="157"/>
      <c r="O35" s="88"/>
      <c r="P35" s="4"/>
      <c r="Q35" s="4"/>
      <c r="R35" s="164"/>
      <c r="S35" s="164"/>
      <c r="T35" s="164"/>
      <c r="U35" s="164"/>
      <c r="V35" s="164"/>
      <c r="W35" s="12"/>
      <c r="X35" s="12"/>
      <c r="Y35" s="12"/>
      <c r="Z35" s="12"/>
      <c r="AA35" s="12"/>
      <c r="AB35" s="12"/>
      <c r="AC35" s="12"/>
      <c r="AD35" s="12"/>
    </row>
    <row r="36" spans="1:30" ht="15.75" customHeight="1">
      <c r="A36" s="4"/>
      <c r="B36" s="12" t="str">
        <f>Summary!C23</f>
        <v>Adj. EPS (Diluted)</v>
      </c>
      <c r="C36" s="12"/>
      <c r="D36" s="155">
        <f>Summary!T23</f>
        <v>-5.7582421972534297</v>
      </c>
      <c r="E36" s="85">
        <f>Summary!U23</f>
        <v>11.11127465667915</v>
      </c>
      <c r="F36" s="86">
        <f>Summary!V23</f>
        <v>15.737428000000003</v>
      </c>
      <c r="G36" s="85" t="str">
        <f ca="1">Summary!W23</f>
        <v/>
      </c>
      <c r="H36" s="85" t="str">
        <f ca="1">Summary!X23</f>
        <v/>
      </c>
      <c r="I36" s="85" t="str">
        <f ca="1">Summary!Y23</f>
        <v/>
      </c>
      <c r="J36" s="85" t="str">
        <f ca="1">Summary!Z23</f>
        <v/>
      </c>
      <c r="K36" s="86" t="str">
        <f ca="1">Summary!AA23</f>
        <v/>
      </c>
      <c r="L36" s="85"/>
      <c r="M36" s="88" t="str">
        <f>Summary!AC23</f>
        <v>N/A</v>
      </c>
      <c r="N36" s="157"/>
      <c r="O36" s="88" t="str">
        <f ca="1">Summary!AE23</f>
        <v>N/A</v>
      </c>
      <c r="P36" s="4"/>
      <c r="Q36" s="4"/>
      <c r="R36" s="12"/>
      <c r="S36" s="12"/>
      <c r="T36" s="12"/>
      <c r="U36" s="12"/>
      <c r="V36" s="12"/>
      <c r="W36" s="12"/>
      <c r="X36" s="12"/>
      <c r="Y36" s="12"/>
      <c r="Z36" s="12"/>
      <c r="AA36" s="12"/>
      <c r="AB36" s="12"/>
      <c r="AC36" s="12"/>
      <c r="AD36" s="12"/>
    </row>
    <row r="37" spans="1:30" ht="15.75" customHeight="1">
      <c r="A37" s="4"/>
      <c r="B37" s="89" t="str">
        <f>Summary!C24</f>
        <v>YoY % Growth</v>
      </c>
      <c r="C37" s="12"/>
      <c r="D37" s="155"/>
      <c r="E37" s="90">
        <f>Summary!U24</f>
        <v>-2.9296296119637022</v>
      </c>
      <c r="F37" s="91">
        <f>Summary!V24</f>
        <v>0.41634767263538075</v>
      </c>
      <c r="G37" s="90" t="str">
        <f ca="1">Summary!W24</f>
        <v>NA</v>
      </c>
      <c r="H37" s="90" t="str">
        <f ca="1">Summary!X24</f>
        <v>NA</v>
      </c>
      <c r="I37" s="90" t="str">
        <f ca="1">Summary!Y24</f>
        <v>NA</v>
      </c>
      <c r="J37" s="90" t="str">
        <f ca="1">Summary!Z24</f>
        <v>NA</v>
      </c>
      <c r="K37" s="91" t="str">
        <f ca="1">Summary!AA24</f>
        <v>NA</v>
      </c>
      <c r="L37" s="90"/>
      <c r="M37" s="165"/>
      <c r="N37" s="4"/>
      <c r="O37" s="165"/>
      <c r="P37" s="4"/>
      <c r="Q37" s="4"/>
      <c r="R37" s="12"/>
      <c r="S37" s="12"/>
      <c r="T37" s="12"/>
      <c r="U37" s="12"/>
      <c r="V37" s="12"/>
      <c r="W37" s="12"/>
      <c r="X37" s="12"/>
      <c r="Y37" s="12"/>
      <c r="Z37" s="12"/>
      <c r="AA37" s="12"/>
      <c r="AB37" s="12"/>
      <c r="AC37" s="12"/>
      <c r="AD37" s="12"/>
    </row>
    <row r="38" spans="1:30" ht="15.75" customHeight="1">
      <c r="A38" s="4"/>
      <c r="B38" s="89"/>
      <c r="C38" s="12"/>
      <c r="D38" s="155"/>
      <c r="E38" s="90"/>
      <c r="F38" s="91"/>
      <c r="G38" s="90"/>
      <c r="H38" s="90"/>
      <c r="I38" s="90"/>
      <c r="J38" s="90"/>
      <c r="K38" s="91"/>
      <c r="L38" s="90"/>
      <c r="M38" s="165"/>
      <c r="N38" s="4"/>
      <c r="O38" s="165"/>
      <c r="P38" s="4"/>
      <c r="Q38" s="12"/>
      <c r="R38" s="12"/>
      <c r="S38" s="12"/>
      <c r="T38" s="12"/>
      <c r="U38" s="12"/>
      <c r="V38" s="12"/>
      <c r="W38" s="12"/>
      <c r="X38" s="12"/>
      <c r="Y38" s="12"/>
      <c r="Z38" s="12"/>
      <c r="AA38" s="12"/>
      <c r="AB38" s="12"/>
      <c r="AC38" s="12"/>
      <c r="AD38" s="4"/>
    </row>
    <row r="39" spans="1:30" ht="15.75" customHeight="1">
      <c r="A39" s="4"/>
      <c r="B39" s="12" t="s">
        <v>151</v>
      </c>
      <c r="C39" s="4"/>
      <c r="D39" s="155">
        <f>Model!J112</f>
        <v>-8074.4669999999987</v>
      </c>
      <c r="E39" s="85">
        <f>Model!O112</f>
        <v>7091.0419999999995</v>
      </c>
      <c r="F39" s="86">
        <f>Model!T112</f>
        <v>6572.2929999999997</v>
      </c>
      <c r="G39" s="85" t="str">
        <f ca="1">Model!Y112</f>
        <v/>
      </c>
      <c r="H39" s="85" t="str">
        <f ca="1">Model!AD112</f>
        <v/>
      </c>
      <c r="I39" s="85" t="str">
        <f ca="1">Model!AE112</f>
        <v/>
      </c>
      <c r="J39" s="85" t="str">
        <f ca="1">Model!AF112</f>
        <v/>
      </c>
      <c r="K39" s="86" t="str">
        <f ca="1">Model!AG112</f>
        <v/>
      </c>
      <c r="L39" s="4"/>
      <c r="M39" s="88" t="str">
        <f>IFERROR((F39/D39)^(1/2)-1,"N/A")</f>
        <v>N/A</v>
      </c>
      <c r="N39" s="4"/>
      <c r="O39" s="88" t="str">
        <f ca="1">IFERROR((K39/G39)^(1/4)-1,"N/A")</f>
        <v>N/A</v>
      </c>
      <c r="P39" s="4"/>
      <c r="Q39" s="4"/>
      <c r="R39" s="12"/>
      <c r="S39" s="12"/>
      <c r="T39" s="12"/>
      <c r="U39" s="12"/>
      <c r="V39" s="12"/>
      <c r="W39" s="12"/>
      <c r="X39" s="12"/>
      <c r="Y39" s="12"/>
      <c r="Z39" s="12"/>
      <c r="AA39" s="12"/>
      <c r="AB39" s="12"/>
      <c r="AC39" s="12"/>
      <c r="AD39" s="12"/>
    </row>
    <row r="40" spans="1:30" ht="15.75" customHeight="1">
      <c r="A40" s="4"/>
      <c r="B40" s="89" t="s">
        <v>107</v>
      </c>
      <c r="C40" s="4"/>
      <c r="D40" s="154"/>
      <c r="E40" s="90">
        <f t="shared" ref="E40:K40" si="1">E39/D39-1</f>
        <v>-1.8782055831053617</v>
      </c>
      <c r="F40" s="91">
        <f t="shared" si="1"/>
        <v>-7.3155539058998631E-2</v>
      </c>
      <c r="G40" s="90" t="str">
        <f t="shared" ca="1" si="1"/>
        <v>#REF!</v>
      </c>
      <c r="H40" s="90" t="str">
        <f t="shared" ca="1" si="1"/>
        <v>#REF!</v>
      </c>
      <c r="I40" s="90" t="str">
        <f t="shared" ca="1" si="1"/>
        <v>#REF!</v>
      </c>
      <c r="J40" s="90" t="str">
        <f t="shared" ca="1" si="1"/>
        <v>#REF!</v>
      </c>
      <c r="K40" s="91" t="str">
        <f t="shared" ca="1" si="1"/>
        <v>#REF!</v>
      </c>
      <c r="L40" s="4"/>
      <c r="M40" s="166"/>
      <c r="N40" s="4"/>
      <c r="O40" s="166"/>
      <c r="P40" s="4"/>
      <c r="Q40" s="4"/>
      <c r="R40" s="12"/>
      <c r="S40" s="12"/>
      <c r="T40" s="12"/>
      <c r="U40" s="12"/>
      <c r="V40" s="12"/>
      <c r="W40" s="12"/>
      <c r="X40" s="12"/>
      <c r="Y40" s="12"/>
      <c r="Z40" s="12"/>
      <c r="AA40" s="12"/>
      <c r="AB40" s="12"/>
      <c r="AC40" s="12"/>
      <c r="AD40" s="12"/>
    </row>
    <row r="41" spans="1:30" ht="4.5" customHeight="1">
      <c r="A41" s="4"/>
      <c r="B41" s="4"/>
      <c r="C41" s="4"/>
      <c r="D41" s="154"/>
      <c r="E41" s="4"/>
      <c r="F41" s="4"/>
      <c r="G41" s="4"/>
      <c r="H41" s="4"/>
      <c r="I41" s="4"/>
      <c r="J41" s="4"/>
      <c r="K41" s="4"/>
      <c r="L41" s="4"/>
      <c r="M41" s="4"/>
      <c r="N41" s="4"/>
      <c r="O41" s="4"/>
      <c r="P41" s="4"/>
      <c r="Q41" s="4"/>
      <c r="R41" s="12"/>
      <c r="S41" s="12"/>
      <c r="T41" s="12"/>
      <c r="U41" s="12"/>
      <c r="V41" s="12"/>
      <c r="W41" s="12"/>
      <c r="X41" s="12"/>
      <c r="Y41" s="12"/>
      <c r="Z41" s="12"/>
      <c r="AA41" s="12"/>
      <c r="AB41" s="12"/>
      <c r="AC41" s="12"/>
      <c r="AD41" s="12"/>
    </row>
    <row r="42" spans="1:30" ht="15.75" customHeight="1">
      <c r="A42" s="4"/>
      <c r="B42" s="146"/>
      <c r="C42" s="147"/>
      <c r="D42" s="167"/>
      <c r="E42" s="905" t="s">
        <v>100</v>
      </c>
      <c r="F42" s="906"/>
      <c r="G42" s="906"/>
      <c r="H42" s="906"/>
      <c r="I42" s="906"/>
      <c r="J42" s="906"/>
      <c r="K42" s="907"/>
      <c r="L42" s="4"/>
      <c r="M42" s="148" t="s">
        <v>152</v>
      </c>
      <c r="N42" s="149"/>
      <c r="O42" s="148" t="s">
        <v>152</v>
      </c>
      <c r="P42" s="4"/>
      <c r="Q42" s="4"/>
      <c r="R42" s="12"/>
      <c r="S42" s="12"/>
      <c r="T42" s="12"/>
      <c r="U42" s="12"/>
      <c r="V42" s="12"/>
      <c r="W42" s="12"/>
      <c r="X42" s="12"/>
      <c r="Y42" s="12"/>
      <c r="Z42" s="12"/>
      <c r="AA42" s="12"/>
      <c r="AB42" s="12"/>
      <c r="AC42" s="12"/>
      <c r="AD42" s="12"/>
    </row>
    <row r="43" spans="1:30" ht="15.75" customHeight="1">
      <c r="A43" s="4"/>
      <c r="B43" s="150" t="s">
        <v>153</v>
      </c>
      <c r="C43" s="151"/>
      <c r="D43" s="168"/>
      <c r="E43" s="151">
        <f t="shared" ref="E43:K43" si="2">E19</f>
        <v>2024</v>
      </c>
      <c r="F43" s="151">
        <f t="shared" si="2"/>
        <v>2025</v>
      </c>
      <c r="G43" s="151" t="str">
        <f t="shared" si="2"/>
        <v>2026e</v>
      </c>
      <c r="H43" s="151" t="str">
        <f t="shared" si="2"/>
        <v>2027e</v>
      </c>
      <c r="I43" s="151" t="str">
        <f t="shared" si="2"/>
        <v>2028e</v>
      </c>
      <c r="J43" s="151" t="str">
        <f t="shared" si="2"/>
        <v>2029e</v>
      </c>
      <c r="K43" s="151" t="str">
        <f t="shared" si="2"/>
        <v>2030e</v>
      </c>
      <c r="L43" s="4"/>
      <c r="M43" s="153" t="s">
        <v>105</v>
      </c>
      <c r="N43" s="149"/>
      <c r="O43" s="153" t="s">
        <v>106</v>
      </c>
      <c r="P43" s="4"/>
      <c r="Q43" s="4"/>
      <c r="R43" s="12"/>
      <c r="S43" s="12"/>
      <c r="T43" s="12"/>
      <c r="U43" s="12"/>
      <c r="V43" s="12"/>
      <c r="W43" s="12"/>
      <c r="X43" s="12"/>
      <c r="Y43" s="12"/>
      <c r="Z43" s="12"/>
      <c r="AA43" s="12"/>
      <c r="AB43" s="12"/>
      <c r="AC43" s="12"/>
      <c r="AD43" s="12"/>
    </row>
    <row r="44" spans="1:30" ht="15.75" customHeight="1">
      <c r="A44" s="12"/>
      <c r="B44" s="100" t="str">
        <f>Summary!C91</f>
        <v>Leverage</v>
      </c>
      <c r="C44" s="100"/>
      <c r="D44" s="154"/>
      <c r="E44" s="12"/>
      <c r="F44" s="12"/>
      <c r="G44" s="12"/>
      <c r="H44" s="12"/>
      <c r="I44" s="12"/>
      <c r="J44" s="12"/>
      <c r="K44" s="12"/>
      <c r="L44" s="12"/>
      <c r="M44" s="4"/>
      <c r="N44" s="4"/>
      <c r="O44" s="4"/>
      <c r="P44" s="12"/>
      <c r="Q44" s="12"/>
      <c r="R44" s="12"/>
      <c r="S44" s="12"/>
      <c r="T44" s="12"/>
      <c r="U44" s="12"/>
      <c r="V44" s="12"/>
      <c r="W44" s="12"/>
      <c r="X44" s="12"/>
      <c r="Y44" s="12"/>
      <c r="Z44" s="12"/>
      <c r="AA44" s="12"/>
      <c r="AB44" s="12"/>
      <c r="AC44" s="12"/>
      <c r="AD44" s="12"/>
    </row>
    <row r="45" spans="1:30" ht="15.75" customHeight="1">
      <c r="A45" s="4"/>
      <c r="B45" s="108" t="str">
        <f>Summary!C92</f>
        <v>Total Debt / EBITDA</v>
      </c>
      <c r="C45" s="4"/>
      <c r="D45" s="155">
        <f>Summary!T92</f>
        <v>-5.7210239603171154</v>
      </c>
      <c r="E45" s="125">
        <f>Summary!U92</f>
        <v>1.588016052633793</v>
      </c>
      <c r="F45" s="126">
        <f>Summary!V92</f>
        <v>0.99868621866442298</v>
      </c>
      <c r="G45" s="125" t="str">
        <f ca="1">Summary!W92</f>
        <v>NA</v>
      </c>
      <c r="H45" s="125" t="str">
        <f ca="1">Summary!X92</f>
        <v>NA</v>
      </c>
      <c r="I45" s="125" t="str">
        <f ca="1">Summary!Y92</f>
        <v>NA</v>
      </c>
      <c r="J45" s="125" t="str">
        <f ca="1">Summary!Z92</f>
        <v>NA</v>
      </c>
      <c r="K45" s="126" t="str">
        <f ca="1">Summary!AA92</f>
        <v>NA</v>
      </c>
      <c r="L45" s="4"/>
      <c r="M45" s="169">
        <f t="shared" ref="M45:M47" si="3">AVERAGE(D45:F45)</f>
        <v>-1.0447738963396331</v>
      </c>
      <c r="N45" s="157"/>
      <c r="O45" s="169" t="str">
        <f t="shared" ref="O45:O47" ca="1" si="4">AVERAGE(G45:K45)</f>
        <v/>
      </c>
      <c r="P45" s="4"/>
      <c r="Q45" s="4"/>
      <c r="R45" s="12"/>
      <c r="S45" s="12"/>
      <c r="T45" s="12"/>
      <c r="U45" s="12"/>
      <c r="V45" s="12"/>
      <c r="W45" s="12"/>
      <c r="X45" s="12"/>
      <c r="Y45" s="12"/>
      <c r="Z45" s="12"/>
      <c r="AA45" s="12"/>
      <c r="AB45" s="12"/>
      <c r="AC45" s="12"/>
      <c r="AD45" s="12"/>
    </row>
    <row r="46" spans="1:30" ht="13.5" customHeight="1">
      <c r="A46" s="4"/>
      <c r="B46" s="108" t="str">
        <f>Summary!C93</f>
        <v>Total Debt / Equity</v>
      </c>
      <c r="C46" s="4"/>
      <c r="D46" s="155">
        <f>Summary!T93</f>
        <v>0.75290287261515787</v>
      </c>
      <c r="E46" s="125">
        <f>Summary!U93</f>
        <v>0.70179857253402467</v>
      </c>
      <c r="F46" s="126">
        <f>Summary!V93</f>
        <v>0.54339924182491028</v>
      </c>
      <c r="G46" s="125" t="str">
        <f ca="1">Summary!W93</f>
        <v>NA</v>
      </c>
      <c r="H46" s="125" t="str">
        <f ca="1">Summary!X93</f>
        <v>NA</v>
      </c>
      <c r="I46" s="125" t="str">
        <f ca="1">Summary!Y93</f>
        <v>NA</v>
      </c>
      <c r="J46" s="125" t="str">
        <f ca="1">Summary!Z93</f>
        <v>NA</v>
      </c>
      <c r="K46" s="126" t="str">
        <f ca="1">Summary!AA93</f>
        <v>NA</v>
      </c>
      <c r="L46" s="4"/>
      <c r="M46" s="170">
        <f t="shared" si="3"/>
        <v>0.66603356232469757</v>
      </c>
      <c r="N46" s="157"/>
      <c r="O46" s="170" t="str">
        <f t="shared" ca="1" si="4"/>
        <v>#DIV/0!</v>
      </c>
      <c r="P46" s="4"/>
      <c r="Q46" s="4"/>
      <c r="R46" s="12"/>
      <c r="S46" s="12"/>
      <c r="T46" s="12"/>
      <c r="U46" s="12"/>
      <c r="V46" s="12"/>
      <c r="W46" s="12"/>
      <c r="X46" s="12"/>
      <c r="Y46" s="12"/>
      <c r="Z46" s="12"/>
      <c r="AA46" s="12"/>
      <c r="AB46" s="12"/>
      <c r="AC46" s="12"/>
      <c r="AD46" s="12"/>
    </row>
    <row r="47" spans="1:30" ht="13.5" customHeight="1">
      <c r="A47" s="4"/>
      <c r="B47" s="108" t="str">
        <f>Summary!C94</f>
        <v>Total Debt / Total Assets</v>
      </c>
      <c r="C47" s="4"/>
      <c r="D47" s="155">
        <f>Summary!T94</f>
        <v>0.30341335621640159</v>
      </c>
      <c r="E47" s="125">
        <f>Summary!U94</f>
        <v>0.29491754740555437</v>
      </c>
      <c r="F47" s="126">
        <f>Summary!V94</f>
        <v>0.24280161761466051</v>
      </c>
      <c r="G47" s="125" t="str">
        <f ca="1">Summary!W94</f>
        <v>NA</v>
      </c>
      <c r="H47" s="125" t="str">
        <f ca="1">Summary!X94</f>
        <v>NA</v>
      </c>
      <c r="I47" s="125" t="str">
        <f ca="1">Summary!Y94</f>
        <v>NA</v>
      </c>
      <c r="J47" s="125" t="str">
        <f ca="1">Summary!Z94</f>
        <v>NA</v>
      </c>
      <c r="K47" s="126" t="str">
        <f ca="1">Summary!AA94</f>
        <v>NA</v>
      </c>
      <c r="L47" s="4"/>
      <c r="M47" s="170">
        <f t="shared" si="3"/>
        <v>0.28037750707887216</v>
      </c>
      <c r="N47" s="157"/>
      <c r="O47" s="170" t="str">
        <f t="shared" ca="1" si="4"/>
        <v>#DIV/0!</v>
      </c>
      <c r="P47" s="4"/>
      <c r="Q47" s="4"/>
      <c r="R47" s="12"/>
      <c r="S47" s="12"/>
      <c r="T47" s="12"/>
      <c r="U47" s="12"/>
      <c r="V47" s="12"/>
      <c r="W47" s="12"/>
      <c r="X47" s="12"/>
      <c r="Y47" s="12"/>
      <c r="Z47" s="12"/>
      <c r="AA47" s="12"/>
      <c r="AB47" s="12"/>
      <c r="AC47" s="12"/>
      <c r="AD47" s="12"/>
    </row>
    <row r="48" spans="1:30" ht="13.5" customHeight="1">
      <c r="A48" s="4"/>
      <c r="B48" s="4"/>
      <c r="C48" s="4"/>
      <c r="D48" s="155"/>
      <c r="E48" s="4"/>
      <c r="F48" s="159"/>
      <c r="G48" s="4"/>
      <c r="H48" s="4"/>
      <c r="I48" s="4"/>
      <c r="J48" s="4"/>
      <c r="K48" s="159"/>
      <c r="L48" s="4"/>
      <c r="M48" s="88"/>
      <c r="N48" s="157"/>
      <c r="O48" s="88"/>
      <c r="P48" s="4"/>
      <c r="Q48" s="4"/>
      <c r="R48" s="12"/>
      <c r="S48" s="12"/>
      <c r="T48" s="12"/>
      <c r="U48" s="12"/>
      <c r="V48" s="12"/>
      <c r="W48" s="12"/>
      <c r="X48" s="12"/>
      <c r="Y48" s="12"/>
      <c r="Z48" s="12"/>
      <c r="AA48" s="12"/>
      <c r="AB48" s="12"/>
      <c r="AC48" s="12"/>
      <c r="AD48" s="12"/>
    </row>
    <row r="49" spans="1:30" ht="13.5" customHeight="1">
      <c r="A49" s="4"/>
      <c r="B49" s="100" t="str">
        <f>Summary!C103</f>
        <v>Liquidity</v>
      </c>
      <c r="C49" s="30"/>
      <c r="D49" s="155"/>
      <c r="E49" s="4"/>
      <c r="F49" s="159"/>
      <c r="G49" s="4"/>
      <c r="H49" s="4"/>
      <c r="I49" s="4"/>
      <c r="J49" s="4"/>
      <c r="K49" s="159"/>
      <c r="L49" s="4"/>
      <c r="M49" s="88"/>
      <c r="N49" s="157"/>
      <c r="O49" s="88"/>
      <c r="P49" s="4"/>
      <c r="Q49" s="4"/>
      <c r="R49" s="12"/>
      <c r="S49" s="12"/>
      <c r="T49" s="12"/>
      <c r="U49" s="12"/>
      <c r="V49" s="12"/>
      <c r="W49" s="12"/>
      <c r="X49" s="12"/>
      <c r="Y49" s="12"/>
      <c r="Z49" s="12"/>
      <c r="AA49" s="12"/>
      <c r="AB49" s="12"/>
      <c r="AC49" s="12"/>
      <c r="AD49" s="12"/>
    </row>
    <row r="50" spans="1:30" ht="13.5" customHeight="1">
      <c r="A50" s="4"/>
      <c r="B50" s="108" t="str">
        <f>Summary!C104</f>
        <v>Current Ratio</v>
      </c>
      <c r="C50" s="4"/>
      <c r="D50" s="155">
        <f>Summary!T104</f>
        <v>2.2996090532274116</v>
      </c>
      <c r="E50" s="125">
        <f>Summary!U104</f>
        <v>2.0810607958119487</v>
      </c>
      <c r="F50" s="126">
        <f>Summary!V104</f>
        <v>2.1194250825894208</v>
      </c>
      <c r="G50" s="125" t="str">
        <f ca="1">Summary!W104</f>
        <v>NA</v>
      </c>
      <c r="H50" s="125" t="str">
        <f ca="1">Summary!X104</f>
        <v>NA</v>
      </c>
      <c r="I50" s="125" t="str">
        <f ca="1">Summary!Y104</f>
        <v>NA</v>
      </c>
      <c r="J50" s="125" t="str">
        <f ca="1">Summary!Z104</f>
        <v>NA</v>
      </c>
      <c r="K50" s="126" t="str">
        <f ca="1">Summary!AA104</f>
        <v>NA</v>
      </c>
      <c r="L50" s="4"/>
      <c r="M50" s="170">
        <f t="shared" ref="M50:M52" si="5">AVERAGE(D50:F50)</f>
        <v>2.1666983105429272</v>
      </c>
      <c r="N50" s="157"/>
      <c r="O50" s="170" t="str">
        <f t="shared" ref="O50:O52" ca="1" si="6">AVERAGE(G50:K50)</f>
        <v/>
      </c>
      <c r="P50" s="4"/>
      <c r="Q50" s="4"/>
      <c r="R50" s="12"/>
      <c r="S50" s="12"/>
      <c r="T50" s="12"/>
      <c r="U50" s="12"/>
      <c r="V50" s="12"/>
      <c r="W50" s="12"/>
      <c r="X50" s="12"/>
      <c r="Y50" s="12"/>
      <c r="Z50" s="12"/>
      <c r="AA50" s="12"/>
      <c r="AB50" s="12"/>
      <c r="AC50" s="12"/>
      <c r="AD50" s="12"/>
    </row>
    <row r="51" spans="1:30" ht="13.5" customHeight="1">
      <c r="A51" s="4"/>
      <c r="B51" s="108" t="str">
        <f>Summary!C105</f>
        <v>Quick Ratio</v>
      </c>
      <c r="C51" s="4"/>
      <c r="D51" s="155">
        <f>Summary!T105</f>
        <v>0.10418197003103451</v>
      </c>
      <c r="E51" s="125">
        <f>Summary!U105</f>
        <v>9.4209219533614899E-2</v>
      </c>
      <c r="F51" s="126">
        <f>Summary!V105</f>
        <v>0.65539605377281396</v>
      </c>
      <c r="G51" s="125" t="str">
        <f ca="1">Summary!W105</f>
        <v>NA</v>
      </c>
      <c r="H51" s="125" t="str">
        <f ca="1">Summary!X105</f>
        <v>NA</v>
      </c>
      <c r="I51" s="125" t="str">
        <f ca="1">Summary!Y105</f>
        <v>NA</v>
      </c>
      <c r="J51" s="125" t="str">
        <f ca="1">Summary!Z105</f>
        <v>NA</v>
      </c>
      <c r="K51" s="126" t="str">
        <f ca="1">Summary!AA105</f>
        <v>NA</v>
      </c>
      <c r="L51" s="4"/>
      <c r="M51" s="170">
        <f t="shared" si="5"/>
        <v>0.28459574777915447</v>
      </c>
      <c r="N51" s="157"/>
      <c r="O51" s="170" t="str">
        <f t="shared" ca="1" si="6"/>
        <v>#DIV/0!</v>
      </c>
      <c r="P51" s="4"/>
      <c r="Q51" s="4"/>
      <c r="R51" s="12"/>
      <c r="S51" s="12"/>
      <c r="T51" s="12"/>
      <c r="U51" s="12"/>
      <c r="V51" s="12"/>
      <c r="W51" s="12"/>
      <c r="X51" s="12"/>
      <c r="Y51" s="12"/>
      <c r="Z51" s="12"/>
      <c r="AA51" s="12"/>
      <c r="AB51" s="12"/>
      <c r="AC51" s="12"/>
      <c r="AD51" s="12"/>
    </row>
    <row r="52" spans="1:30" ht="13.5" customHeight="1">
      <c r="A52" s="4"/>
      <c r="B52" s="108" t="str">
        <f>Summary!C106</f>
        <v>Cash Ratio</v>
      </c>
      <c r="C52" s="4"/>
      <c r="D52" s="155">
        <f>Summary!T106</f>
        <v>0.10418197003103451</v>
      </c>
      <c r="E52" s="125">
        <f>Summary!U106</f>
        <v>9.4209219533614899E-2</v>
      </c>
      <c r="F52" s="126">
        <f>Summary!V106</f>
        <v>0.65539605377281396</v>
      </c>
      <c r="G52" s="125" t="str">
        <f ca="1">Summary!W106</f>
        <v>NA</v>
      </c>
      <c r="H52" s="125" t="str">
        <f ca="1">Summary!X106</f>
        <v>NA</v>
      </c>
      <c r="I52" s="125" t="str">
        <f ca="1">Summary!Y106</f>
        <v>NA</v>
      </c>
      <c r="J52" s="125" t="str">
        <f ca="1">Summary!Z106</f>
        <v>NA</v>
      </c>
      <c r="K52" s="126" t="str">
        <f ca="1">Summary!AA106</f>
        <v>NA</v>
      </c>
      <c r="L52" s="4"/>
      <c r="M52" s="170">
        <f t="shared" si="5"/>
        <v>0.28459574777915447</v>
      </c>
      <c r="N52" s="157"/>
      <c r="O52" s="170" t="str">
        <f t="shared" ca="1" si="6"/>
        <v>#DIV/0!</v>
      </c>
      <c r="P52" s="4"/>
      <c r="Q52" s="4"/>
      <c r="R52" s="12"/>
      <c r="S52" s="12"/>
      <c r="T52" s="12"/>
      <c r="U52" s="12"/>
      <c r="V52" s="12"/>
      <c r="W52" s="12"/>
      <c r="X52" s="12"/>
      <c r="Y52" s="12"/>
      <c r="Z52" s="12"/>
      <c r="AA52" s="12"/>
      <c r="AB52" s="12"/>
      <c r="AC52" s="12"/>
      <c r="AD52" s="12"/>
    </row>
    <row r="53" spans="1:30" ht="13.5" customHeight="1">
      <c r="A53" s="4"/>
      <c r="B53" s="4"/>
      <c r="C53" s="4"/>
      <c r="D53" s="155"/>
      <c r="E53" s="4"/>
      <c r="F53" s="159"/>
      <c r="G53" s="4"/>
      <c r="H53" s="4"/>
      <c r="I53" s="4"/>
      <c r="J53" s="4"/>
      <c r="K53" s="159"/>
      <c r="L53" s="4"/>
      <c r="M53" s="88"/>
      <c r="N53" s="157"/>
      <c r="O53" s="88"/>
      <c r="P53" s="4"/>
      <c r="Q53" s="4"/>
      <c r="R53" s="12"/>
      <c r="S53" s="12"/>
      <c r="T53" s="12"/>
      <c r="U53" s="12"/>
      <c r="V53" s="12"/>
      <c r="W53" s="12"/>
      <c r="X53" s="12"/>
      <c r="Y53" s="12"/>
      <c r="Z53" s="12"/>
      <c r="AA53" s="12"/>
      <c r="AB53" s="12"/>
      <c r="AC53" s="12"/>
      <c r="AD53" s="12"/>
    </row>
    <row r="54" spans="1:30" ht="13.5" customHeight="1">
      <c r="A54" s="4"/>
      <c r="B54" s="100" t="str">
        <f>Summary!C75</f>
        <v>Profitability</v>
      </c>
      <c r="C54" s="100"/>
      <c r="D54" s="155"/>
      <c r="E54" s="4"/>
      <c r="F54" s="159"/>
      <c r="G54" s="4"/>
      <c r="H54" s="4"/>
      <c r="I54" s="4"/>
      <c r="J54" s="4"/>
      <c r="K54" s="159"/>
      <c r="L54" s="4"/>
      <c r="M54" s="88"/>
      <c r="N54" s="157"/>
      <c r="O54" s="88"/>
      <c r="P54" s="4"/>
      <c r="Q54" s="4"/>
      <c r="R54" s="12"/>
      <c r="S54" s="12"/>
      <c r="T54" s="12"/>
      <c r="U54" s="12"/>
      <c r="V54" s="12"/>
      <c r="W54" s="12"/>
      <c r="X54" s="12"/>
      <c r="Y54" s="12"/>
      <c r="Z54" s="12"/>
      <c r="AA54" s="12"/>
      <c r="AB54" s="12"/>
      <c r="AC54" s="12"/>
      <c r="AD54" s="12"/>
    </row>
    <row r="55" spans="1:30" ht="13.5" customHeight="1">
      <c r="A55" s="4"/>
      <c r="B55" s="108" t="str">
        <f>Summary!C80</f>
        <v>Return on Assets (ROA)</v>
      </c>
      <c r="C55" s="4"/>
      <c r="D55" s="155">
        <f>Summary!T80</f>
        <v>-0.1264259899249775</v>
      </c>
      <c r="E55" s="122">
        <f>Summary!U80</f>
        <v>0.14795351848097879</v>
      </c>
      <c r="F55" s="123">
        <f>Summary!V80</f>
        <v>0.18435204313674911</v>
      </c>
      <c r="G55" s="122" t="str">
        <f ca="1">Summary!W80</f>
        <v/>
      </c>
      <c r="H55" s="122" t="str">
        <f ca="1">Summary!X80</f>
        <v/>
      </c>
      <c r="I55" s="122" t="str">
        <f ca="1">Summary!Y80</f>
        <v/>
      </c>
      <c r="J55" s="122" t="str">
        <f ca="1">Summary!Z80</f>
        <v/>
      </c>
      <c r="K55" s="123" t="str">
        <f ca="1">Summary!AA80</f>
        <v/>
      </c>
      <c r="L55" s="4"/>
      <c r="M55" s="88">
        <f t="shared" ref="M55:M57" si="7">AVERAGE(D55:F55)</f>
        <v>6.8626523897583461E-2</v>
      </c>
      <c r="N55" s="157"/>
      <c r="O55" s="88" t="str">
        <f t="shared" ref="O55:O57" ca="1" si="8">AVERAGE(G55:K55)</f>
        <v/>
      </c>
      <c r="P55" s="4"/>
      <c r="Q55" s="4"/>
      <c r="R55" s="12"/>
      <c r="S55" s="12"/>
      <c r="T55" s="12"/>
      <c r="U55" s="12"/>
      <c r="V55" s="12"/>
      <c r="W55" s="12"/>
      <c r="X55" s="12"/>
      <c r="Y55" s="12"/>
      <c r="Z55" s="12"/>
      <c r="AA55" s="12"/>
      <c r="AB55" s="12"/>
      <c r="AC55" s="12"/>
      <c r="AD55" s="12"/>
    </row>
    <row r="56" spans="1:30" ht="13.5" customHeight="1">
      <c r="A56" s="4"/>
      <c r="B56" s="108" t="str">
        <f>Summary!C81</f>
        <v>Return on Equity (ROE)</v>
      </c>
      <c r="C56" s="4"/>
      <c r="D56" s="155">
        <f>Summary!T81</f>
        <v>-0.31371885593540361</v>
      </c>
      <c r="E56" s="122">
        <f>Summary!U81</f>
        <v>0.35207660237507382</v>
      </c>
      <c r="F56" s="123">
        <f>Summary!V81</f>
        <v>0.41258687422902035</v>
      </c>
      <c r="G56" s="122" t="str">
        <f ca="1">Summary!W81</f>
        <v/>
      </c>
      <c r="H56" s="122" t="str">
        <f ca="1">Summary!X81</f>
        <v/>
      </c>
      <c r="I56" s="122" t="str">
        <f ca="1">Summary!Y81</f>
        <v/>
      </c>
      <c r="J56" s="122" t="str">
        <f ca="1">Summary!Z81</f>
        <v/>
      </c>
      <c r="K56" s="123" t="str">
        <f ca="1">Summary!AA81</f>
        <v/>
      </c>
      <c r="L56" s="4"/>
      <c r="M56" s="88">
        <f t="shared" si="7"/>
        <v>0.15031487355623019</v>
      </c>
      <c r="N56" s="157"/>
      <c r="O56" s="88" t="str">
        <f t="shared" ca="1" si="8"/>
        <v>#REF!</v>
      </c>
      <c r="P56" s="4"/>
      <c r="Q56" s="4"/>
      <c r="R56" s="12"/>
      <c r="S56" s="12"/>
      <c r="T56" s="12"/>
      <c r="U56" s="12"/>
      <c r="V56" s="12"/>
      <c r="W56" s="12"/>
      <c r="X56" s="12"/>
      <c r="Y56" s="12"/>
      <c r="Z56" s="12"/>
      <c r="AA56" s="12"/>
      <c r="AB56" s="12"/>
      <c r="AC56" s="12"/>
      <c r="AD56" s="12"/>
    </row>
    <row r="57" spans="1:30" ht="13.5" customHeight="1">
      <c r="A57" s="4"/>
      <c r="B57" s="108" t="s">
        <v>154</v>
      </c>
      <c r="C57" s="4"/>
      <c r="D57" s="155">
        <f>Summary!T82</f>
        <v>-0.17897104331135361</v>
      </c>
      <c r="E57" s="122">
        <f>Summary!U82</f>
        <v>0.20688500275965219</v>
      </c>
      <c r="F57" s="123">
        <f>Summary!V82</f>
        <v>0.26732349158159424</v>
      </c>
      <c r="G57" s="122" t="str">
        <f ca="1">Summary!W82</f>
        <v/>
      </c>
      <c r="H57" s="122" t="str">
        <f ca="1">Summary!X82</f>
        <v/>
      </c>
      <c r="I57" s="122" t="str">
        <f ca="1">Summary!Y82</f>
        <v/>
      </c>
      <c r="J57" s="122" t="str">
        <f ca="1">Summary!Z82</f>
        <v/>
      </c>
      <c r="K57" s="123" t="str">
        <f ca="1">Summary!AA82</f>
        <v/>
      </c>
      <c r="L57" s="4"/>
      <c r="M57" s="88">
        <f t="shared" si="7"/>
        <v>9.8412483676630955E-2</v>
      </c>
      <c r="N57" s="157"/>
      <c r="O57" s="88" t="str">
        <f t="shared" ca="1" si="8"/>
        <v>#REF!</v>
      </c>
      <c r="P57" s="4"/>
      <c r="Q57" s="4"/>
      <c r="R57" s="12"/>
      <c r="S57" s="12"/>
      <c r="T57" s="12"/>
      <c r="U57" s="12"/>
      <c r="V57" s="12"/>
      <c r="W57" s="12"/>
      <c r="X57" s="12"/>
      <c r="Y57" s="12"/>
      <c r="Z57" s="12"/>
      <c r="AA57" s="12"/>
      <c r="AB57" s="12"/>
      <c r="AC57" s="12"/>
      <c r="AD57" s="12"/>
    </row>
    <row r="58" spans="1:30" ht="15" customHeight="1">
      <c r="A58" s="4"/>
      <c r="B58" s="4"/>
      <c r="C58" s="4"/>
      <c r="D58" s="4"/>
      <c r="E58" s="4"/>
      <c r="F58" s="159"/>
      <c r="G58" s="4"/>
      <c r="H58" s="4"/>
      <c r="I58" s="4"/>
      <c r="J58" s="4"/>
      <c r="K58" s="159"/>
      <c r="L58" s="4"/>
      <c r="M58" s="88"/>
      <c r="N58" s="157"/>
      <c r="O58" s="88"/>
      <c r="P58" s="4"/>
      <c r="Q58" s="4"/>
      <c r="R58" s="12"/>
      <c r="S58" s="12"/>
      <c r="T58" s="12"/>
      <c r="U58" s="12"/>
      <c r="V58" s="12"/>
      <c r="W58" s="12"/>
      <c r="X58" s="12"/>
      <c r="Y58" s="12"/>
      <c r="Z58" s="12"/>
      <c r="AA58" s="12"/>
      <c r="AB58" s="12"/>
      <c r="AC58" s="12"/>
      <c r="AD58" s="12"/>
    </row>
    <row r="59" spans="1:30" ht="13.5" customHeight="1">
      <c r="A59" s="4"/>
      <c r="B59" s="100" t="str">
        <f>Summary!C84</f>
        <v>Coverage</v>
      </c>
      <c r="C59" s="100"/>
      <c r="D59" s="155"/>
      <c r="E59" s="4"/>
      <c r="F59" s="159"/>
      <c r="G59" s="4"/>
      <c r="H59" s="4"/>
      <c r="I59" s="4"/>
      <c r="J59" s="4"/>
      <c r="K59" s="159"/>
      <c r="L59" s="4"/>
      <c r="M59" s="88"/>
      <c r="N59" s="157"/>
      <c r="O59" s="88"/>
      <c r="P59" s="4"/>
      <c r="Q59" s="4"/>
      <c r="R59" s="12"/>
      <c r="S59" s="12"/>
      <c r="T59" s="12"/>
      <c r="U59" s="12"/>
      <c r="V59" s="12"/>
      <c r="W59" s="12"/>
      <c r="X59" s="12"/>
      <c r="Y59" s="12"/>
      <c r="Z59" s="12"/>
      <c r="AA59" s="12"/>
      <c r="AB59" s="12"/>
      <c r="AC59" s="12"/>
      <c r="AD59" s="12"/>
    </row>
    <row r="60" spans="1:30" ht="13.5" customHeight="1">
      <c r="A60" s="4"/>
      <c r="B60" s="108" t="s">
        <v>120</v>
      </c>
      <c r="C60" s="4"/>
      <c r="D60" s="155">
        <f>Summary!T85</f>
        <v>699.8</v>
      </c>
      <c r="E60" s="85">
        <f>Summary!U85</f>
        <v>709.13</v>
      </c>
      <c r="F60" s="86">
        <f>Summary!V85</f>
        <v>849</v>
      </c>
      <c r="G60" s="85" t="str">
        <f ca="1">Summary!W85</f>
        <v/>
      </c>
      <c r="H60" s="85" t="str">
        <f ca="1">Summary!X85</f>
        <v/>
      </c>
      <c r="I60" s="85" t="str">
        <f ca="1">Summary!Y85</f>
        <v/>
      </c>
      <c r="J60" s="85" t="str">
        <f ca="1">Summary!Z85</f>
        <v/>
      </c>
      <c r="K60" s="86" t="str">
        <f ca="1">Summary!AA85</f>
        <v/>
      </c>
      <c r="L60" s="4"/>
      <c r="M60" s="171">
        <f t="shared" ref="M60:M64" si="9">AVERAGE(D60:F60)</f>
        <v>752.64333333333332</v>
      </c>
      <c r="N60" s="85"/>
      <c r="O60" s="171" t="str">
        <f t="shared" ref="O60:O64" ca="1" si="10">AVERAGE(G60:K60)</f>
        <v/>
      </c>
      <c r="P60" s="4"/>
      <c r="Q60" s="4"/>
      <c r="R60" s="12"/>
      <c r="S60" s="12"/>
      <c r="T60" s="12"/>
      <c r="U60" s="12"/>
      <c r="V60" s="12"/>
      <c r="W60" s="12"/>
      <c r="X60" s="12"/>
      <c r="Y60" s="12"/>
      <c r="Z60" s="12"/>
      <c r="AA60" s="12"/>
      <c r="AB60" s="12"/>
      <c r="AC60" s="12"/>
      <c r="AD60" s="12"/>
    </row>
    <row r="61" spans="1:30" ht="13.5" customHeight="1">
      <c r="A61" s="4"/>
      <c r="B61" s="108" t="s">
        <v>121</v>
      </c>
      <c r="C61" s="4"/>
      <c r="D61" s="155">
        <f>Summary!T86</f>
        <v>1174</v>
      </c>
      <c r="E61" s="105">
        <f>Summary!U86</f>
        <v>1484</v>
      </c>
      <c r="F61" s="106">
        <f>Summary!V86</f>
        <v>1729</v>
      </c>
      <c r="G61" s="105">
        <f>Summary!W86</f>
        <v>1626.1257000000001</v>
      </c>
      <c r="H61" s="105">
        <f>Summary!X86</f>
        <v>2115.3026534942401</v>
      </c>
      <c r="I61" s="105">
        <f>Summary!Y86</f>
        <v>2146.8311554730876</v>
      </c>
      <c r="J61" s="105">
        <f>Summary!Z86</f>
        <v>2189.7677785825495</v>
      </c>
      <c r="K61" s="106">
        <f>Summary!AA86</f>
        <v>2345.2412908619103</v>
      </c>
      <c r="L61" s="4"/>
      <c r="M61" s="172">
        <f t="shared" si="9"/>
        <v>1462.3333333333333</v>
      </c>
      <c r="N61" s="105"/>
      <c r="O61" s="172">
        <f t="shared" si="10"/>
        <v>2084.6537156823574</v>
      </c>
      <c r="P61" s="4"/>
      <c r="Q61" s="4"/>
      <c r="R61" s="12"/>
      <c r="S61" s="12"/>
      <c r="T61" s="12"/>
      <c r="U61" s="12"/>
      <c r="V61" s="12"/>
      <c r="W61" s="12"/>
      <c r="X61" s="12"/>
      <c r="Y61" s="12"/>
      <c r="Z61" s="12"/>
      <c r="AA61" s="12"/>
      <c r="AB61" s="12"/>
      <c r="AC61" s="12"/>
      <c r="AD61" s="12"/>
    </row>
    <row r="62" spans="1:30" ht="13.5" customHeight="1">
      <c r="A62" s="4"/>
      <c r="B62" s="108" t="s">
        <v>155</v>
      </c>
      <c r="C62" s="4"/>
      <c r="D62" s="155">
        <f>Summary!T87</f>
        <v>-7.0205344384109711</v>
      </c>
      <c r="E62" s="125">
        <f>Summary!U87</f>
        <v>14.690697051316404</v>
      </c>
      <c r="F62" s="126">
        <f>Summary!V87</f>
        <v>15.696823321554772</v>
      </c>
      <c r="G62" s="125" t="str">
        <f ca="1">Summary!W87</f>
        <v>N/A</v>
      </c>
      <c r="H62" s="125" t="str">
        <f ca="1">Summary!X87</f>
        <v>N/A</v>
      </c>
      <c r="I62" s="125" t="str">
        <f ca="1">Summary!Y87</f>
        <v>N/A</v>
      </c>
      <c r="J62" s="125" t="str">
        <f ca="1">Summary!Z87</f>
        <v>N/A</v>
      </c>
      <c r="K62" s="126" t="str">
        <f ca="1">Summary!AA87</f>
        <v>N/A</v>
      </c>
      <c r="L62" s="4"/>
      <c r="M62" s="170">
        <f t="shared" si="9"/>
        <v>7.7889953114867341</v>
      </c>
      <c r="N62" s="125"/>
      <c r="O62" s="170" t="str">
        <f t="shared" ca="1" si="10"/>
        <v>#DIV/0!</v>
      </c>
      <c r="P62" s="4"/>
      <c r="Q62" s="4"/>
      <c r="R62" s="12"/>
      <c r="S62" s="12"/>
      <c r="T62" s="12"/>
      <c r="U62" s="12"/>
      <c r="V62" s="12"/>
      <c r="W62" s="12"/>
      <c r="X62" s="12"/>
      <c r="Y62" s="12"/>
      <c r="Z62" s="12"/>
      <c r="AA62" s="12"/>
      <c r="AB62" s="12"/>
      <c r="AC62" s="12"/>
      <c r="AD62" s="12"/>
    </row>
    <row r="63" spans="1:30" ht="13.5" customHeight="1">
      <c r="A63" s="4"/>
      <c r="B63" s="108" t="s">
        <v>156</v>
      </c>
      <c r="C63" s="4"/>
      <c r="D63" s="155">
        <f>Summary!T88</f>
        <v>-3.8717919405544396</v>
      </c>
      <c r="E63" s="125">
        <f>Summary!U88</f>
        <v>15.42034323748819</v>
      </c>
      <c r="F63" s="126">
        <f>Summary!V88</f>
        <v>17.057552414605418</v>
      </c>
      <c r="G63" s="125" t="str">
        <f ca="1">Summary!W88</f>
        <v>N/A</v>
      </c>
      <c r="H63" s="125" t="str">
        <f ca="1">Summary!X88</f>
        <v>N/A</v>
      </c>
      <c r="I63" s="125" t="str">
        <f ca="1">Summary!Y88</f>
        <v>N/A</v>
      </c>
      <c r="J63" s="125" t="str">
        <f ca="1">Summary!Z88</f>
        <v>N/A</v>
      </c>
      <c r="K63" s="126" t="str">
        <f ca="1">Summary!AA88</f>
        <v>N/A</v>
      </c>
      <c r="L63" s="4"/>
      <c r="M63" s="170">
        <f t="shared" si="9"/>
        <v>9.5353679038463905</v>
      </c>
      <c r="N63" s="125"/>
      <c r="O63" s="170" t="str">
        <f t="shared" ca="1" si="10"/>
        <v>#DIV/0!</v>
      </c>
      <c r="P63" s="4"/>
      <c r="Q63" s="4"/>
      <c r="R63" s="12"/>
      <c r="S63" s="12"/>
      <c r="T63" s="12"/>
      <c r="U63" s="12"/>
      <c r="V63" s="12"/>
      <c r="W63" s="12"/>
      <c r="X63" s="12"/>
      <c r="Y63" s="12"/>
      <c r="Z63" s="12"/>
      <c r="AA63" s="12"/>
      <c r="AB63" s="12"/>
      <c r="AC63" s="12"/>
      <c r="AD63" s="12"/>
    </row>
    <row r="64" spans="1:30" ht="13.5" customHeight="1">
      <c r="A64" s="4"/>
      <c r="B64" s="108" t="s">
        <v>157</v>
      </c>
      <c r="D64" s="155">
        <f>Summary!T89</f>
        <v>-5.5494141183195156</v>
      </c>
      <c r="E64" s="125">
        <f>Summary!U89</f>
        <v>13.327638091746225</v>
      </c>
      <c r="F64" s="126">
        <f>Summary!V89</f>
        <v>15.021038869257952</v>
      </c>
      <c r="G64" s="125" t="str">
        <f ca="1">Summary!W89</f>
        <v>N/A</v>
      </c>
      <c r="H64" s="125" t="str">
        <f ca="1">Summary!X89</f>
        <v>N/A</v>
      </c>
      <c r="I64" s="125" t="str">
        <f ca="1">Summary!Y89</f>
        <v>N/A</v>
      </c>
      <c r="J64" s="125" t="str">
        <f ca="1">Summary!Z89</f>
        <v>N/A</v>
      </c>
      <c r="K64" s="126" t="str">
        <f ca="1">Summary!AA89</f>
        <v>N/A</v>
      </c>
      <c r="L64" s="4"/>
      <c r="M64" s="170">
        <f t="shared" si="9"/>
        <v>7.5997542808948877</v>
      </c>
      <c r="N64" s="125"/>
      <c r="O64" s="170" t="str">
        <f t="shared" ca="1" si="10"/>
        <v>#DIV/0!</v>
      </c>
      <c r="P64" s="4"/>
      <c r="Q64" s="4"/>
      <c r="R64" s="12"/>
      <c r="S64" s="12"/>
      <c r="T64" s="12"/>
      <c r="U64" s="12"/>
      <c r="V64" s="12"/>
      <c r="W64" s="12"/>
      <c r="X64" s="12"/>
      <c r="Y64" s="12"/>
      <c r="Z64" s="12"/>
      <c r="AA64" s="12"/>
      <c r="AB64" s="12"/>
      <c r="AC64" s="12"/>
      <c r="AD64" s="12"/>
    </row>
    <row r="65" spans="1:30" ht="13.5" customHeight="1">
      <c r="A65" s="4"/>
      <c r="B65" s="108"/>
      <c r="C65" s="12"/>
      <c r="D65" s="155"/>
      <c r="E65" s="4"/>
      <c r="F65" s="159"/>
      <c r="G65" s="4"/>
      <c r="H65" s="4"/>
      <c r="I65" s="4"/>
      <c r="J65" s="4"/>
      <c r="K65" s="159"/>
      <c r="L65" s="4"/>
      <c r="M65" s="88"/>
      <c r="N65" s="157"/>
      <c r="O65" s="88"/>
      <c r="P65" s="4"/>
      <c r="Q65" s="4"/>
      <c r="R65" s="12"/>
      <c r="S65" s="12"/>
      <c r="T65" s="12"/>
      <c r="U65" s="12"/>
      <c r="V65" s="12"/>
      <c r="W65" s="12"/>
      <c r="X65" s="12"/>
      <c r="Y65" s="12"/>
      <c r="Z65" s="12"/>
      <c r="AA65" s="12"/>
      <c r="AB65" s="12"/>
      <c r="AC65" s="12"/>
      <c r="AD65" s="12"/>
    </row>
    <row r="66" spans="1:30" ht="13.5" customHeight="1">
      <c r="A66" s="4"/>
      <c r="B66" s="100" t="str">
        <f>Summary!C96</f>
        <v>Efficiency</v>
      </c>
      <c r="C66" s="100"/>
      <c r="D66" s="155"/>
      <c r="E66" s="4"/>
      <c r="F66" s="159"/>
      <c r="G66" s="4"/>
      <c r="H66" s="4"/>
      <c r="I66" s="4"/>
      <c r="J66" s="4"/>
      <c r="K66" s="159"/>
      <c r="L66" s="4"/>
      <c r="M66" s="88"/>
      <c r="N66" s="157"/>
      <c r="O66" s="88"/>
      <c r="P66" s="4"/>
      <c r="Q66" s="4"/>
      <c r="R66" s="12"/>
      <c r="S66" s="12"/>
      <c r="T66" s="12"/>
      <c r="U66" s="12"/>
      <c r="V66" s="12"/>
      <c r="W66" s="12"/>
      <c r="X66" s="12"/>
      <c r="Y66" s="12"/>
      <c r="Z66" s="12"/>
      <c r="AA66" s="12"/>
      <c r="AB66" s="12"/>
      <c r="AC66" s="12"/>
      <c r="AD66" s="12"/>
    </row>
    <row r="67" spans="1:30" ht="13.5" customHeight="1">
      <c r="A67" s="4"/>
      <c r="B67" s="108" t="str">
        <f>Summary!C97</f>
        <v>Asset Turnover</v>
      </c>
      <c r="C67" s="12"/>
      <c r="D67" s="155">
        <f>Summary!T97</f>
        <v>0.66009281500887096</v>
      </c>
      <c r="E67" s="129">
        <f>Summary!U97</f>
        <v>0.66237081711300971</v>
      </c>
      <c r="F67" s="130">
        <f>Summary!V97</f>
        <v>0.75853133019979213</v>
      </c>
      <c r="G67" s="129" t="str">
        <f ca="1">Summary!W97</f>
        <v/>
      </c>
      <c r="H67" s="129" t="str">
        <f ca="1">Summary!X97</f>
        <v/>
      </c>
      <c r="I67" s="129" t="str">
        <f ca="1">Summary!Y97</f>
        <v/>
      </c>
      <c r="J67" s="129" t="str">
        <f ca="1">Summary!Z97</f>
        <v/>
      </c>
      <c r="K67" s="130" t="str">
        <f ca="1">Summary!AA97</f>
        <v/>
      </c>
      <c r="L67" s="4"/>
      <c r="M67" s="170">
        <f t="shared" ref="M67:M71" si="11">AVERAGE(D67:F67)</f>
        <v>0.69366498744055749</v>
      </c>
      <c r="N67" s="129"/>
      <c r="O67" s="170" t="str">
        <f t="shared" ref="O67:O71" ca="1" si="12">AVERAGE(G67:K67)</f>
        <v/>
      </c>
      <c r="P67" s="4"/>
      <c r="Q67" s="4"/>
      <c r="R67" s="12"/>
      <c r="S67" s="12"/>
      <c r="T67" s="12"/>
      <c r="U67" s="12"/>
      <c r="V67" s="12"/>
      <c r="W67" s="12"/>
      <c r="X67" s="12"/>
      <c r="Y67" s="12"/>
      <c r="Z67" s="12"/>
      <c r="AA67" s="12"/>
      <c r="AB67" s="12"/>
      <c r="AC67" s="12"/>
      <c r="AD67" s="12"/>
    </row>
    <row r="68" spans="1:30" ht="13.5" customHeight="1">
      <c r="A68" s="4"/>
      <c r="B68" s="108" t="str">
        <f>Summary!C98</f>
        <v>Days Sales Outstanding</v>
      </c>
      <c r="C68" s="4"/>
      <c r="D68" s="155">
        <f>Summary!T98</f>
        <v>0</v>
      </c>
      <c r="E68" s="131">
        <f>Summary!U98</f>
        <v>0</v>
      </c>
      <c r="F68" s="132">
        <f>Summary!V98</f>
        <v>0</v>
      </c>
      <c r="G68" s="131">
        <f>Summary!W98</f>
        <v>0</v>
      </c>
      <c r="H68" s="131">
        <f>Summary!X98</f>
        <v>0</v>
      </c>
      <c r="I68" s="131">
        <f>Summary!Y98</f>
        <v>0</v>
      </c>
      <c r="J68" s="131">
        <f>Summary!Z98</f>
        <v>0</v>
      </c>
      <c r="K68" s="132">
        <f>Summary!AA98</f>
        <v>0</v>
      </c>
      <c r="L68" s="4"/>
      <c r="M68" s="173">
        <f t="shared" si="11"/>
        <v>0</v>
      </c>
      <c r="N68" s="131"/>
      <c r="O68" s="173">
        <f t="shared" si="12"/>
        <v>0</v>
      </c>
      <c r="P68" s="4"/>
      <c r="Q68" s="4"/>
      <c r="R68" s="12"/>
      <c r="S68" s="12"/>
      <c r="T68" s="12"/>
      <c r="U68" s="12"/>
      <c r="V68" s="12"/>
      <c r="W68" s="12"/>
      <c r="X68" s="12"/>
      <c r="Y68" s="12"/>
      <c r="Z68" s="12"/>
      <c r="AA68" s="12"/>
      <c r="AB68" s="12"/>
      <c r="AC68" s="12"/>
      <c r="AD68" s="12"/>
    </row>
    <row r="69" spans="1:30" ht="13.5" customHeight="1">
      <c r="A69" s="4"/>
      <c r="B69" s="108" t="str">
        <f>Summary!C99</f>
        <v>Days Inventory Outstanding</v>
      </c>
      <c r="C69" s="4"/>
      <c r="D69" s="155">
        <f>Summary!T99</f>
        <v>232.12171703338504</v>
      </c>
      <c r="E69" s="131">
        <f>Summary!U99</f>
        <v>223.28388612400602</v>
      </c>
      <c r="F69" s="132">
        <f>Summary!V99</f>
        <v>230.30351149923598</v>
      </c>
      <c r="G69" s="131">
        <f>Summary!W99</f>
        <v>108.47399358257836</v>
      </c>
      <c r="H69" s="131">
        <f>Summary!X99</f>
        <v>78.93300806770992</v>
      </c>
      <c r="I69" s="131">
        <f>Summary!Y99</f>
        <v>84</v>
      </c>
      <c r="J69" s="131">
        <f>Summary!Z99</f>
        <v>84</v>
      </c>
      <c r="K69" s="132">
        <f>Summary!AA99</f>
        <v>84</v>
      </c>
      <c r="L69" s="4"/>
      <c r="M69" s="173">
        <f t="shared" si="11"/>
        <v>228.56970488554234</v>
      </c>
      <c r="N69" s="131"/>
      <c r="O69" s="173">
        <f t="shared" si="12"/>
        <v>87.881400330057659</v>
      </c>
      <c r="P69" s="4"/>
      <c r="Q69" s="4"/>
      <c r="R69" s="12"/>
      <c r="S69" s="12"/>
      <c r="T69" s="12"/>
      <c r="U69" s="12"/>
      <c r="V69" s="12"/>
      <c r="W69" s="12"/>
      <c r="X69" s="12"/>
      <c r="Y69" s="12"/>
      <c r="Z69" s="12"/>
      <c r="AA69" s="12"/>
      <c r="AB69" s="12"/>
      <c r="AC69" s="12"/>
      <c r="AD69" s="12"/>
    </row>
    <row r="70" spans="1:30" ht="13.5" customHeight="1">
      <c r="A70" s="4"/>
      <c r="B70" s="108" t="str">
        <f>Summary!C100</f>
        <v>Days Payables Outstanding</v>
      </c>
      <c r="C70" s="4"/>
      <c r="D70" s="155">
        <f>Summary!T100</f>
        <v>11.552491098329225</v>
      </c>
      <c r="E70" s="131">
        <f>Summary!U100</f>
        <v>14.289830403018014</v>
      </c>
      <c r="F70" s="132">
        <f>Summary!V100</f>
        <v>14.11774168691665</v>
      </c>
      <c r="G70" s="131">
        <f>Summary!W100</f>
        <v>38.18906877588617</v>
      </c>
      <c r="H70" s="131">
        <f>Summary!X100</f>
        <v>48.236838263600504</v>
      </c>
      <c r="I70" s="131">
        <f>Summary!Y100</f>
        <v>54</v>
      </c>
      <c r="J70" s="131">
        <f>Summary!Z100</f>
        <v>54</v>
      </c>
      <c r="K70" s="132">
        <f>Summary!AA100</f>
        <v>54</v>
      </c>
      <c r="L70" s="4"/>
      <c r="M70" s="173">
        <f t="shared" si="11"/>
        <v>13.320021062754629</v>
      </c>
      <c r="N70" s="131"/>
      <c r="O70" s="173">
        <f t="shared" si="12"/>
        <v>49.685181407897332</v>
      </c>
      <c r="P70" s="4"/>
      <c r="Q70" s="4"/>
      <c r="R70" s="12"/>
      <c r="S70" s="12"/>
      <c r="T70" s="12"/>
      <c r="U70" s="12"/>
      <c r="V70" s="12"/>
      <c r="W70" s="12"/>
      <c r="X70" s="12"/>
      <c r="Y70" s="12"/>
      <c r="Z70" s="12"/>
      <c r="AA70" s="12"/>
      <c r="AB70" s="12"/>
      <c r="AC70" s="12"/>
      <c r="AD70" s="12"/>
    </row>
    <row r="71" spans="1:30" ht="13.5" customHeight="1">
      <c r="A71" s="4"/>
      <c r="B71" s="108" t="str">
        <f>Summary!C101</f>
        <v>Cash Conversion Cycle</v>
      </c>
      <c r="C71" s="4"/>
      <c r="D71" s="155">
        <f>Summary!T101</f>
        <v>220.56922593505581</v>
      </c>
      <c r="E71" s="131">
        <f>Summary!U101</f>
        <v>208.994055720988</v>
      </c>
      <c r="F71" s="132">
        <f>Summary!V101</f>
        <v>216.18576981231934</v>
      </c>
      <c r="G71" s="131">
        <f>Summary!W101</f>
        <v>70.284924806692189</v>
      </c>
      <c r="H71" s="131">
        <f>Summary!X101</f>
        <v>30.696169804109417</v>
      </c>
      <c r="I71" s="131">
        <f>Summary!Y101</f>
        <v>30</v>
      </c>
      <c r="J71" s="131">
        <f>Summary!Z101</f>
        <v>30</v>
      </c>
      <c r="K71" s="132">
        <f>Summary!AA101</f>
        <v>30</v>
      </c>
      <c r="L71" s="4"/>
      <c r="M71" s="174">
        <f t="shared" si="11"/>
        <v>215.24968382278772</v>
      </c>
      <c r="N71" s="131"/>
      <c r="O71" s="174">
        <f t="shared" si="12"/>
        <v>38.196218922160327</v>
      </c>
      <c r="P71" s="4"/>
      <c r="Q71" s="4"/>
      <c r="R71" s="12"/>
      <c r="S71" s="12"/>
      <c r="T71" s="12"/>
      <c r="U71" s="12"/>
      <c r="V71" s="12"/>
      <c r="W71" s="12"/>
      <c r="X71" s="12"/>
      <c r="Y71" s="12"/>
      <c r="Z71" s="12"/>
      <c r="AA71" s="12"/>
      <c r="AB71" s="12"/>
      <c r="AC71" s="12"/>
      <c r="AD71" s="12"/>
    </row>
    <row r="72" spans="1:30" ht="13.5" customHeight="1">
      <c r="A72" s="4"/>
      <c r="B72" s="108"/>
      <c r="C72" s="4"/>
      <c r="D72" s="4"/>
      <c r="E72" s="4"/>
      <c r="F72" s="4"/>
      <c r="G72" s="4"/>
      <c r="H72" s="4"/>
      <c r="I72" s="4"/>
      <c r="J72" s="4"/>
      <c r="K72" s="4"/>
      <c r="L72" s="4"/>
      <c r="M72" s="4"/>
      <c r="N72" s="4"/>
      <c r="O72" s="4"/>
      <c r="P72" s="4"/>
      <c r="Q72" s="4"/>
      <c r="R72" s="12"/>
      <c r="S72" s="12"/>
      <c r="T72" s="12"/>
      <c r="U72" s="12"/>
      <c r="V72" s="12"/>
      <c r="W72" s="12"/>
      <c r="X72" s="12"/>
      <c r="Y72" s="12"/>
      <c r="Z72" s="12"/>
      <c r="AA72" s="12"/>
      <c r="AB72" s="12"/>
      <c r="AC72" s="12"/>
      <c r="AD72" s="12"/>
    </row>
    <row r="73" spans="1:30" ht="13.5" customHeight="1">
      <c r="A73" s="4"/>
      <c r="B73" s="4"/>
      <c r="C73" s="4"/>
      <c r="D73" s="4"/>
      <c r="E73" s="4"/>
      <c r="F73" s="4"/>
      <c r="G73" s="4"/>
      <c r="H73" s="4"/>
      <c r="I73" s="4"/>
      <c r="J73" s="4"/>
      <c r="K73" s="4"/>
      <c r="L73" s="4"/>
      <c r="M73" s="4"/>
      <c r="N73" s="4"/>
      <c r="O73" s="4"/>
      <c r="P73" s="4"/>
      <c r="Q73" s="4"/>
      <c r="R73" s="12"/>
      <c r="S73" s="12"/>
      <c r="T73" s="12"/>
      <c r="U73" s="12"/>
      <c r="V73" s="12"/>
      <c r="W73" s="12"/>
      <c r="X73" s="12"/>
      <c r="Y73" s="12"/>
      <c r="Z73" s="12"/>
      <c r="AA73" s="12"/>
      <c r="AB73" s="12"/>
      <c r="AC73" s="12"/>
      <c r="AD73" s="12"/>
    </row>
    <row r="74" spans="1:30" ht="13.5" customHeight="1">
      <c r="A74" s="4"/>
      <c r="B74" s="4"/>
      <c r="C74" s="4"/>
      <c r="D74" s="4"/>
      <c r="E74" s="4"/>
      <c r="F74" s="4"/>
      <c r="G74" s="4"/>
      <c r="H74" s="4"/>
      <c r="I74" s="4"/>
      <c r="J74" s="4"/>
      <c r="K74" s="4"/>
      <c r="L74" s="4"/>
      <c r="M74" s="4"/>
      <c r="N74" s="4"/>
      <c r="O74" s="4"/>
      <c r="P74" s="4"/>
      <c r="Q74" s="4"/>
      <c r="R74" s="12"/>
      <c r="S74" s="12"/>
      <c r="T74" s="12"/>
      <c r="U74" s="12"/>
      <c r="V74" s="12"/>
      <c r="W74" s="12"/>
      <c r="X74" s="12"/>
      <c r="Y74" s="12"/>
      <c r="Z74" s="12"/>
      <c r="AA74" s="12"/>
      <c r="AB74" s="12"/>
      <c r="AC74" s="12"/>
      <c r="AD74" s="12"/>
    </row>
    <row r="75" spans="1:30" ht="13.5" customHeight="1">
      <c r="A75" s="4"/>
      <c r="B75" s="4"/>
      <c r="C75" s="4"/>
      <c r="D75" s="4"/>
      <c r="E75" s="4"/>
      <c r="F75" s="4"/>
      <c r="G75" s="4"/>
      <c r="H75" s="4"/>
      <c r="I75" s="4"/>
      <c r="J75" s="4"/>
      <c r="K75" s="4"/>
      <c r="L75" s="4"/>
      <c r="M75" s="4"/>
      <c r="N75" s="4"/>
      <c r="O75" s="4"/>
      <c r="P75" s="4"/>
      <c r="Q75" s="4"/>
      <c r="R75" s="12"/>
      <c r="S75" s="12"/>
      <c r="T75" s="12"/>
      <c r="U75" s="12"/>
      <c r="V75" s="12"/>
      <c r="W75" s="12"/>
      <c r="X75" s="12"/>
      <c r="Y75" s="12"/>
      <c r="Z75" s="12"/>
      <c r="AA75" s="12"/>
      <c r="AB75" s="12"/>
      <c r="AC75" s="12"/>
      <c r="AD75" s="12"/>
    </row>
    <row r="76" spans="1:30" ht="13.5" customHeight="1">
      <c r="A76" s="4"/>
      <c r="B76" s="4"/>
      <c r="C76" s="4"/>
      <c r="D76" s="4"/>
      <c r="E76" s="4"/>
      <c r="F76" s="4"/>
      <c r="G76" s="4"/>
      <c r="H76" s="4"/>
      <c r="I76" s="4"/>
      <c r="J76" s="4"/>
      <c r="K76" s="4"/>
      <c r="L76" s="4"/>
      <c r="M76" s="4"/>
      <c r="N76" s="4"/>
      <c r="O76" s="4"/>
      <c r="P76" s="4"/>
      <c r="Q76" s="4"/>
      <c r="R76" s="12"/>
      <c r="S76" s="12"/>
      <c r="T76" s="12"/>
      <c r="U76" s="12"/>
      <c r="V76" s="12"/>
      <c r="W76" s="12"/>
      <c r="X76" s="12"/>
      <c r="Y76" s="12"/>
      <c r="Z76" s="12"/>
      <c r="AA76" s="12"/>
      <c r="AB76" s="12"/>
      <c r="AC76" s="12"/>
      <c r="AD76" s="12"/>
    </row>
    <row r="77" spans="1:30" ht="13.5" customHeight="1">
      <c r="A77" s="4"/>
      <c r="B77" s="4"/>
      <c r="C77" s="4"/>
      <c r="D77" s="4"/>
      <c r="E77" s="4"/>
      <c r="F77" s="4"/>
      <c r="G77" s="4"/>
      <c r="H77" s="4"/>
      <c r="I77" s="4"/>
      <c r="J77" s="4"/>
      <c r="K77" s="4"/>
      <c r="L77" s="4"/>
      <c r="M77" s="4"/>
      <c r="N77" s="4"/>
      <c r="O77" s="4"/>
      <c r="P77" s="4"/>
      <c r="Q77" s="4"/>
      <c r="R77" s="12"/>
      <c r="S77" s="12"/>
      <c r="T77" s="12"/>
      <c r="U77" s="12"/>
      <c r="V77" s="12"/>
      <c r="W77" s="12"/>
      <c r="X77" s="12"/>
      <c r="Y77" s="12"/>
      <c r="Z77" s="12"/>
      <c r="AA77" s="12"/>
      <c r="AB77" s="12"/>
      <c r="AC77" s="12"/>
      <c r="AD77" s="12"/>
    </row>
    <row r="78" spans="1:30" ht="13.5" customHeight="1">
      <c r="A78" s="4"/>
      <c r="B78" s="4"/>
      <c r="C78" s="4"/>
      <c r="D78" s="4"/>
      <c r="E78" s="4"/>
      <c r="F78" s="4"/>
      <c r="G78" s="4"/>
      <c r="H78" s="4"/>
      <c r="I78" s="4"/>
      <c r="J78" s="4"/>
      <c r="K78" s="4"/>
      <c r="L78" s="4"/>
      <c r="M78" s="4"/>
      <c r="N78" s="4"/>
      <c r="O78" s="4"/>
      <c r="P78" s="4"/>
      <c r="Q78" s="4"/>
      <c r="R78" s="12"/>
      <c r="S78" s="12"/>
      <c r="T78" s="12"/>
      <c r="U78" s="12"/>
      <c r="V78" s="12"/>
      <c r="W78" s="12"/>
      <c r="X78" s="12"/>
      <c r="Y78" s="12"/>
      <c r="Z78" s="12"/>
      <c r="AA78" s="12"/>
      <c r="AB78" s="12"/>
      <c r="AC78" s="12"/>
      <c r="AD78" s="12"/>
    </row>
    <row r="79" spans="1:30" ht="13.5" customHeight="1">
      <c r="A79" s="4"/>
      <c r="B79" s="4"/>
      <c r="C79" s="4"/>
      <c r="D79" s="4"/>
      <c r="E79" s="4"/>
      <c r="F79" s="4"/>
      <c r="G79" s="4"/>
      <c r="H79" s="4"/>
      <c r="I79" s="4"/>
      <c r="J79" s="4"/>
      <c r="K79" s="4"/>
      <c r="L79" s="4"/>
      <c r="M79" s="4"/>
      <c r="N79" s="4"/>
      <c r="O79" s="4"/>
      <c r="P79" s="4"/>
      <c r="Q79" s="4"/>
      <c r="R79" s="12"/>
      <c r="S79" s="12"/>
      <c r="T79" s="12"/>
      <c r="U79" s="12"/>
      <c r="V79" s="12"/>
      <c r="W79" s="12"/>
      <c r="X79" s="12"/>
      <c r="Y79" s="12"/>
      <c r="Z79" s="12"/>
      <c r="AA79" s="12"/>
      <c r="AB79" s="12"/>
      <c r="AC79" s="12"/>
      <c r="AD79" s="12"/>
    </row>
    <row r="80" spans="1:30" ht="13.5" customHeight="1">
      <c r="A80" s="4"/>
      <c r="B80" s="4"/>
      <c r="C80" s="4"/>
      <c r="D80" s="4"/>
      <c r="E80" s="4"/>
      <c r="F80" s="4"/>
      <c r="G80" s="4"/>
      <c r="H80" s="4"/>
      <c r="I80" s="4"/>
      <c r="J80" s="4"/>
      <c r="K80" s="4"/>
      <c r="L80" s="4"/>
      <c r="M80" s="4"/>
      <c r="N80" s="4"/>
      <c r="O80" s="4"/>
      <c r="P80" s="4"/>
      <c r="Q80" s="4"/>
      <c r="R80" s="12"/>
      <c r="S80" s="12"/>
      <c r="T80" s="12"/>
      <c r="U80" s="12"/>
      <c r="V80" s="12"/>
      <c r="W80" s="12"/>
      <c r="X80" s="12"/>
      <c r="Y80" s="12"/>
      <c r="Z80" s="12"/>
      <c r="AA80" s="12"/>
      <c r="AB80" s="12"/>
      <c r="AC80" s="12"/>
      <c r="AD80" s="12"/>
    </row>
    <row r="81" spans="1:30" ht="13.5" customHeight="1">
      <c r="A81" s="4"/>
      <c r="B81" s="4"/>
      <c r="C81" s="4"/>
      <c r="D81" s="4"/>
      <c r="E81" s="4"/>
      <c r="F81" s="4"/>
      <c r="G81" s="4"/>
      <c r="H81" s="4"/>
      <c r="I81" s="4"/>
      <c r="J81" s="4"/>
      <c r="K81" s="4"/>
      <c r="L81" s="4"/>
      <c r="M81" s="4"/>
      <c r="N81" s="4"/>
      <c r="O81" s="4"/>
      <c r="P81" s="4"/>
      <c r="Q81" s="4"/>
      <c r="R81" s="12"/>
      <c r="S81" s="12"/>
      <c r="T81" s="12"/>
      <c r="U81" s="12"/>
      <c r="V81" s="12"/>
      <c r="W81" s="12"/>
      <c r="X81" s="12"/>
      <c r="Y81" s="12"/>
      <c r="Z81" s="12"/>
      <c r="AA81" s="12"/>
      <c r="AB81" s="12"/>
      <c r="AC81" s="12"/>
      <c r="AD81" s="12"/>
    </row>
    <row r="82" spans="1:30" ht="13.5" customHeight="1">
      <c r="A82" s="4"/>
      <c r="B82" s="4"/>
      <c r="C82" s="4"/>
      <c r="D82" s="4"/>
      <c r="E82" s="4"/>
      <c r="F82" s="4"/>
      <c r="G82" s="4"/>
      <c r="H82" s="4"/>
      <c r="I82" s="4"/>
      <c r="J82" s="4"/>
      <c r="K82" s="4"/>
      <c r="L82" s="4"/>
      <c r="M82" s="4"/>
      <c r="N82" s="4"/>
      <c r="O82" s="4"/>
      <c r="P82" s="4"/>
      <c r="Q82" s="4"/>
      <c r="R82" s="12"/>
      <c r="S82" s="12"/>
      <c r="T82" s="12"/>
      <c r="U82" s="12"/>
      <c r="V82" s="12"/>
      <c r="W82" s="12"/>
      <c r="X82" s="12"/>
      <c r="Y82" s="12"/>
      <c r="Z82" s="12"/>
      <c r="AA82" s="12"/>
      <c r="AB82" s="12"/>
      <c r="AC82" s="12"/>
      <c r="AD82" s="12"/>
    </row>
    <row r="83" spans="1:30" ht="13.5" customHeight="1">
      <c r="A83" s="4"/>
      <c r="B83" s="4"/>
      <c r="C83" s="4"/>
      <c r="D83" s="4"/>
      <c r="E83" s="4"/>
      <c r="F83" s="4"/>
      <c r="G83" s="4"/>
      <c r="H83" s="4"/>
      <c r="I83" s="4"/>
      <c r="J83" s="4"/>
      <c r="K83" s="4"/>
      <c r="L83" s="4"/>
      <c r="M83" s="4"/>
      <c r="N83" s="4"/>
      <c r="O83" s="4"/>
      <c r="P83" s="4"/>
      <c r="Q83" s="4"/>
      <c r="R83" s="12"/>
      <c r="S83" s="12"/>
      <c r="T83" s="12"/>
      <c r="U83" s="12"/>
      <c r="V83" s="12"/>
      <c r="W83" s="12"/>
      <c r="X83" s="12"/>
      <c r="Y83" s="12"/>
      <c r="Z83" s="12"/>
      <c r="AA83" s="12"/>
      <c r="AB83" s="12"/>
      <c r="AC83" s="12"/>
      <c r="AD83" s="12"/>
    </row>
    <row r="84" spans="1:30" ht="13.5" customHeight="1">
      <c r="A84" s="4"/>
      <c r="B84" s="4"/>
      <c r="C84" s="4"/>
      <c r="D84" s="4"/>
      <c r="E84" s="4"/>
      <c r="F84" s="4"/>
      <c r="G84" s="4"/>
      <c r="H84" s="4"/>
      <c r="I84" s="4"/>
      <c r="J84" s="4"/>
      <c r="K84" s="4"/>
      <c r="L84" s="4"/>
      <c r="M84" s="4"/>
      <c r="N84" s="4"/>
      <c r="O84" s="4"/>
      <c r="P84" s="4"/>
      <c r="Q84" s="4"/>
      <c r="R84" s="12"/>
      <c r="S84" s="12"/>
      <c r="T84" s="12"/>
      <c r="U84" s="12"/>
      <c r="V84" s="12"/>
      <c r="W84" s="12"/>
      <c r="X84" s="12"/>
      <c r="Y84" s="12"/>
      <c r="Z84" s="12"/>
      <c r="AA84" s="12"/>
      <c r="AB84" s="12"/>
      <c r="AC84" s="12"/>
      <c r="AD84" s="12"/>
    </row>
    <row r="85" spans="1:30" ht="13.5" customHeight="1">
      <c r="A85" s="4"/>
      <c r="B85" s="4"/>
      <c r="C85" s="4"/>
      <c r="D85" s="4"/>
      <c r="E85" s="4"/>
      <c r="F85" s="4"/>
      <c r="G85" s="4"/>
      <c r="H85" s="4"/>
      <c r="I85" s="4"/>
      <c r="J85" s="4"/>
      <c r="K85" s="4"/>
      <c r="L85" s="4"/>
      <c r="M85" s="4"/>
      <c r="N85" s="4"/>
      <c r="O85" s="4"/>
      <c r="P85" s="4"/>
      <c r="Q85" s="4"/>
      <c r="R85" s="12"/>
      <c r="S85" s="12"/>
      <c r="T85" s="12"/>
      <c r="U85" s="12"/>
      <c r="V85" s="12"/>
      <c r="W85" s="12"/>
      <c r="X85" s="12"/>
      <c r="Y85" s="12"/>
      <c r="Z85" s="12"/>
      <c r="AA85" s="12"/>
      <c r="AB85" s="12"/>
      <c r="AC85" s="12"/>
      <c r="AD85" s="12"/>
    </row>
    <row r="86" spans="1:30" ht="13.5" customHeight="1">
      <c r="A86" s="4"/>
      <c r="B86" s="4"/>
      <c r="C86" s="4"/>
      <c r="D86" s="4"/>
      <c r="E86" s="4"/>
      <c r="F86" s="4"/>
      <c r="G86" s="4"/>
      <c r="H86" s="4"/>
      <c r="I86" s="4"/>
      <c r="J86" s="4"/>
      <c r="K86" s="4"/>
      <c r="L86" s="4"/>
      <c r="M86" s="4"/>
      <c r="N86" s="4"/>
      <c r="O86" s="4"/>
      <c r="P86" s="4"/>
      <c r="Q86" s="4"/>
      <c r="R86" s="12"/>
      <c r="S86" s="12"/>
      <c r="T86" s="12"/>
      <c r="U86" s="12"/>
      <c r="V86" s="12"/>
      <c r="W86" s="12"/>
      <c r="X86" s="12"/>
      <c r="Y86" s="12"/>
      <c r="Z86" s="12"/>
      <c r="AA86" s="12"/>
      <c r="AB86" s="12"/>
      <c r="AC86" s="12"/>
      <c r="AD86" s="12"/>
    </row>
    <row r="87" spans="1:30" ht="13.5" customHeight="1">
      <c r="A87" s="4"/>
      <c r="B87" s="4"/>
      <c r="C87" s="4"/>
      <c r="D87" s="4"/>
      <c r="E87" s="4"/>
      <c r="F87" s="4"/>
      <c r="G87" s="4"/>
      <c r="H87" s="4"/>
      <c r="I87" s="4"/>
      <c r="J87" s="4"/>
      <c r="K87" s="4"/>
      <c r="L87" s="4"/>
      <c r="M87" s="4"/>
      <c r="N87" s="4"/>
      <c r="O87" s="4"/>
      <c r="P87" s="4"/>
      <c r="Q87" s="4"/>
      <c r="R87" s="12"/>
      <c r="S87" s="12"/>
      <c r="T87" s="12"/>
      <c r="U87" s="12"/>
      <c r="V87" s="12"/>
      <c r="W87" s="12"/>
      <c r="X87" s="12"/>
      <c r="Y87" s="12"/>
      <c r="Z87" s="12"/>
      <c r="AA87" s="12"/>
      <c r="AB87" s="12"/>
      <c r="AC87" s="12"/>
      <c r="AD87" s="12"/>
    </row>
    <row r="88" spans="1:30" ht="13.5" customHeight="1">
      <c r="A88" s="4"/>
      <c r="B88" s="4"/>
      <c r="C88" s="4"/>
      <c r="D88" s="4"/>
      <c r="E88" s="4"/>
      <c r="F88" s="4"/>
      <c r="G88" s="4"/>
      <c r="H88" s="4"/>
      <c r="I88" s="4"/>
      <c r="J88" s="4"/>
      <c r="K88" s="4"/>
      <c r="L88" s="4"/>
      <c r="M88" s="4"/>
      <c r="N88" s="4"/>
      <c r="O88" s="4"/>
      <c r="P88" s="4"/>
      <c r="Q88" s="4"/>
      <c r="R88" s="12"/>
      <c r="S88" s="12"/>
      <c r="T88" s="12"/>
      <c r="U88" s="12"/>
      <c r="V88" s="12"/>
      <c r="W88" s="12"/>
      <c r="X88" s="12"/>
      <c r="Y88" s="12"/>
      <c r="Z88" s="12"/>
      <c r="AA88" s="12"/>
      <c r="AB88" s="12"/>
      <c r="AC88" s="12"/>
      <c r="AD88" s="12"/>
    </row>
    <row r="89" spans="1:30" ht="13.5" customHeight="1">
      <c r="A89" s="4"/>
      <c r="B89" s="4"/>
      <c r="C89" s="4"/>
      <c r="D89" s="4"/>
      <c r="E89" s="4"/>
      <c r="F89" s="4"/>
      <c r="G89" s="4"/>
      <c r="H89" s="4"/>
      <c r="I89" s="4"/>
      <c r="J89" s="4"/>
      <c r="K89" s="4"/>
      <c r="L89" s="4"/>
      <c r="M89" s="4"/>
      <c r="N89" s="4"/>
      <c r="O89" s="4"/>
      <c r="P89" s="4"/>
      <c r="Q89" s="4"/>
      <c r="R89" s="12"/>
      <c r="S89" s="12"/>
      <c r="T89" s="12"/>
      <c r="U89" s="12"/>
      <c r="V89" s="12"/>
      <c r="W89" s="12"/>
      <c r="X89" s="12"/>
      <c r="Y89" s="12"/>
      <c r="Z89" s="12"/>
      <c r="AA89" s="12"/>
      <c r="AB89" s="12"/>
      <c r="AC89" s="12"/>
      <c r="AD89" s="12"/>
    </row>
    <row r="90" spans="1:30" ht="13.5" customHeight="1">
      <c r="A90" s="4"/>
      <c r="B90" s="4"/>
      <c r="C90" s="4"/>
      <c r="D90" s="4"/>
      <c r="E90" s="4"/>
      <c r="F90" s="4"/>
      <c r="G90" s="4"/>
      <c r="H90" s="4"/>
      <c r="I90" s="4"/>
      <c r="J90" s="4"/>
      <c r="K90" s="4"/>
      <c r="L90" s="4"/>
      <c r="M90" s="4"/>
      <c r="N90" s="4"/>
      <c r="O90" s="4"/>
      <c r="P90" s="4"/>
      <c r="Q90" s="4"/>
      <c r="R90" s="12"/>
      <c r="S90" s="12"/>
      <c r="T90" s="12"/>
      <c r="U90" s="12"/>
      <c r="V90" s="12"/>
      <c r="W90" s="12"/>
      <c r="X90" s="12"/>
      <c r="Y90" s="12"/>
      <c r="Z90" s="12"/>
      <c r="AA90" s="12"/>
      <c r="AB90" s="12"/>
      <c r="AC90" s="12"/>
      <c r="AD90" s="12"/>
    </row>
    <row r="91" spans="1:30" ht="13.5" customHeight="1">
      <c r="A91" s="4"/>
      <c r="B91" s="4"/>
      <c r="C91" s="4"/>
      <c r="D91" s="4"/>
      <c r="E91" s="4"/>
      <c r="F91" s="4"/>
      <c r="G91" s="4"/>
      <c r="H91" s="4"/>
      <c r="I91" s="4"/>
      <c r="J91" s="4"/>
      <c r="K91" s="4"/>
      <c r="L91" s="4"/>
      <c r="M91" s="4"/>
      <c r="N91" s="4"/>
      <c r="O91" s="4"/>
      <c r="P91" s="4"/>
      <c r="Q91" s="4"/>
      <c r="R91" s="12"/>
      <c r="S91" s="12"/>
      <c r="T91" s="12"/>
      <c r="U91" s="12"/>
      <c r="V91" s="12"/>
      <c r="W91" s="12"/>
      <c r="X91" s="12"/>
      <c r="Y91" s="12"/>
      <c r="Z91" s="12"/>
      <c r="AA91" s="12"/>
      <c r="AB91" s="12"/>
      <c r="AC91" s="12"/>
      <c r="AD91" s="12"/>
    </row>
    <row r="92" spans="1:30" ht="13.5" customHeight="1">
      <c r="A92" s="4"/>
      <c r="B92" s="4"/>
      <c r="C92" s="4"/>
      <c r="D92" s="4"/>
      <c r="E92" s="4"/>
      <c r="F92" s="4"/>
      <c r="G92" s="4"/>
      <c r="H92" s="4"/>
      <c r="I92" s="4"/>
      <c r="J92" s="4"/>
      <c r="K92" s="4"/>
      <c r="L92" s="4"/>
      <c r="M92" s="4"/>
      <c r="N92" s="4"/>
      <c r="O92" s="4"/>
      <c r="P92" s="4"/>
      <c r="Q92" s="4"/>
      <c r="R92" s="12"/>
      <c r="S92" s="12"/>
      <c r="T92" s="12"/>
      <c r="U92" s="12"/>
      <c r="V92" s="12"/>
      <c r="W92" s="12"/>
      <c r="X92" s="12"/>
      <c r="Y92" s="12"/>
      <c r="Z92" s="12"/>
      <c r="AA92" s="12"/>
      <c r="AB92" s="12"/>
      <c r="AC92" s="12"/>
      <c r="AD92" s="12"/>
    </row>
    <row r="93" spans="1:30" ht="13.5" customHeight="1">
      <c r="A93" s="4"/>
      <c r="B93" s="4"/>
      <c r="C93" s="4"/>
      <c r="D93" s="4"/>
      <c r="E93" s="4"/>
      <c r="F93" s="4"/>
      <c r="G93" s="4"/>
      <c r="H93" s="4"/>
      <c r="I93" s="4"/>
      <c r="J93" s="4"/>
      <c r="K93" s="4"/>
      <c r="L93" s="4"/>
      <c r="M93" s="4"/>
      <c r="N93" s="4"/>
      <c r="O93" s="4"/>
      <c r="P93" s="4"/>
      <c r="Q93" s="4"/>
      <c r="R93" s="12"/>
      <c r="S93" s="12"/>
      <c r="T93" s="12"/>
      <c r="U93" s="12"/>
      <c r="V93" s="12"/>
      <c r="W93" s="12"/>
      <c r="X93" s="12"/>
      <c r="Y93" s="12"/>
      <c r="Z93" s="12"/>
      <c r="AA93" s="12"/>
      <c r="AB93" s="12"/>
      <c r="AC93" s="12"/>
      <c r="AD93" s="12"/>
    </row>
    <row r="94" spans="1:30" ht="13.5" customHeight="1">
      <c r="A94" s="4"/>
      <c r="B94" s="4"/>
      <c r="C94" s="4"/>
      <c r="D94" s="4"/>
      <c r="E94" s="4"/>
      <c r="F94" s="4"/>
      <c r="G94" s="4"/>
      <c r="H94" s="4"/>
      <c r="I94" s="4"/>
      <c r="J94" s="4"/>
      <c r="K94" s="4"/>
      <c r="L94" s="4"/>
      <c r="M94" s="4"/>
      <c r="N94" s="4"/>
      <c r="O94" s="4"/>
      <c r="P94" s="4"/>
      <c r="Q94" s="4"/>
      <c r="R94" s="12"/>
      <c r="S94" s="12"/>
      <c r="T94" s="12"/>
      <c r="U94" s="12"/>
      <c r="V94" s="12"/>
      <c r="W94" s="12"/>
      <c r="X94" s="12"/>
      <c r="Y94" s="12"/>
      <c r="Z94" s="12"/>
      <c r="AA94" s="12"/>
      <c r="AB94" s="12"/>
      <c r="AC94" s="12"/>
      <c r="AD94" s="12"/>
    </row>
    <row r="95" spans="1:30" ht="13.5" customHeight="1">
      <c r="A95" s="4"/>
      <c r="B95" s="4"/>
      <c r="C95" s="4"/>
      <c r="D95" s="4"/>
      <c r="E95" s="4"/>
      <c r="F95" s="4"/>
      <c r="G95" s="4"/>
      <c r="H95" s="4"/>
      <c r="I95" s="4"/>
      <c r="J95" s="4"/>
      <c r="K95" s="4"/>
      <c r="L95" s="4"/>
      <c r="M95" s="4"/>
      <c r="N95" s="4"/>
      <c r="O95" s="4"/>
      <c r="P95" s="4"/>
      <c r="Q95" s="4"/>
      <c r="R95" s="12"/>
      <c r="S95" s="12"/>
      <c r="T95" s="12"/>
      <c r="U95" s="12"/>
      <c r="V95" s="12"/>
      <c r="W95" s="12"/>
      <c r="X95" s="12"/>
      <c r="Y95" s="12"/>
      <c r="Z95" s="12"/>
      <c r="AA95" s="12"/>
      <c r="AB95" s="12"/>
      <c r="AC95" s="12"/>
      <c r="AD95" s="12"/>
    </row>
    <row r="96" spans="1:30" ht="13.5" customHeight="1">
      <c r="A96" s="4"/>
      <c r="B96" s="4"/>
      <c r="C96" s="4"/>
      <c r="D96" s="4"/>
      <c r="E96" s="4"/>
      <c r="F96" s="4"/>
      <c r="G96" s="4"/>
      <c r="H96" s="4"/>
      <c r="I96" s="4"/>
      <c r="J96" s="4"/>
      <c r="K96" s="4"/>
      <c r="L96" s="4"/>
      <c r="M96" s="4"/>
      <c r="N96" s="4"/>
      <c r="O96" s="4"/>
      <c r="P96" s="4"/>
      <c r="Q96" s="4"/>
      <c r="R96" s="12"/>
      <c r="S96" s="12"/>
      <c r="T96" s="12"/>
      <c r="U96" s="12"/>
      <c r="V96" s="12"/>
      <c r="W96" s="12"/>
      <c r="X96" s="12"/>
      <c r="Y96" s="12"/>
      <c r="Z96" s="12"/>
      <c r="AA96" s="12"/>
      <c r="AB96" s="12"/>
      <c r="AC96" s="12"/>
      <c r="AD96" s="12"/>
    </row>
    <row r="97" spans="1:30" ht="13.5" customHeight="1">
      <c r="A97" s="4"/>
      <c r="B97" s="4"/>
      <c r="C97" s="4"/>
      <c r="D97" s="4"/>
      <c r="E97" s="4"/>
      <c r="F97" s="4"/>
      <c r="G97" s="4"/>
      <c r="H97" s="4"/>
      <c r="I97" s="4"/>
      <c r="J97" s="4"/>
      <c r="K97" s="4"/>
      <c r="L97" s="4"/>
      <c r="M97" s="4"/>
      <c r="N97" s="4"/>
      <c r="O97" s="4"/>
      <c r="P97" s="4"/>
      <c r="Q97" s="4"/>
      <c r="R97" s="12"/>
      <c r="S97" s="12"/>
      <c r="T97" s="12"/>
      <c r="U97" s="12"/>
      <c r="V97" s="12"/>
      <c r="W97" s="12"/>
      <c r="X97" s="12"/>
      <c r="Y97" s="12"/>
      <c r="Z97" s="12"/>
      <c r="AA97" s="12"/>
      <c r="AB97" s="12"/>
      <c r="AC97" s="12"/>
      <c r="AD97" s="12"/>
    </row>
    <row r="98" spans="1:30" ht="13.5" customHeight="1">
      <c r="A98" s="4"/>
      <c r="B98" s="4"/>
      <c r="C98" s="4"/>
      <c r="D98" s="4"/>
      <c r="E98" s="4"/>
      <c r="F98" s="4"/>
      <c r="G98" s="4"/>
      <c r="H98" s="4"/>
      <c r="I98" s="4"/>
      <c r="J98" s="4"/>
      <c r="K98" s="4"/>
      <c r="L98" s="4"/>
      <c r="M98" s="4"/>
      <c r="N98" s="4"/>
      <c r="O98" s="4"/>
      <c r="P98" s="4"/>
      <c r="Q98" s="4"/>
      <c r="R98" s="12"/>
      <c r="S98" s="12"/>
      <c r="T98" s="12"/>
      <c r="U98" s="12"/>
      <c r="V98" s="12"/>
      <c r="W98" s="12"/>
      <c r="X98" s="12"/>
      <c r="Y98" s="12"/>
      <c r="Z98" s="12"/>
      <c r="AA98" s="12"/>
      <c r="AB98" s="12"/>
      <c r="AC98" s="12"/>
      <c r="AD98" s="12"/>
    </row>
    <row r="99" spans="1:30" ht="13.5" customHeight="1">
      <c r="A99" s="4"/>
      <c r="B99" s="4"/>
      <c r="C99" s="4"/>
      <c r="D99" s="4"/>
      <c r="E99" s="4"/>
      <c r="F99" s="4"/>
      <c r="G99" s="4"/>
      <c r="H99" s="4"/>
      <c r="I99" s="4"/>
      <c r="J99" s="4"/>
      <c r="K99" s="4"/>
      <c r="L99" s="4"/>
      <c r="M99" s="4"/>
      <c r="N99" s="4"/>
      <c r="O99" s="4"/>
      <c r="P99" s="4"/>
      <c r="Q99" s="4"/>
      <c r="R99" s="12"/>
      <c r="S99" s="12"/>
      <c r="T99" s="12"/>
      <c r="U99" s="12"/>
      <c r="V99" s="12"/>
      <c r="W99" s="12"/>
      <c r="X99" s="12"/>
      <c r="Y99" s="12"/>
      <c r="Z99" s="12"/>
      <c r="AA99" s="12"/>
      <c r="AB99" s="12"/>
      <c r="AC99" s="12"/>
      <c r="AD99" s="12"/>
    </row>
    <row r="100" spans="1:30" ht="13.5" customHeight="1">
      <c r="A100" s="4"/>
      <c r="B100" s="4"/>
      <c r="C100" s="4"/>
      <c r="D100" s="4"/>
      <c r="E100" s="4"/>
      <c r="F100" s="4"/>
      <c r="G100" s="4"/>
      <c r="H100" s="4"/>
      <c r="I100" s="4"/>
      <c r="J100" s="4"/>
      <c r="K100" s="4"/>
      <c r="L100" s="4"/>
      <c r="M100" s="4"/>
      <c r="N100" s="4"/>
      <c r="O100" s="4"/>
      <c r="P100" s="4"/>
      <c r="Q100" s="4"/>
      <c r="R100" s="12"/>
      <c r="S100" s="12"/>
      <c r="T100" s="12"/>
      <c r="U100" s="12"/>
      <c r="V100" s="12"/>
      <c r="W100" s="12"/>
      <c r="X100" s="12"/>
      <c r="Y100" s="12"/>
      <c r="Z100" s="12"/>
      <c r="AA100" s="12"/>
      <c r="AB100" s="12"/>
      <c r="AC100" s="12"/>
      <c r="AD100" s="12"/>
    </row>
    <row r="101" spans="1:30" ht="13.5" customHeight="1">
      <c r="A101" s="4"/>
      <c r="B101" s="4"/>
      <c r="C101" s="4"/>
      <c r="D101" s="4"/>
      <c r="E101" s="4"/>
      <c r="F101" s="4"/>
      <c r="G101" s="4"/>
      <c r="H101" s="4"/>
      <c r="I101" s="4"/>
      <c r="J101" s="4"/>
      <c r="K101" s="4"/>
      <c r="L101" s="4"/>
      <c r="M101" s="4"/>
      <c r="N101" s="4"/>
      <c r="O101" s="4"/>
      <c r="P101" s="4"/>
      <c r="Q101" s="4"/>
      <c r="R101" s="12"/>
      <c r="S101" s="12"/>
      <c r="T101" s="12"/>
      <c r="U101" s="12"/>
      <c r="V101" s="12"/>
      <c r="W101" s="12"/>
      <c r="X101" s="12"/>
      <c r="Y101" s="12"/>
      <c r="Z101" s="12"/>
      <c r="AA101" s="12"/>
      <c r="AB101" s="12"/>
      <c r="AC101" s="12"/>
      <c r="AD101" s="12"/>
    </row>
    <row r="102" spans="1:30" ht="13.5" customHeight="1">
      <c r="A102" s="4"/>
      <c r="B102" s="4"/>
      <c r="C102" s="4"/>
      <c r="D102" s="4"/>
      <c r="E102" s="4"/>
      <c r="F102" s="4"/>
      <c r="G102" s="4"/>
      <c r="H102" s="4"/>
      <c r="I102" s="4"/>
      <c r="J102" s="4"/>
      <c r="K102" s="4"/>
      <c r="L102" s="4"/>
      <c r="M102" s="4"/>
      <c r="N102" s="4"/>
      <c r="O102" s="4"/>
      <c r="P102" s="4"/>
      <c r="Q102" s="4"/>
      <c r="R102" s="12"/>
      <c r="S102" s="12"/>
      <c r="T102" s="12"/>
      <c r="U102" s="12"/>
      <c r="V102" s="12"/>
      <c r="W102" s="12"/>
      <c r="X102" s="12"/>
      <c r="Y102" s="12"/>
      <c r="Z102" s="12"/>
      <c r="AA102" s="12"/>
      <c r="AB102" s="12"/>
      <c r="AC102" s="12"/>
      <c r="AD102" s="12"/>
    </row>
    <row r="103" spans="1:30" ht="13.5" customHeight="1">
      <c r="A103" s="4"/>
      <c r="B103" s="4"/>
      <c r="C103" s="4"/>
      <c r="D103" s="4"/>
      <c r="E103" s="4"/>
      <c r="F103" s="4"/>
      <c r="G103" s="4"/>
      <c r="H103" s="4"/>
      <c r="I103" s="4"/>
      <c r="J103" s="4"/>
      <c r="K103" s="4"/>
      <c r="L103" s="4"/>
      <c r="M103" s="4"/>
      <c r="N103" s="4"/>
      <c r="O103" s="4"/>
      <c r="P103" s="4"/>
      <c r="Q103" s="4"/>
      <c r="R103" s="12"/>
      <c r="S103" s="12"/>
      <c r="T103" s="12"/>
      <c r="U103" s="12"/>
      <c r="V103" s="12"/>
      <c r="W103" s="12"/>
      <c r="X103" s="12"/>
      <c r="Y103" s="12"/>
      <c r="Z103" s="12"/>
      <c r="AA103" s="12"/>
      <c r="AB103" s="12"/>
      <c r="AC103" s="12"/>
      <c r="AD103" s="12"/>
    </row>
    <row r="104" spans="1:30" ht="13.5" customHeight="1">
      <c r="A104" s="4"/>
      <c r="B104" s="4"/>
      <c r="C104" s="4"/>
      <c r="D104" s="4"/>
      <c r="E104" s="4"/>
      <c r="F104" s="4"/>
      <c r="G104" s="4"/>
      <c r="H104" s="4"/>
      <c r="I104" s="4"/>
      <c r="J104" s="4"/>
      <c r="K104" s="4"/>
      <c r="L104" s="4"/>
      <c r="M104" s="4"/>
      <c r="N104" s="4"/>
      <c r="O104" s="4"/>
      <c r="P104" s="4"/>
      <c r="Q104" s="4"/>
      <c r="R104" s="12"/>
      <c r="S104" s="12"/>
      <c r="T104" s="12"/>
      <c r="U104" s="12"/>
      <c r="V104" s="12"/>
      <c r="W104" s="12"/>
      <c r="X104" s="12"/>
      <c r="Y104" s="12"/>
      <c r="Z104" s="12"/>
      <c r="AA104" s="12"/>
      <c r="AB104" s="12"/>
      <c r="AC104" s="12"/>
      <c r="AD104" s="12"/>
    </row>
    <row r="105" spans="1:30" ht="13.5" customHeight="1">
      <c r="A105" s="4"/>
      <c r="B105" s="4"/>
      <c r="C105" s="4"/>
      <c r="D105" s="4"/>
      <c r="E105" s="4"/>
      <c r="F105" s="4"/>
      <c r="G105" s="4"/>
      <c r="H105" s="4"/>
      <c r="I105" s="4"/>
      <c r="J105" s="4"/>
      <c r="K105" s="4"/>
      <c r="L105" s="4"/>
      <c r="M105" s="4"/>
      <c r="N105" s="4"/>
      <c r="O105" s="4"/>
      <c r="P105" s="4"/>
      <c r="Q105" s="4"/>
      <c r="R105" s="12"/>
      <c r="S105" s="12"/>
      <c r="T105" s="12"/>
      <c r="U105" s="12"/>
      <c r="V105" s="12"/>
      <c r="W105" s="12"/>
      <c r="X105" s="12"/>
      <c r="Y105" s="12"/>
      <c r="Z105" s="12"/>
      <c r="AA105" s="12"/>
      <c r="AB105" s="12"/>
      <c r="AC105" s="12"/>
      <c r="AD105" s="12"/>
    </row>
    <row r="106" spans="1:30" ht="13.5" customHeight="1">
      <c r="A106" s="4"/>
      <c r="B106" s="4"/>
      <c r="C106" s="4"/>
      <c r="D106" s="4"/>
      <c r="E106" s="4"/>
      <c r="F106" s="4"/>
      <c r="G106" s="4"/>
      <c r="H106" s="4"/>
      <c r="I106" s="4"/>
      <c r="J106" s="4"/>
      <c r="K106" s="4"/>
      <c r="L106" s="4"/>
      <c r="M106" s="4"/>
      <c r="N106" s="4"/>
      <c r="O106" s="4"/>
      <c r="P106" s="4"/>
      <c r="Q106" s="4"/>
      <c r="R106" s="12"/>
      <c r="S106" s="12"/>
      <c r="T106" s="12"/>
      <c r="U106" s="12"/>
      <c r="V106" s="12"/>
      <c r="W106" s="12"/>
      <c r="X106" s="12"/>
      <c r="Y106" s="12"/>
      <c r="Z106" s="12"/>
      <c r="AA106" s="12"/>
      <c r="AB106" s="12"/>
      <c r="AC106" s="12"/>
      <c r="AD106" s="12"/>
    </row>
    <row r="107" spans="1:30" ht="13.5" customHeight="1">
      <c r="A107" s="4"/>
      <c r="B107" s="4"/>
      <c r="C107" s="4"/>
      <c r="D107" s="4"/>
      <c r="E107" s="4"/>
      <c r="F107" s="4"/>
      <c r="G107" s="4"/>
      <c r="H107" s="4"/>
      <c r="I107" s="4"/>
      <c r="J107" s="4"/>
      <c r="K107" s="4"/>
      <c r="L107" s="4"/>
      <c r="M107" s="4"/>
      <c r="N107" s="4"/>
      <c r="O107" s="4"/>
      <c r="P107" s="4"/>
      <c r="Q107" s="4"/>
      <c r="R107" s="12"/>
      <c r="S107" s="12"/>
      <c r="T107" s="12"/>
      <c r="U107" s="12"/>
      <c r="V107" s="12"/>
      <c r="W107" s="12"/>
      <c r="X107" s="12"/>
      <c r="Y107" s="12"/>
      <c r="Z107" s="12"/>
      <c r="AA107" s="12"/>
      <c r="AB107" s="12"/>
      <c r="AC107" s="12"/>
      <c r="AD107" s="12"/>
    </row>
    <row r="108" spans="1:30" ht="13.5" customHeight="1">
      <c r="A108" s="4"/>
      <c r="B108" s="4"/>
      <c r="C108" s="4"/>
      <c r="D108" s="4"/>
      <c r="E108" s="4"/>
      <c r="F108" s="4"/>
      <c r="G108" s="4"/>
      <c r="H108" s="4"/>
      <c r="I108" s="4"/>
      <c r="J108" s="4"/>
      <c r="K108" s="4"/>
      <c r="L108" s="4"/>
      <c r="M108" s="4"/>
      <c r="N108" s="4"/>
      <c r="O108" s="4"/>
      <c r="P108" s="4"/>
      <c r="Q108" s="4"/>
      <c r="R108" s="12"/>
      <c r="S108" s="12"/>
      <c r="T108" s="12"/>
      <c r="U108" s="12"/>
      <c r="V108" s="12"/>
      <c r="W108" s="12"/>
      <c r="X108" s="12"/>
      <c r="Y108" s="12"/>
      <c r="Z108" s="12"/>
      <c r="AA108" s="12"/>
      <c r="AB108" s="12"/>
      <c r="AC108" s="12"/>
      <c r="AD108" s="12"/>
    </row>
    <row r="109" spans="1:30" ht="13.5" customHeight="1">
      <c r="A109" s="4"/>
      <c r="B109" s="4"/>
      <c r="C109" s="4"/>
      <c r="D109" s="4"/>
      <c r="E109" s="4"/>
      <c r="F109" s="4"/>
      <c r="G109" s="4"/>
      <c r="H109" s="4"/>
      <c r="I109" s="4"/>
      <c r="J109" s="4"/>
      <c r="K109" s="4"/>
      <c r="L109" s="4"/>
      <c r="M109" s="4"/>
      <c r="N109" s="4"/>
      <c r="O109" s="4"/>
      <c r="P109" s="4"/>
      <c r="Q109" s="4"/>
      <c r="R109" s="12"/>
      <c r="S109" s="12"/>
      <c r="T109" s="12"/>
      <c r="U109" s="12"/>
      <c r="V109" s="12"/>
      <c r="W109" s="12"/>
      <c r="X109" s="12"/>
      <c r="Y109" s="12"/>
      <c r="Z109" s="12"/>
      <c r="AA109" s="12"/>
      <c r="AB109" s="12"/>
      <c r="AC109" s="12"/>
      <c r="AD109" s="12"/>
    </row>
    <row r="110" spans="1:30" ht="13.5" customHeight="1">
      <c r="A110" s="4"/>
      <c r="B110" s="4"/>
      <c r="C110" s="4"/>
      <c r="D110" s="4"/>
      <c r="E110" s="4"/>
      <c r="F110" s="4"/>
      <c r="G110" s="4"/>
      <c r="H110" s="4"/>
      <c r="I110" s="4"/>
      <c r="J110" s="4"/>
      <c r="K110" s="4"/>
      <c r="L110" s="4"/>
      <c r="M110" s="4"/>
      <c r="N110" s="4"/>
      <c r="O110" s="4"/>
      <c r="P110" s="4"/>
      <c r="Q110" s="4"/>
      <c r="R110" s="12"/>
      <c r="S110" s="12"/>
      <c r="T110" s="12"/>
      <c r="U110" s="12"/>
      <c r="V110" s="12"/>
      <c r="W110" s="12"/>
      <c r="X110" s="12"/>
      <c r="Y110" s="12"/>
      <c r="Z110" s="12"/>
      <c r="AA110" s="12"/>
      <c r="AB110" s="12"/>
      <c r="AC110" s="12"/>
      <c r="AD110" s="12"/>
    </row>
    <row r="111" spans="1:30" ht="13.5" customHeight="1">
      <c r="A111" s="4"/>
      <c r="B111" s="4"/>
      <c r="C111" s="4"/>
      <c r="D111" s="4"/>
      <c r="E111" s="4"/>
      <c r="F111" s="4"/>
      <c r="G111" s="4"/>
      <c r="H111" s="4"/>
      <c r="I111" s="4"/>
      <c r="J111" s="4"/>
      <c r="K111" s="4"/>
      <c r="L111" s="4"/>
      <c r="M111" s="4"/>
      <c r="N111" s="4"/>
      <c r="O111" s="4"/>
      <c r="P111" s="4"/>
      <c r="Q111" s="4"/>
      <c r="R111" s="12"/>
      <c r="S111" s="12"/>
      <c r="T111" s="12"/>
      <c r="U111" s="12"/>
      <c r="V111" s="12"/>
      <c r="W111" s="12"/>
      <c r="X111" s="12"/>
      <c r="Y111" s="12"/>
      <c r="Z111" s="12"/>
      <c r="AA111" s="12"/>
      <c r="AB111" s="12"/>
      <c r="AC111" s="12"/>
      <c r="AD111" s="12"/>
    </row>
    <row r="112" spans="1:30" ht="13.5" customHeight="1">
      <c r="A112" s="4"/>
      <c r="B112" s="4"/>
      <c r="C112" s="4"/>
      <c r="D112" s="4"/>
      <c r="E112" s="4"/>
      <c r="F112" s="4"/>
      <c r="G112" s="4"/>
      <c r="H112" s="4"/>
      <c r="I112" s="4"/>
      <c r="J112" s="4"/>
      <c r="K112" s="4"/>
      <c r="L112" s="4"/>
      <c r="M112" s="4"/>
      <c r="N112" s="4"/>
      <c r="O112" s="4"/>
      <c r="P112" s="4"/>
      <c r="Q112" s="4"/>
      <c r="R112" s="12"/>
      <c r="S112" s="12"/>
      <c r="T112" s="12"/>
      <c r="U112" s="12"/>
      <c r="V112" s="12"/>
      <c r="W112" s="12"/>
      <c r="X112" s="12"/>
      <c r="Y112" s="12"/>
      <c r="Z112" s="12"/>
      <c r="AA112" s="12"/>
      <c r="AB112" s="12"/>
      <c r="AC112" s="12"/>
      <c r="AD112" s="12"/>
    </row>
    <row r="113" spans="1:30" ht="13.5" customHeight="1">
      <c r="A113" s="4"/>
      <c r="B113" s="4"/>
      <c r="C113" s="4"/>
      <c r="D113" s="4"/>
      <c r="E113" s="4"/>
      <c r="F113" s="4"/>
      <c r="G113" s="4"/>
      <c r="H113" s="4"/>
      <c r="I113" s="4"/>
      <c r="J113" s="4"/>
      <c r="K113" s="4"/>
      <c r="L113" s="4"/>
      <c r="M113" s="4"/>
      <c r="N113" s="4"/>
      <c r="O113" s="4"/>
      <c r="P113" s="4"/>
      <c r="Q113" s="4"/>
      <c r="R113" s="12"/>
      <c r="S113" s="12"/>
      <c r="T113" s="12"/>
      <c r="U113" s="12"/>
      <c r="V113" s="12"/>
      <c r="W113" s="12"/>
      <c r="X113" s="12"/>
      <c r="Y113" s="12"/>
      <c r="Z113" s="12"/>
      <c r="AA113" s="12"/>
      <c r="AB113" s="12"/>
      <c r="AC113" s="12"/>
      <c r="AD113" s="12"/>
    </row>
    <row r="114" spans="1:30" ht="13.5" customHeight="1">
      <c r="A114" s="4"/>
      <c r="B114" s="4"/>
      <c r="C114" s="4"/>
      <c r="D114" s="4"/>
      <c r="E114" s="4"/>
      <c r="F114" s="4"/>
      <c r="G114" s="4"/>
      <c r="H114" s="4"/>
      <c r="I114" s="4"/>
      <c r="J114" s="4"/>
      <c r="K114" s="4"/>
      <c r="L114" s="4"/>
      <c r="M114" s="4"/>
      <c r="N114" s="4"/>
      <c r="O114" s="4"/>
      <c r="P114" s="4"/>
      <c r="Q114" s="4"/>
      <c r="R114" s="12"/>
      <c r="S114" s="12"/>
      <c r="T114" s="12"/>
      <c r="U114" s="12"/>
      <c r="V114" s="12"/>
      <c r="W114" s="12"/>
      <c r="X114" s="12"/>
      <c r="Y114" s="12"/>
      <c r="Z114" s="12"/>
      <c r="AA114" s="12"/>
      <c r="AB114" s="12"/>
      <c r="AC114" s="12"/>
      <c r="AD114" s="12"/>
    </row>
    <row r="115" spans="1:30" ht="13.5" customHeight="1">
      <c r="A115" s="4"/>
      <c r="B115" s="4"/>
      <c r="C115" s="4"/>
      <c r="D115" s="4"/>
      <c r="E115" s="4"/>
      <c r="F115" s="4"/>
      <c r="G115" s="4"/>
      <c r="H115" s="4"/>
      <c r="I115" s="4"/>
      <c r="J115" s="4"/>
      <c r="K115" s="4"/>
      <c r="L115" s="4"/>
      <c r="M115" s="4"/>
      <c r="N115" s="4"/>
      <c r="O115" s="4"/>
      <c r="P115" s="4"/>
      <c r="Q115" s="4"/>
      <c r="R115" s="12"/>
      <c r="S115" s="12"/>
      <c r="T115" s="12"/>
      <c r="U115" s="12"/>
      <c r="V115" s="12"/>
      <c r="W115" s="12"/>
      <c r="X115" s="12"/>
      <c r="Y115" s="12"/>
      <c r="Z115" s="12"/>
      <c r="AA115" s="12"/>
      <c r="AB115" s="12"/>
      <c r="AC115" s="12"/>
      <c r="AD115" s="12"/>
    </row>
    <row r="116" spans="1:30" ht="13.5" customHeight="1">
      <c r="A116" s="4"/>
      <c r="B116" s="4"/>
      <c r="C116" s="4"/>
      <c r="D116" s="4"/>
      <c r="E116" s="4"/>
      <c r="F116" s="4"/>
      <c r="G116" s="4"/>
      <c r="H116" s="4"/>
      <c r="I116" s="4"/>
      <c r="J116" s="4"/>
      <c r="K116" s="4"/>
      <c r="L116" s="4"/>
      <c r="M116" s="4"/>
      <c r="N116" s="4"/>
      <c r="O116" s="4"/>
      <c r="P116" s="4"/>
      <c r="Q116" s="4"/>
      <c r="R116" s="12"/>
      <c r="S116" s="12"/>
      <c r="T116" s="12"/>
      <c r="U116" s="12"/>
      <c r="V116" s="12"/>
      <c r="W116" s="12"/>
      <c r="X116" s="12"/>
      <c r="Y116" s="12"/>
      <c r="Z116" s="12"/>
      <c r="AA116" s="12"/>
      <c r="AB116" s="12"/>
      <c r="AC116" s="12"/>
      <c r="AD116" s="12"/>
    </row>
    <row r="117" spans="1:30" ht="13.5" customHeight="1">
      <c r="A117" s="4"/>
      <c r="B117" s="4"/>
      <c r="C117" s="4"/>
      <c r="D117" s="4"/>
      <c r="E117" s="4"/>
      <c r="F117" s="4"/>
      <c r="G117" s="4"/>
      <c r="H117" s="4"/>
      <c r="I117" s="4"/>
      <c r="J117" s="4"/>
      <c r="K117" s="4"/>
      <c r="L117" s="4"/>
      <c r="M117" s="4"/>
      <c r="N117" s="4"/>
      <c r="O117" s="4"/>
      <c r="P117" s="4"/>
      <c r="Q117" s="4"/>
      <c r="R117" s="12"/>
      <c r="S117" s="12"/>
      <c r="T117" s="12"/>
      <c r="U117" s="12"/>
      <c r="V117" s="12"/>
      <c r="W117" s="12"/>
      <c r="X117" s="12"/>
      <c r="Y117" s="12"/>
      <c r="Z117" s="12"/>
      <c r="AA117" s="12"/>
      <c r="AB117" s="12"/>
      <c r="AC117" s="12"/>
      <c r="AD117" s="12"/>
    </row>
    <row r="118" spans="1:30" ht="13.5" customHeight="1">
      <c r="A118" s="4"/>
      <c r="B118" s="4"/>
      <c r="C118" s="4"/>
      <c r="D118" s="4"/>
      <c r="E118" s="4"/>
      <c r="F118" s="4"/>
      <c r="G118" s="4"/>
      <c r="H118" s="4"/>
      <c r="I118" s="4"/>
      <c r="J118" s="4"/>
      <c r="K118" s="4"/>
      <c r="L118" s="4"/>
      <c r="M118" s="4"/>
      <c r="N118" s="4"/>
      <c r="O118" s="4"/>
      <c r="P118" s="4"/>
      <c r="Q118" s="4"/>
      <c r="R118" s="12"/>
      <c r="S118" s="12"/>
      <c r="T118" s="12"/>
      <c r="U118" s="12"/>
      <c r="V118" s="12"/>
      <c r="W118" s="12"/>
      <c r="X118" s="12"/>
      <c r="Y118" s="12"/>
      <c r="Z118" s="12"/>
      <c r="AA118" s="12"/>
      <c r="AB118" s="12"/>
      <c r="AC118" s="12"/>
      <c r="AD118" s="12"/>
    </row>
    <row r="119" spans="1:30" ht="13.5" customHeight="1">
      <c r="A119" s="4"/>
      <c r="B119" s="4"/>
      <c r="C119" s="4"/>
      <c r="D119" s="4"/>
      <c r="E119" s="4"/>
      <c r="F119" s="4"/>
      <c r="G119" s="4"/>
      <c r="H119" s="4"/>
      <c r="I119" s="4"/>
      <c r="J119" s="4"/>
      <c r="K119" s="4"/>
      <c r="L119" s="4"/>
      <c r="M119" s="4"/>
      <c r="N119" s="4"/>
      <c r="O119" s="4"/>
      <c r="P119" s="4"/>
      <c r="Q119" s="4"/>
      <c r="R119" s="12"/>
      <c r="S119" s="12"/>
      <c r="T119" s="12"/>
      <c r="U119" s="12"/>
      <c r="V119" s="12"/>
      <c r="W119" s="12"/>
      <c r="X119" s="12"/>
      <c r="Y119" s="12"/>
      <c r="Z119" s="12"/>
      <c r="AA119" s="12"/>
      <c r="AB119" s="12"/>
      <c r="AC119" s="12"/>
      <c r="AD119" s="12"/>
    </row>
    <row r="120" spans="1:30" ht="13.5" customHeight="1">
      <c r="A120" s="4"/>
      <c r="B120" s="4"/>
      <c r="C120" s="4"/>
      <c r="D120" s="4"/>
      <c r="E120" s="4"/>
      <c r="F120" s="4"/>
      <c r="G120" s="4"/>
      <c r="H120" s="4"/>
      <c r="I120" s="4"/>
      <c r="J120" s="4"/>
      <c r="K120" s="4"/>
      <c r="L120" s="4"/>
      <c r="M120" s="4"/>
      <c r="N120" s="4"/>
      <c r="O120" s="4"/>
      <c r="P120" s="4"/>
      <c r="Q120" s="4"/>
      <c r="R120" s="12"/>
      <c r="S120" s="12"/>
      <c r="T120" s="12"/>
      <c r="U120" s="12"/>
      <c r="V120" s="12"/>
      <c r="W120" s="12"/>
      <c r="X120" s="12"/>
      <c r="Y120" s="12"/>
      <c r="Z120" s="12"/>
      <c r="AA120" s="12"/>
      <c r="AB120" s="12"/>
      <c r="AC120" s="12"/>
      <c r="AD120" s="12"/>
    </row>
    <row r="121" spans="1:30" ht="13.5" customHeight="1">
      <c r="A121" s="4"/>
      <c r="B121" s="4"/>
      <c r="C121" s="4"/>
      <c r="D121" s="4"/>
      <c r="E121" s="4"/>
      <c r="F121" s="4"/>
      <c r="G121" s="4"/>
      <c r="H121" s="4"/>
      <c r="I121" s="4"/>
      <c r="J121" s="4"/>
      <c r="K121" s="4"/>
      <c r="L121" s="4"/>
      <c r="M121" s="4"/>
      <c r="N121" s="4"/>
      <c r="O121" s="4"/>
      <c r="P121" s="4"/>
      <c r="Q121" s="4"/>
      <c r="R121" s="12"/>
      <c r="S121" s="12"/>
      <c r="T121" s="12"/>
      <c r="U121" s="12"/>
      <c r="V121" s="12"/>
      <c r="W121" s="12"/>
      <c r="X121" s="12"/>
      <c r="Y121" s="12"/>
      <c r="Z121" s="12"/>
      <c r="AA121" s="12"/>
      <c r="AB121" s="12"/>
      <c r="AC121" s="12"/>
      <c r="AD121" s="12"/>
    </row>
    <row r="122" spans="1:30" ht="13.5" customHeight="1">
      <c r="A122" s="4"/>
      <c r="B122" s="4"/>
      <c r="C122" s="4"/>
      <c r="D122" s="4"/>
      <c r="E122" s="4"/>
      <c r="F122" s="4"/>
      <c r="G122" s="4"/>
      <c r="H122" s="4"/>
      <c r="I122" s="4"/>
      <c r="J122" s="4"/>
      <c r="K122" s="4"/>
      <c r="L122" s="4"/>
      <c r="M122" s="4"/>
      <c r="N122" s="4"/>
      <c r="O122" s="4"/>
      <c r="P122" s="4"/>
      <c r="Q122" s="4"/>
      <c r="R122" s="12"/>
      <c r="S122" s="12"/>
      <c r="T122" s="12"/>
      <c r="U122" s="12"/>
      <c r="V122" s="12"/>
      <c r="W122" s="12"/>
      <c r="X122" s="12"/>
      <c r="Y122" s="12"/>
      <c r="Z122" s="12"/>
      <c r="AA122" s="12"/>
      <c r="AB122" s="12"/>
      <c r="AC122" s="12"/>
      <c r="AD122" s="12"/>
    </row>
    <row r="123" spans="1:30" ht="13.5" customHeight="1">
      <c r="A123" s="4"/>
      <c r="B123" s="4"/>
      <c r="C123" s="4"/>
      <c r="D123" s="4"/>
      <c r="E123" s="4"/>
      <c r="F123" s="4"/>
      <c r="G123" s="4"/>
      <c r="H123" s="4"/>
      <c r="I123" s="4"/>
      <c r="J123" s="4"/>
      <c r="K123" s="4"/>
      <c r="L123" s="4"/>
      <c r="M123" s="4"/>
      <c r="N123" s="4"/>
      <c r="O123" s="4"/>
      <c r="P123" s="4"/>
      <c r="Q123" s="4"/>
      <c r="R123" s="12"/>
      <c r="S123" s="12"/>
      <c r="T123" s="12"/>
      <c r="U123" s="12"/>
      <c r="V123" s="12"/>
      <c r="W123" s="12"/>
      <c r="X123" s="12"/>
      <c r="Y123" s="12"/>
      <c r="Z123" s="12"/>
      <c r="AA123" s="12"/>
      <c r="AB123" s="12"/>
      <c r="AC123" s="12"/>
      <c r="AD123" s="12"/>
    </row>
    <row r="124" spans="1:30" ht="13.5" customHeight="1">
      <c r="A124" s="4"/>
      <c r="B124" s="4"/>
      <c r="C124" s="4"/>
      <c r="D124" s="4"/>
      <c r="E124" s="4"/>
      <c r="F124" s="4"/>
      <c r="G124" s="4"/>
      <c r="H124" s="4"/>
      <c r="I124" s="4"/>
      <c r="J124" s="4"/>
      <c r="K124" s="4"/>
      <c r="L124" s="4"/>
      <c r="M124" s="4"/>
      <c r="N124" s="4"/>
      <c r="O124" s="4"/>
      <c r="P124" s="4"/>
      <c r="Q124" s="4"/>
      <c r="R124" s="12"/>
      <c r="S124" s="12"/>
      <c r="T124" s="12"/>
      <c r="U124" s="12"/>
      <c r="V124" s="12"/>
      <c r="W124" s="12"/>
      <c r="X124" s="12"/>
      <c r="Y124" s="12"/>
      <c r="Z124" s="12"/>
      <c r="AA124" s="12"/>
      <c r="AB124" s="12"/>
      <c r="AC124" s="12"/>
      <c r="AD124" s="12"/>
    </row>
    <row r="125" spans="1:30" ht="13.5" customHeight="1">
      <c r="A125" s="4"/>
      <c r="B125" s="4"/>
      <c r="C125" s="4"/>
      <c r="D125" s="4"/>
      <c r="E125" s="4"/>
      <c r="F125" s="4"/>
      <c r="G125" s="4"/>
      <c r="H125" s="4"/>
      <c r="I125" s="4"/>
      <c r="J125" s="4"/>
      <c r="K125" s="4"/>
      <c r="L125" s="4"/>
      <c r="M125" s="4"/>
      <c r="N125" s="4"/>
      <c r="O125" s="4"/>
      <c r="P125" s="4"/>
      <c r="Q125" s="4"/>
      <c r="R125" s="12"/>
      <c r="S125" s="12"/>
      <c r="T125" s="12"/>
      <c r="U125" s="12"/>
      <c r="V125" s="12"/>
      <c r="W125" s="12"/>
      <c r="X125" s="12"/>
      <c r="Y125" s="12"/>
      <c r="Z125" s="12"/>
      <c r="AA125" s="12"/>
      <c r="AB125" s="12"/>
      <c r="AC125" s="12"/>
      <c r="AD125" s="12"/>
    </row>
    <row r="126" spans="1:30" ht="13.5" customHeight="1">
      <c r="A126" s="4"/>
      <c r="B126" s="4"/>
      <c r="C126" s="4"/>
      <c r="D126" s="4"/>
      <c r="E126" s="4"/>
      <c r="F126" s="4"/>
      <c r="G126" s="4"/>
      <c r="H126" s="4"/>
      <c r="I126" s="4"/>
      <c r="J126" s="4"/>
      <c r="K126" s="4"/>
      <c r="L126" s="4"/>
      <c r="M126" s="4"/>
      <c r="N126" s="4"/>
      <c r="O126" s="4"/>
      <c r="P126" s="4"/>
      <c r="Q126" s="4"/>
      <c r="R126" s="12"/>
      <c r="S126" s="12"/>
      <c r="T126" s="12"/>
      <c r="U126" s="12"/>
      <c r="V126" s="12"/>
      <c r="W126" s="12"/>
      <c r="X126" s="12"/>
      <c r="Y126" s="12"/>
      <c r="Z126" s="12"/>
      <c r="AA126" s="12"/>
      <c r="AB126" s="12"/>
      <c r="AC126" s="12"/>
      <c r="AD126" s="12"/>
    </row>
    <row r="127" spans="1:30" ht="13.5" customHeight="1">
      <c r="A127" s="4"/>
      <c r="B127" s="4"/>
      <c r="C127" s="4"/>
      <c r="D127" s="4"/>
      <c r="E127" s="4"/>
      <c r="F127" s="4"/>
      <c r="G127" s="4"/>
      <c r="H127" s="4"/>
      <c r="I127" s="4"/>
      <c r="J127" s="4"/>
      <c r="K127" s="4"/>
      <c r="L127" s="4"/>
      <c r="M127" s="4"/>
      <c r="N127" s="4"/>
      <c r="O127" s="4"/>
      <c r="P127" s="4"/>
      <c r="Q127" s="4"/>
      <c r="R127" s="12"/>
      <c r="S127" s="12"/>
      <c r="T127" s="12"/>
      <c r="U127" s="12"/>
      <c r="V127" s="12"/>
      <c r="W127" s="12"/>
      <c r="X127" s="12"/>
      <c r="Y127" s="12"/>
      <c r="Z127" s="12"/>
      <c r="AA127" s="12"/>
      <c r="AB127" s="12"/>
      <c r="AC127" s="12"/>
      <c r="AD127" s="12"/>
    </row>
    <row r="128" spans="1:30" ht="13.5" customHeight="1">
      <c r="A128" s="4"/>
      <c r="B128" s="4"/>
      <c r="C128" s="4"/>
      <c r="D128" s="4"/>
      <c r="E128" s="4"/>
      <c r="F128" s="4"/>
      <c r="G128" s="4"/>
      <c r="H128" s="4"/>
      <c r="I128" s="4"/>
      <c r="J128" s="4"/>
      <c r="K128" s="4"/>
      <c r="L128" s="4"/>
      <c r="M128" s="4"/>
      <c r="N128" s="4"/>
      <c r="O128" s="4"/>
      <c r="P128" s="4"/>
      <c r="Q128" s="4"/>
      <c r="R128" s="12"/>
      <c r="S128" s="12"/>
      <c r="T128" s="12"/>
      <c r="U128" s="12"/>
      <c r="V128" s="12"/>
      <c r="W128" s="12"/>
      <c r="X128" s="12"/>
      <c r="Y128" s="12"/>
      <c r="Z128" s="12"/>
      <c r="AA128" s="12"/>
      <c r="AB128" s="12"/>
      <c r="AC128" s="12"/>
      <c r="AD128" s="12"/>
    </row>
    <row r="129" spans="1:30" ht="13.5" customHeight="1">
      <c r="A129" s="4"/>
      <c r="B129" s="4"/>
      <c r="C129" s="4"/>
      <c r="D129" s="4"/>
      <c r="E129" s="4"/>
      <c r="F129" s="4"/>
      <c r="G129" s="4"/>
      <c r="H129" s="4"/>
      <c r="I129" s="4"/>
      <c r="J129" s="4"/>
      <c r="K129" s="4"/>
      <c r="L129" s="4"/>
      <c r="M129" s="4"/>
      <c r="N129" s="4"/>
      <c r="O129" s="4"/>
      <c r="P129" s="4"/>
      <c r="Q129" s="4"/>
      <c r="R129" s="12"/>
      <c r="S129" s="12"/>
      <c r="T129" s="12"/>
      <c r="U129" s="12"/>
      <c r="V129" s="12"/>
      <c r="W129" s="12"/>
      <c r="X129" s="12"/>
      <c r="Y129" s="12"/>
      <c r="Z129" s="12"/>
      <c r="AA129" s="12"/>
      <c r="AB129" s="12"/>
      <c r="AC129" s="12"/>
      <c r="AD129" s="12"/>
    </row>
    <row r="130" spans="1:30" ht="13.5" customHeight="1">
      <c r="A130" s="4"/>
      <c r="B130" s="4"/>
      <c r="C130" s="4"/>
      <c r="D130" s="4"/>
      <c r="E130" s="4"/>
      <c r="F130" s="4"/>
      <c r="G130" s="4"/>
      <c r="H130" s="4"/>
      <c r="I130" s="4"/>
      <c r="J130" s="4"/>
      <c r="K130" s="4"/>
      <c r="L130" s="4"/>
      <c r="M130" s="4"/>
      <c r="N130" s="4"/>
      <c r="O130" s="4"/>
      <c r="P130" s="4"/>
      <c r="Q130" s="4"/>
      <c r="R130" s="12"/>
      <c r="S130" s="12"/>
      <c r="T130" s="12"/>
      <c r="U130" s="12"/>
      <c r="V130" s="12"/>
      <c r="W130" s="12"/>
      <c r="X130" s="12"/>
      <c r="Y130" s="12"/>
      <c r="Z130" s="12"/>
      <c r="AA130" s="12"/>
      <c r="AB130" s="12"/>
      <c r="AC130" s="12"/>
      <c r="AD130" s="12"/>
    </row>
    <row r="131" spans="1:30" ht="13.5" customHeight="1">
      <c r="A131" s="4"/>
      <c r="B131" s="4"/>
      <c r="C131" s="4"/>
      <c r="D131" s="4"/>
      <c r="E131" s="4"/>
      <c r="F131" s="4"/>
      <c r="G131" s="4"/>
      <c r="H131" s="4"/>
      <c r="I131" s="4"/>
      <c r="J131" s="4"/>
      <c r="K131" s="4"/>
      <c r="L131" s="4"/>
      <c r="M131" s="4"/>
      <c r="N131" s="4"/>
      <c r="O131" s="4"/>
      <c r="P131" s="4"/>
      <c r="Q131" s="4"/>
      <c r="R131" s="12"/>
      <c r="S131" s="12"/>
      <c r="T131" s="12"/>
      <c r="U131" s="12"/>
      <c r="V131" s="12"/>
      <c r="W131" s="12"/>
      <c r="X131" s="12"/>
      <c r="Y131" s="12"/>
      <c r="Z131" s="12"/>
      <c r="AA131" s="12"/>
      <c r="AB131" s="12"/>
      <c r="AC131" s="12"/>
      <c r="AD131" s="12"/>
    </row>
    <row r="132" spans="1:30" ht="13.5" customHeight="1">
      <c r="A132" s="4"/>
      <c r="B132" s="4"/>
      <c r="C132" s="4"/>
      <c r="D132" s="4"/>
      <c r="E132" s="4"/>
      <c r="F132" s="4"/>
      <c r="G132" s="4"/>
      <c r="H132" s="4"/>
      <c r="I132" s="4"/>
      <c r="J132" s="4"/>
      <c r="K132" s="4"/>
      <c r="L132" s="4"/>
      <c r="M132" s="4"/>
      <c r="N132" s="4"/>
      <c r="O132" s="4"/>
      <c r="P132" s="4"/>
      <c r="Q132" s="4"/>
      <c r="R132" s="12"/>
      <c r="S132" s="12"/>
      <c r="T132" s="12"/>
      <c r="U132" s="12"/>
      <c r="V132" s="12"/>
      <c r="W132" s="12"/>
      <c r="X132" s="12"/>
      <c r="Y132" s="12"/>
      <c r="Z132" s="12"/>
      <c r="AA132" s="12"/>
      <c r="AB132" s="12"/>
      <c r="AC132" s="12"/>
      <c r="AD132" s="12"/>
    </row>
    <row r="133" spans="1:30" ht="13.5" customHeight="1">
      <c r="A133" s="4"/>
      <c r="B133" s="4"/>
      <c r="C133" s="4"/>
      <c r="D133" s="4"/>
      <c r="E133" s="4"/>
      <c r="F133" s="4"/>
      <c r="G133" s="4"/>
      <c r="H133" s="4"/>
      <c r="I133" s="4"/>
      <c r="J133" s="4"/>
      <c r="K133" s="4"/>
      <c r="L133" s="4"/>
      <c r="M133" s="4"/>
      <c r="N133" s="4"/>
      <c r="O133" s="4"/>
      <c r="P133" s="4"/>
      <c r="Q133" s="4"/>
      <c r="R133" s="12"/>
      <c r="S133" s="12"/>
      <c r="T133" s="12"/>
      <c r="U133" s="12"/>
      <c r="V133" s="12"/>
      <c r="W133" s="12"/>
      <c r="X133" s="12"/>
      <c r="Y133" s="12"/>
      <c r="Z133" s="12"/>
      <c r="AA133" s="12"/>
      <c r="AB133" s="12"/>
      <c r="AC133" s="12"/>
      <c r="AD133" s="12"/>
    </row>
    <row r="134" spans="1:30" ht="13.5" customHeight="1">
      <c r="A134" s="4"/>
      <c r="B134" s="4"/>
      <c r="C134" s="4"/>
      <c r="D134" s="4"/>
      <c r="E134" s="4"/>
      <c r="F134" s="4"/>
      <c r="G134" s="4"/>
      <c r="H134" s="4"/>
      <c r="I134" s="4"/>
      <c r="J134" s="4"/>
      <c r="K134" s="4"/>
      <c r="L134" s="4"/>
      <c r="M134" s="4"/>
      <c r="N134" s="4"/>
      <c r="O134" s="4"/>
      <c r="P134" s="4"/>
      <c r="Q134" s="4"/>
      <c r="R134" s="12"/>
      <c r="S134" s="12"/>
      <c r="T134" s="12"/>
      <c r="U134" s="12"/>
      <c r="V134" s="12"/>
      <c r="W134" s="12"/>
      <c r="X134" s="12"/>
      <c r="Y134" s="12"/>
      <c r="Z134" s="12"/>
      <c r="AA134" s="12"/>
      <c r="AB134" s="12"/>
      <c r="AC134" s="12"/>
      <c r="AD134" s="12"/>
    </row>
    <row r="135" spans="1:30" ht="13.5" customHeight="1">
      <c r="A135" s="4"/>
      <c r="B135" s="4"/>
      <c r="C135" s="4"/>
      <c r="D135" s="4"/>
      <c r="E135" s="4"/>
      <c r="F135" s="4"/>
      <c r="G135" s="4"/>
      <c r="H135" s="4"/>
      <c r="I135" s="4"/>
      <c r="J135" s="4"/>
      <c r="K135" s="4"/>
      <c r="L135" s="4"/>
      <c r="M135" s="4"/>
      <c r="N135" s="4"/>
      <c r="O135" s="4"/>
      <c r="P135" s="4"/>
      <c r="Q135" s="4"/>
      <c r="R135" s="12"/>
      <c r="S135" s="12"/>
      <c r="T135" s="12"/>
      <c r="U135" s="12"/>
      <c r="V135" s="12"/>
      <c r="W135" s="12"/>
      <c r="X135" s="12"/>
      <c r="Y135" s="12"/>
      <c r="Z135" s="12"/>
      <c r="AA135" s="12"/>
      <c r="AB135" s="12"/>
      <c r="AC135" s="12"/>
      <c r="AD135" s="12"/>
    </row>
    <row r="136" spans="1:30" ht="13.5" customHeight="1">
      <c r="A136" s="4"/>
      <c r="B136" s="4"/>
      <c r="C136" s="4"/>
      <c r="D136" s="4"/>
      <c r="E136" s="4"/>
      <c r="F136" s="4"/>
      <c r="G136" s="4"/>
      <c r="H136" s="4"/>
      <c r="I136" s="4"/>
      <c r="J136" s="4"/>
      <c r="K136" s="4"/>
      <c r="L136" s="4"/>
      <c r="M136" s="4"/>
      <c r="N136" s="4"/>
      <c r="O136" s="4"/>
      <c r="P136" s="4"/>
      <c r="Q136" s="4"/>
      <c r="R136" s="12"/>
      <c r="S136" s="12"/>
      <c r="T136" s="12"/>
      <c r="U136" s="12"/>
      <c r="V136" s="12"/>
      <c r="W136" s="12"/>
      <c r="X136" s="12"/>
      <c r="Y136" s="12"/>
      <c r="Z136" s="12"/>
      <c r="AA136" s="12"/>
      <c r="AB136" s="12"/>
      <c r="AC136" s="12"/>
      <c r="AD136" s="12"/>
    </row>
    <row r="137" spans="1:30" ht="13.5" customHeight="1">
      <c r="A137" s="4"/>
      <c r="B137" s="4"/>
      <c r="C137" s="4"/>
      <c r="D137" s="4"/>
      <c r="E137" s="4"/>
      <c r="F137" s="4"/>
      <c r="G137" s="4"/>
      <c r="H137" s="4"/>
      <c r="I137" s="4"/>
      <c r="J137" s="4"/>
      <c r="K137" s="4"/>
      <c r="L137" s="4"/>
      <c r="M137" s="4"/>
      <c r="N137" s="4"/>
      <c r="O137" s="4"/>
      <c r="P137" s="4"/>
      <c r="Q137" s="4"/>
      <c r="R137" s="12"/>
      <c r="S137" s="12"/>
      <c r="T137" s="12"/>
      <c r="U137" s="12"/>
      <c r="V137" s="12"/>
      <c r="W137" s="12"/>
      <c r="X137" s="12"/>
      <c r="Y137" s="12"/>
      <c r="Z137" s="12"/>
      <c r="AA137" s="12"/>
      <c r="AB137" s="12"/>
      <c r="AC137" s="12"/>
      <c r="AD137" s="12"/>
    </row>
    <row r="138" spans="1:30" ht="13.5" customHeight="1">
      <c r="A138" s="4"/>
      <c r="B138" s="4"/>
      <c r="C138" s="4"/>
      <c r="D138" s="4"/>
      <c r="E138" s="4"/>
      <c r="F138" s="4"/>
      <c r="G138" s="4"/>
      <c r="H138" s="4"/>
      <c r="I138" s="4"/>
      <c r="J138" s="4"/>
      <c r="K138" s="4"/>
      <c r="L138" s="4"/>
      <c r="M138" s="4"/>
      <c r="N138" s="4"/>
      <c r="O138" s="4"/>
      <c r="P138" s="4"/>
      <c r="Q138" s="4"/>
      <c r="R138" s="12"/>
      <c r="S138" s="12"/>
      <c r="T138" s="12"/>
      <c r="U138" s="12"/>
      <c r="V138" s="12"/>
      <c r="W138" s="12"/>
      <c r="X138" s="12"/>
      <c r="Y138" s="12"/>
      <c r="Z138" s="12"/>
      <c r="AA138" s="12"/>
      <c r="AB138" s="12"/>
      <c r="AC138" s="12"/>
      <c r="AD138" s="12"/>
    </row>
    <row r="139" spans="1:30" ht="13.5" customHeight="1">
      <c r="A139" s="4"/>
      <c r="B139" s="4"/>
      <c r="C139" s="4"/>
      <c r="D139" s="4"/>
      <c r="E139" s="4"/>
      <c r="F139" s="4"/>
      <c r="G139" s="4"/>
      <c r="H139" s="4"/>
      <c r="I139" s="4"/>
      <c r="J139" s="4"/>
      <c r="K139" s="4"/>
      <c r="L139" s="4"/>
      <c r="M139" s="4"/>
      <c r="N139" s="4"/>
      <c r="O139" s="4"/>
      <c r="P139" s="4"/>
      <c r="Q139" s="4"/>
      <c r="R139" s="12"/>
      <c r="S139" s="12"/>
      <c r="T139" s="12"/>
      <c r="U139" s="12"/>
      <c r="V139" s="12"/>
      <c r="W139" s="12"/>
      <c r="X139" s="12"/>
      <c r="Y139" s="12"/>
      <c r="Z139" s="12"/>
      <c r="AA139" s="12"/>
      <c r="AB139" s="12"/>
      <c r="AC139" s="12"/>
      <c r="AD139" s="12"/>
    </row>
    <row r="140" spans="1:30" ht="13.5" customHeight="1">
      <c r="A140" s="4"/>
      <c r="B140" s="4"/>
      <c r="C140" s="4"/>
      <c r="D140" s="4"/>
      <c r="E140" s="4"/>
      <c r="F140" s="4"/>
      <c r="G140" s="4"/>
      <c r="H140" s="4"/>
      <c r="I140" s="4"/>
      <c r="J140" s="4"/>
      <c r="K140" s="4"/>
      <c r="L140" s="4"/>
      <c r="M140" s="4"/>
      <c r="N140" s="4"/>
      <c r="O140" s="4"/>
      <c r="P140" s="4"/>
      <c r="Q140" s="4"/>
      <c r="R140" s="12"/>
      <c r="S140" s="12"/>
      <c r="T140" s="12"/>
      <c r="U140" s="12"/>
      <c r="V140" s="12"/>
      <c r="W140" s="12"/>
      <c r="X140" s="12"/>
      <c r="Y140" s="12"/>
      <c r="Z140" s="12"/>
      <c r="AA140" s="12"/>
      <c r="AB140" s="12"/>
      <c r="AC140" s="12"/>
      <c r="AD140" s="12"/>
    </row>
    <row r="141" spans="1:30" ht="13.5" customHeight="1">
      <c r="A141" s="4"/>
      <c r="B141" s="4"/>
      <c r="C141" s="4"/>
      <c r="D141" s="4"/>
      <c r="E141" s="4"/>
      <c r="F141" s="4"/>
      <c r="G141" s="4"/>
      <c r="H141" s="4"/>
      <c r="I141" s="4"/>
      <c r="J141" s="4"/>
      <c r="K141" s="4"/>
      <c r="L141" s="4"/>
      <c r="M141" s="4"/>
      <c r="N141" s="4"/>
      <c r="O141" s="4"/>
      <c r="P141" s="4"/>
      <c r="Q141" s="4"/>
      <c r="R141" s="12"/>
      <c r="S141" s="12"/>
      <c r="T141" s="12"/>
      <c r="U141" s="12"/>
      <c r="V141" s="12"/>
      <c r="W141" s="12"/>
      <c r="X141" s="12"/>
      <c r="Y141" s="12"/>
      <c r="Z141" s="12"/>
      <c r="AA141" s="12"/>
      <c r="AB141" s="12"/>
      <c r="AC141" s="12"/>
      <c r="AD141" s="12"/>
    </row>
    <row r="142" spans="1:30" ht="13.5" customHeight="1">
      <c r="A142" s="4"/>
      <c r="B142" s="4"/>
      <c r="C142" s="4"/>
      <c r="D142" s="4"/>
      <c r="E142" s="4"/>
      <c r="F142" s="4"/>
      <c r="G142" s="4"/>
      <c r="H142" s="4"/>
      <c r="I142" s="4"/>
      <c r="J142" s="4"/>
      <c r="K142" s="4"/>
      <c r="L142" s="4"/>
      <c r="M142" s="4"/>
      <c r="N142" s="4"/>
      <c r="O142" s="4"/>
      <c r="P142" s="4"/>
      <c r="Q142" s="4"/>
      <c r="R142" s="12"/>
      <c r="S142" s="12"/>
      <c r="T142" s="12"/>
      <c r="U142" s="12"/>
      <c r="V142" s="12"/>
      <c r="W142" s="12"/>
      <c r="X142" s="12"/>
      <c r="Y142" s="12"/>
      <c r="Z142" s="12"/>
      <c r="AA142" s="12"/>
      <c r="AB142" s="12"/>
      <c r="AC142" s="12"/>
      <c r="AD142" s="12"/>
    </row>
    <row r="143" spans="1:30" ht="13.5" customHeight="1">
      <c r="A143" s="4"/>
      <c r="B143" s="4"/>
      <c r="C143" s="4"/>
      <c r="D143" s="4"/>
      <c r="E143" s="4"/>
      <c r="F143" s="4"/>
      <c r="G143" s="4"/>
      <c r="H143" s="4"/>
      <c r="I143" s="4"/>
      <c r="J143" s="4"/>
      <c r="K143" s="4"/>
      <c r="L143" s="4"/>
      <c r="M143" s="4"/>
      <c r="N143" s="4"/>
      <c r="O143" s="4"/>
      <c r="P143" s="4"/>
      <c r="Q143" s="4"/>
      <c r="R143" s="12"/>
      <c r="S143" s="12"/>
      <c r="T143" s="12"/>
      <c r="U143" s="12"/>
      <c r="V143" s="12"/>
      <c r="W143" s="12"/>
      <c r="X143" s="12"/>
      <c r="Y143" s="12"/>
      <c r="Z143" s="12"/>
      <c r="AA143" s="12"/>
      <c r="AB143" s="12"/>
      <c r="AC143" s="12"/>
      <c r="AD143" s="12"/>
    </row>
    <row r="144" spans="1:30" ht="13.5" customHeight="1">
      <c r="A144" s="4"/>
      <c r="B144" s="4"/>
      <c r="C144" s="4"/>
      <c r="D144" s="4"/>
      <c r="E144" s="4"/>
      <c r="F144" s="4"/>
      <c r="G144" s="4"/>
      <c r="H144" s="4"/>
      <c r="I144" s="4"/>
      <c r="J144" s="4"/>
      <c r="K144" s="4"/>
      <c r="L144" s="4"/>
      <c r="M144" s="4"/>
      <c r="N144" s="4"/>
      <c r="O144" s="4"/>
      <c r="P144" s="4"/>
      <c r="Q144" s="4"/>
      <c r="R144" s="12"/>
      <c r="S144" s="12"/>
      <c r="T144" s="12"/>
      <c r="U144" s="12"/>
      <c r="V144" s="12"/>
      <c r="W144" s="12"/>
      <c r="X144" s="12"/>
      <c r="Y144" s="12"/>
      <c r="Z144" s="12"/>
      <c r="AA144" s="12"/>
      <c r="AB144" s="12"/>
      <c r="AC144" s="12"/>
      <c r="AD144" s="12"/>
    </row>
    <row r="145" spans="1:30" ht="13.5" customHeight="1">
      <c r="A145" s="4"/>
      <c r="B145" s="4"/>
      <c r="C145" s="4"/>
      <c r="D145" s="4"/>
      <c r="E145" s="4"/>
      <c r="F145" s="4"/>
      <c r="G145" s="4"/>
      <c r="H145" s="4"/>
      <c r="I145" s="4"/>
      <c r="J145" s="4"/>
      <c r="K145" s="4"/>
      <c r="L145" s="4"/>
      <c r="M145" s="4"/>
      <c r="N145" s="4"/>
      <c r="O145" s="4"/>
      <c r="P145" s="4"/>
      <c r="Q145" s="4"/>
      <c r="R145" s="12"/>
      <c r="S145" s="12"/>
      <c r="T145" s="12"/>
      <c r="U145" s="12"/>
      <c r="V145" s="12"/>
      <c r="W145" s="12"/>
      <c r="X145" s="12"/>
      <c r="Y145" s="12"/>
      <c r="Z145" s="12"/>
      <c r="AA145" s="12"/>
      <c r="AB145" s="12"/>
      <c r="AC145" s="12"/>
      <c r="AD145" s="12"/>
    </row>
    <row r="146" spans="1:30" ht="13.5" customHeight="1">
      <c r="A146" s="4"/>
      <c r="B146" s="4"/>
      <c r="C146" s="4"/>
      <c r="D146" s="4"/>
      <c r="E146" s="4"/>
      <c r="F146" s="4"/>
      <c r="G146" s="4"/>
      <c r="H146" s="4"/>
      <c r="I146" s="4"/>
      <c r="J146" s="4"/>
      <c r="K146" s="4"/>
      <c r="L146" s="4"/>
      <c r="M146" s="4"/>
      <c r="N146" s="4"/>
      <c r="O146" s="4"/>
      <c r="P146" s="4"/>
      <c r="Q146" s="4"/>
      <c r="R146" s="12"/>
      <c r="S146" s="12"/>
      <c r="T146" s="12"/>
      <c r="U146" s="12"/>
      <c r="V146" s="12"/>
      <c r="W146" s="12"/>
      <c r="X146" s="12"/>
      <c r="Y146" s="12"/>
      <c r="Z146" s="12"/>
      <c r="AA146" s="12"/>
      <c r="AB146" s="12"/>
      <c r="AC146" s="12"/>
      <c r="AD146" s="12"/>
    </row>
    <row r="147" spans="1:30" ht="13.5" customHeight="1">
      <c r="A147" s="4"/>
      <c r="B147" s="4"/>
      <c r="C147" s="4"/>
      <c r="D147" s="4"/>
      <c r="E147" s="4"/>
      <c r="F147" s="4"/>
      <c r="G147" s="4"/>
      <c r="H147" s="4"/>
      <c r="I147" s="4"/>
      <c r="J147" s="4"/>
      <c r="K147" s="4"/>
      <c r="L147" s="4"/>
      <c r="M147" s="4"/>
      <c r="N147" s="4"/>
      <c r="O147" s="4"/>
      <c r="P147" s="4"/>
      <c r="Q147" s="4"/>
      <c r="R147" s="12"/>
      <c r="S147" s="12"/>
      <c r="T147" s="12"/>
      <c r="U147" s="12"/>
      <c r="V147" s="12"/>
      <c r="W147" s="12"/>
      <c r="X147" s="12"/>
      <c r="Y147" s="12"/>
      <c r="Z147" s="12"/>
      <c r="AA147" s="12"/>
      <c r="AB147" s="12"/>
      <c r="AC147" s="12"/>
      <c r="AD147" s="12"/>
    </row>
    <row r="148" spans="1:30" ht="13.5" customHeight="1">
      <c r="A148" s="4"/>
      <c r="B148" s="4"/>
      <c r="C148" s="4"/>
      <c r="D148" s="4"/>
      <c r="E148" s="4"/>
      <c r="F148" s="4"/>
      <c r="G148" s="4"/>
      <c r="H148" s="4"/>
      <c r="I148" s="4"/>
      <c r="J148" s="4"/>
      <c r="K148" s="4"/>
      <c r="L148" s="4"/>
      <c r="M148" s="4"/>
      <c r="N148" s="4"/>
      <c r="O148" s="4"/>
      <c r="P148" s="4"/>
      <c r="Q148" s="4"/>
      <c r="R148" s="12"/>
      <c r="S148" s="12"/>
      <c r="T148" s="12"/>
      <c r="U148" s="12"/>
      <c r="V148" s="12"/>
      <c r="W148" s="12"/>
      <c r="X148" s="12"/>
      <c r="Y148" s="12"/>
      <c r="Z148" s="12"/>
      <c r="AA148" s="12"/>
      <c r="AB148" s="12"/>
      <c r="AC148" s="12"/>
      <c r="AD148" s="12"/>
    </row>
    <row r="149" spans="1:30" ht="13.5" customHeight="1">
      <c r="A149" s="4"/>
      <c r="B149" s="4"/>
      <c r="C149" s="4"/>
      <c r="D149" s="4"/>
      <c r="E149" s="4"/>
      <c r="F149" s="4"/>
      <c r="G149" s="4"/>
      <c r="H149" s="4"/>
      <c r="I149" s="4"/>
      <c r="J149" s="4"/>
      <c r="K149" s="4"/>
      <c r="L149" s="4"/>
      <c r="M149" s="4"/>
      <c r="N149" s="4"/>
      <c r="O149" s="4"/>
      <c r="P149" s="4"/>
      <c r="Q149" s="4"/>
      <c r="R149" s="12"/>
      <c r="S149" s="12"/>
      <c r="T149" s="12"/>
      <c r="U149" s="12"/>
      <c r="V149" s="12"/>
      <c r="W149" s="12"/>
      <c r="X149" s="12"/>
      <c r="Y149" s="12"/>
      <c r="Z149" s="12"/>
      <c r="AA149" s="12"/>
      <c r="AB149" s="12"/>
      <c r="AC149" s="12"/>
      <c r="AD149" s="12"/>
    </row>
    <row r="150" spans="1:30" ht="13.5" customHeight="1">
      <c r="A150" s="4"/>
      <c r="B150" s="4"/>
      <c r="C150" s="4"/>
      <c r="D150" s="4"/>
      <c r="E150" s="4"/>
      <c r="F150" s="4"/>
      <c r="G150" s="4"/>
      <c r="H150" s="4"/>
      <c r="I150" s="4"/>
      <c r="J150" s="4"/>
      <c r="K150" s="4"/>
      <c r="L150" s="4"/>
      <c r="M150" s="4"/>
      <c r="N150" s="4"/>
      <c r="O150" s="4"/>
      <c r="P150" s="4"/>
      <c r="Q150" s="4"/>
      <c r="R150" s="12"/>
      <c r="S150" s="12"/>
      <c r="T150" s="12"/>
      <c r="U150" s="12"/>
      <c r="V150" s="12"/>
      <c r="W150" s="12"/>
      <c r="X150" s="12"/>
      <c r="Y150" s="12"/>
      <c r="Z150" s="12"/>
      <c r="AA150" s="12"/>
      <c r="AB150" s="12"/>
      <c r="AC150" s="12"/>
      <c r="AD150" s="12"/>
    </row>
    <row r="151" spans="1:30" ht="13.5" customHeight="1">
      <c r="A151" s="4"/>
      <c r="B151" s="4"/>
      <c r="C151" s="4"/>
      <c r="D151" s="4"/>
      <c r="E151" s="4"/>
      <c r="F151" s="4"/>
      <c r="G151" s="4"/>
      <c r="H151" s="4"/>
      <c r="I151" s="4"/>
      <c r="J151" s="4"/>
      <c r="K151" s="4"/>
      <c r="L151" s="4"/>
      <c r="M151" s="4"/>
      <c r="N151" s="4"/>
      <c r="O151" s="4"/>
      <c r="P151" s="4"/>
      <c r="Q151" s="4"/>
      <c r="R151" s="12"/>
      <c r="S151" s="12"/>
      <c r="T151" s="12"/>
      <c r="U151" s="12"/>
      <c r="V151" s="12"/>
      <c r="W151" s="12"/>
      <c r="X151" s="12"/>
      <c r="Y151" s="12"/>
      <c r="Z151" s="12"/>
      <c r="AA151" s="12"/>
      <c r="AB151" s="12"/>
      <c r="AC151" s="12"/>
      <c r="AD151" s="12"/>
    </row>
    <row r="152" spans="1:30" ht="13.5" customHeight="1">
      <c r="A152" s="4"/>
      <c r="B152" s="4"/>
      <c r="C152" s="4"/>
      <c r="D152" s="4"/>
      <c r="E152" s="4"/>
      <c r="F152" s="4"/>
      <c r="G152" s="4"/>
      <c r="H152" s="4"/>
      <c r="I152" s="4"/>
      <c r="J152" s="4"/>
      <c r="K152" s="4"/>
      <c r="L152" s="4"/>
      <c r="M152" s="4"/>
      <c r="N152" s="4"/>
      <c r="O152" s="4"/>
      <c r="P152" s="4"/>
      <c r="Q152" s="4"/>
      <c r="R152" s="12"/>
      <c r="S152" s="12"/>
      <c r="T152" s="12"/>
      <c r="U152" s="12"/>
      <c r="V152" s="12"/>
      <c r="W152" s="12"/>
      <c r="X152" s="12"/>
      <c r="Y152" s="12"/>
      <c r="Z152" s="12"/>
      <c r="AA152" s="12"/>
      <c r="AB152" s="12"/>
      <c r="AC152" s="12"/>
      <c r="AD152" s="12"/>
    </row>
    <row r="153" spans="1:30" ht="13.5" customHeight="1">
      <c r="A153" s="4"/>
      <c r="B153" s="4"/>
      <c r="C153" s="4"/>
      <c r="D153" s="4"/>
      <c r="E153" s="4"/>
      <c r="F153" s="4"/>
      <c r="G153" s="4"/>
      <c r="H153" s="4"/>
      <c r="I153" s="4"/>
      <c r="J153" s="4"/>
      <c r="K153" s="4"/>
      <c r="L153" s="4"/>
      <c r="M153" s="4"/>
      <c r="N153" s="4"/>
      <c r="O153" s="4"/>
      <c r="P153" s="4"/>
      <c r="Q153" s="4"/>
      <c r="R153" s="12"/>
      <c r="S153" s="12"/>
      <c r="T153" s="12"/>
      <c r="U153" s="12"/>
      <c r="V153" s="12"/>
      <c r="W153" s="12"/>
      <c r="X153" s="12"/>
      <c r="Y153" s="12"/>
      <c r="Z153" s="12"/>
      <c r="AA153" s="12"/>
      <c r="AB153" s="12"/>
      <c r="AC153" s="12"/>
      <c r="AD153" s="12"/>
    </row>
    <row r="154" spans="1:30" ht="13.5" customHeight="1">
      <c r="A154" s="4"/>
      <c r="B154" s="4"/>
      <c r="C154" s="4"/>
      <c r="D154" s="4"/>
      <c r="E154" s="4"/>
      <c r="F154" s="4"/>
      <c r="G154" s="4"/>
      <c r="H154" s="4"/>
      <c r="I154" s="4"/>
      <c r="J154" s="4"/>
      <c r="K154" s="4"/>
      <c r="L154" s="4"/>
      <c r="M154" s="4"/>
      <c r="N154" s="4"/>
      <c r="O154" s="4"/>
      <c r="P154" s="4"/>
      <c r="Q154" s="4"/>
      <c r="R154" s="12"/>
      <c r="S154" s="12"/>
      <c r="T154" s="12"/>
      <c r="U154" s="12"/>
      <c r="V154" s="12"/>
      <c r="W154" s="12"/>
      <c r="X154" s="12"/>
      <c r="Y154" s="12"/>
      <c r="Z154" s="12"/>
      <c r="AA154" s="12"/>
      <c r="AB154" s="12"/>
      <c r="AC154" s="12"/>
      <c r="AD154" s="12"/>
    </row>
    <row r="155" spans="1:30" ht="13.5" customHeight="1">
      <c r="A155" s="4"/>
      <c r="B155" s="4"/>
      <c r="C155" s="4"/>
      <c r="D155" s="4"/>
      <c r="E155" s="4"/>
      <c r="F155" s="4"/>
      <c r="G155" s="4"/>
      <c r="H155" s="4"/>
      <c r="I155" s="4"/>
      <c r="J155" s="4"/>
      <c r="K155" s="4"/>
      <c r="L155" s="4"/>
      <c r="M155" s="4"/>
      <c r="N155" s="4"/>
      <c r="O155" s="4"/>
      <c r="P155" s="4"/>
      <c r="Q155" s="4"/>
      <c r="R155" s="12"/>
      <c r="S155" s="12"/>
      <c r="T155" s="12"/>
      <c r="U155" s="12"/>
      <c r="V155" s="12"/>
      <c r="W155" s="12"/>
      <c r="X155" s="12"/>
      <c r="Y155" s="12"/>
      <c r="Z155" s="12"/>
      <c r="AA155" s="12"/>
      <c r="AB155" s="12"/>
      <c r="AC155" s="12"/>
      <c r="AD155" s="12"/>
    </row>
    <row r="156" spans="1:30" ht="13.5" customHeight="1">
      <c r="A156" s="4"/>
      <c r="B156" s="4"/>
      <c r="C156" s="4"/>
      <c r="D156" s="4"/>
      <c r="E156" s="4"/>
      <c r="F156" s="4"/>
      <c r="G156" s="4"/>
      <c r="H156" s="4"/>
      <c r="I156" s="4"/>
      <c r="J156" s="4"/>
      <c r="K156" s="4"/>
      <c r="L156" s="4"/>
      <c r="M156" s="4"/>
      <c r="N156" s="4"/>
      <c r="O156" s="4"/>
      <c r="P156" s="4"/>
      <c r="Q156" s="4"/>
      <c r="R156" s="12"/>
      <c r="S156" s="12"/>
      <c r="T156" s="12"/>
      <c r="U156" s="12"/>
      <c r="V156" s="12"/>
      <c r="W156" s="12"/>
      <c r="X156" s="12"/>
      <c r="Y156" s="12"/>
      <c r="Z156" s="12"/>
      <c r="AA156" s="12"/>
      <c r="AB156" s="12"/>
      <c r="AC156" s="12"/>
      <c r="AD156" s="12"/>
    </row>
    <row r="157" spans="1:30" ht="13.5" customHeight="1">
      <c r="A157" s="4"/>
      <c r="B157" s="4"/>
      <c r="C157" s="4"/>
      <c r="D157" s="4"/>
      <c r="E157" s="4"/>
      <c r="F157" s="4"/>
      <c r="G157" s="4"/>
      <c r="H157" s="4"/>
      <c r="I157" s="4"/>
      <c r="J157" s="4"/>
      <c r="K157" s="4"/>
      <c r="L157" s="4"/>
      <c r="M157" s="4"/>
      <c r="N157" s="4"/>
      <c r="O157" s="4"/>
      <c r="P157" s="4"/>
      <c r="Q157" s="4"/>
      <c r="R157" s="12"/>
      <c r="S157" s="12"/>
      <c r="T157" s="12"/>
      <c r="U157" s="12"/>
      <c r="V157" s="12"/>
      <c r="W157" s="12"/>
      <c r="X157" s="12"/>
      <c r="Y157" s="12"/>
      <c r="Z157" s="12"/>
      <c r="AA157" s="12"/>
      <c r="AB157" s="12"/>
      <c r="AC157" s="12"/>
      <c r="AD157" s="12"/>
    </row>
    <row r="158" spans="1:30" ht="13.5" customHeight="1">
      <c r="A158" s="4"/>
      <c r="B158" s="4"/>
      <c r="C158" s="4"/>
      <c r="D158" s="4"/>
      <c r="E158" s="4"/>
      <c r="F158" s="4"/>
      <c r="G158" s="4"/>
      <c r="H158" s="4"/>
      <c r="I158" s="4"/>
      <c r="J158" s="4"/>
      <c r="K158" s="4"/>
      <c r="L158" s="4"/>
      <c r="M158" s="4"/>
      <c r="N158" s="4"/>
      <c r="O158" s="4"/>
      <c r="P158" s="4"/>
      <c r="Q158" s="4"/>
      <c r="R158" s="12"/>
      <c r="S158" s="12"/>
      <c r="T158" s="12"/>
      <c r="U158" s="12"/>
      <c r="V158" s="12"/>
      <c r="W158" s="12"/>
      <c r="X158" s="12"/>
      <c r="Y158" s="12"/>
      <c r="Z158" s="12"/>
      <c r="AA158" s="12"/>
      <c r="AB158" s="12"/>
      <c r="AC158" s="12"/>
      <c r="AD158" s="12"/>
    </row>
    <row r="159" spans="1:30" ht="13.5" customHeight="1">
      <c r="A159" s="4"/>
      <c r="B159" s="4"/>
      <c r="C159" s="4"/>
      <c r="D159" s="4"/>
      <c r="E159" s="4"/>
      <c r="F159" s="4"/>
      <c r="G159" s="4"/>
      <c r="H159" s="4"/>
      <c r="I159" s="4"/>
      <c r="J159" s="4"/>
      <c r="K159" s="4"/>
      <c r="L159" s="4"/>
      <c r="M159" s="4"/>
      <c r="N159" s="4"/>
      <c r="O159" s="4"/>
      <c r="P159" s="4"/>
      <c r="Q159" s="4"/>
      <c r="R159" s="12"/>
      <c r="S159" s="12"/>
      <c r="T159" s="12"/>
      <c r="U159" s="12"/>
      <c r="V159" s="12"/>
      <c r="W159" s="12"/>
      <c r="X159" s="12"/>
      <c r="Y159" s="12"/>
      <c r="Z159" s="12"/>
      <c r="AA159" s="12"/>
      <c r="AB159" s="12"/>
      <c r="AC159" s="12"/>
      <c r="AD159" s="12"/>
    </row>
    <row r="160" spans="1:30" ht="13.5" customHeight="1">
      <c r="A160" s="4"/>
      <c r="B160" s="4"/>
      <c r="C160" s="4"/>
      <c r="D160" s="4"/>
      <c r="E160" s="4"/>
      <c r="F160" s="4"/>
      <c r="G160" s="4"/>
      <c r="H160" s="4"/>
      <c r="I160" s="4"/>
      <c r="J160" s="4"/>
      <c r="K160" s="4"/>
      <c r="L160" s="4"/>
      <c r="M160" s="4"/>
      <c r="N160" s="4"/>
      <c r="O160" s="4"/>
      <c r="P160" s="4"/>
      <c r="Q160" s="4"/>
      <c r="R160" s="12"/>
      <c r="S160" s="12"/>
      <c r="T160" s="12"/>
      <c r="U160" s="12"/>
      <c r="V160" s="12"/>
      <c r="W160" s="12"/>
      <c r="X160" s="12"/>
      <c r="Y160" s="12"/>
      <c r="Z160" s="12"/>
      <c r="AA160" s="12"/>
      <c r="AB160" s="12"/>
      <c r="AC160" s="12"/>
      <c r="AD160" s="12"/>
    </row>
    <row r="161" spans="1:30" ht="13.5" customHeight="1">
      <c r="A161" s="4"/>
      <c r="B161" s="4"/>
      <c r="C161" s="4"/>
      <c r="D161" s="4"/>
      <c r="E161" s="4"/>
      <c r="F161" s="4"/>
      <c r="G161" s="4"/>
      <c r="H161" s="4"/>
      <c r="I161" s="4"/>
      <c r="J161" s="4"/>
      <c r="K161" s="4"/>
      <c r="L161" s="4"/>
      <c r="M161" s="4"/>
      <c r="N161" s="4"/>
      <c r="O161" s="4"/>
      <c r="P161" s="4"/>
      <c r="Q161" s="4"/>
      <c r="R161" s="12"/>
      <c r="S161" s="12"/>
      <c r="T161" s="12"/>
      <c r="U161" s="12"/>
      <c r="V161" s="12"/>
      <c r="W161" s="12"/>
      <c r="X161" s="12"/>
      <c r="Y161" s="12"/>
      <c r="Z161" s="12"/>
      <c r="AA161" s="12"/>
      <c r="AB161" s="12"/>
      <c r="AC161" s="12"/>
      <c r="AD161" s="12"/>
    </row>
    <row r="162" spans="1:30" ht="13.5" customHeight="1">
      <c r="A162" s="4"/>
      <c r="B162" s="4"/>
      <c r="C162" s="4"/>
      <c r="D162" s="4"/>
      <c r="E162" s="4"/>
      <c r="F162" s="4"/>
      <c r="G162" s="4"/>
      <c r="H162" s="4"/>
      <c r="I162" s="4"/>
      <c r="J162" s="4"/>
      <c r="K162" s="4"/>
      <c r="L162" s="4"/>
      <c r="M162" s="4"/>
      <c r="N162" s="4"/>
      <c r="O162" s="4"/>
      <c r="P162" s="4"/>
      <c r="Q162" s="4"/>
      <c r="R162" s="12"/>
      <c r="S162" s="12"/>
      <c r="T162" s="12"/>
      <c r="U162" s="12"/>
      <c r="V162" s="12"/>
      <c r="W162" s="12"/>
      <c r="X162" s="12"/>
      <c r="Y162" s="12"/>
      <c r="Z162" s="12"/>
      <c r="AA162" s="12"/>
      <c r="AB162" s="12"/>
      <c r="AC162" s="12"/>
      <c r="AD162" s="12"/>
    </row>
    <row r="163" spans="1:30" ht="13.5" customHeight="1">
      <c r="A163" s="4"/>
      <c r="B163" s="4"/>
      <c r="C163" s="4"/>
      <c r="D163" s="4"/>
      <c r="E163" s="4"/>
      <c r="F163" s="4"/>
      <c r="G163" s="4"/>
      <c r="H163" s="4"/>
      <c r="I163" s="4"/>
      <c r="J163" s="4"/>
      <c r="K163" s="4"/>
      <c r="L163" s="4"/>
      <c r="M163" s="4"/>
      <c r="N163" s="4"/>
      <c r="O163" s="4"/>
      <c r="P163" s="4"/>
      <c r="Q163" s="4"/>
      <c r="R163" s="12"/>
      <c r="S163" s="12"/>
      <c r="T163" s="12"/>
      <c r="U163" s="12"/>
      <c r="V163" s="12"/>
      <c r="W163" s="12"/>
      <c r="X163" s="12"/>
      <c r="Y163" s="12"/>
      <c r="Z163" s="12"/>
      <c r="AA163" s="12"/>
      <c r="AB163" s="12"/>
      <c r="AC163" s="12"/>
      <c r="AD163" s="12"/>
    </row>
    <row r="164" spans="1:30" ht="13.5" customHeight="1">
      <c r="A164" s="4"/>
      <c r="B164" s="4"/>
      <c r="C164" s="4"/>
      <c r="D164" s="4"/>
      <c r="E164" s="4"/>
      <c r="F164" s="4"/>
      <c r="G164" s="4"/>
      <c r="H164" s="4"/>
      <c r="I164" s="4"/>
      <c r="J164" s="4"/>
      <c r="K164" s="4"/>
      <c r="L164" s="4"/>
      <c r="M164" s="4"/>
      <c r="N164" s="4"/>
      <c r="O164" s="4"/>
      <c r="P164" s="4"/>
      <c r="Q164" s="4"/>
      <c r="R164" s="12"/>
      <c r="S164" s="12"/>
      <c r="T164" s="12"/>
      <c r="U164" s="12"/>
      <c r="V164" s="12"/>
      <c r="W164" s="12"/>
      <c r="X164" s="12"/>
      <c r="Y164" s="12"/>
      <c r="Z164" s="12"/>
      <c r="AA164" s="12"/>
      <c r="AB164" s="12"/>
      <c r="AC164" s="12"/>
      <c r="AD164" s="12"/>
    </row>
    <row r="165" spans="1:30" ht="13.5" customHeight="1">
      <c r="A165" s="4"/>
      <c r="B165" s="4"/>
      <c r="C165" s="4"/>
      <c r="D165" s="4"/>
      <c r="E165" s="4"/>
      <c r="F165" s="4"/>
      <c r="G165" s="4"/>
      <c r="H165" s="4"/>
      <c r="I165" s="4"/>
      <c r="J165" s="4"/>
      <c r="K165" s="4"/>
      <c r="L165" s="4"/>
      <c r="M165" s="4"/>
      <c r="N165" s="4"/>
      <c r="O165" s="4"/>
      <c r="P165" s="4"/>
      <c r="Q165" s="4"/>
      <c r="R165" s="12"/>
      <c r="S165" s="12"/>
      <c r="T165" s="12"/>
      <c r="U165" s="12"/>
      <c r="V165" s="12"/>
      <c r="W165" s="12"/>
      <c r="X165" s="12"/>
      <c r="Y165" s="12"/>
      <c r="Z165" s="12"/>
      <c r="AA165" s="12"/>
      <c r="AB165" s="12"/>
      <c r="AC165" s="12"/>
      <c r="AD165" s="12"/>
    </row>
    <row r="166" spans="1:30" ht="13.5" customHeight="1">
      <c r="A166" s="4"/>
      <c r="B166" s="4"/>
      <c r="C166" s="4"/>
      <c r="D166" s="4"/>
      <c r="E166" s="4"/>
      <c r="F166" s="4"/>
      <c r="G166" s="4"/>
      <c r="H166" s="4"/>
      <c r="I166" s="4"/>
      <c r="J166" s="4"/>
      <c r="K166" s="4"/>
      <c r="L166" s="4"/>
      <c r="M166" s="4"/>
      <c r="N166" s="4"/>
      <c r="O166" s="4"/>
      <c r="P166" s="4"/>
      <c r="Q166" s="4"/>
      <c r="R166" s="12"/>
      <c r="S166" s="12"/>
      <c r="T166" s="12"/>
      <c r="U166" s="12"/>
      <c r="V166" s="12"/>
      <c r="W166" s="12"/>
      <c r="X166" s="12"/>
      <c r="Y166" s="12"/>
      <c r="Z166" s="12"/>
      <c r="AA166" s="12"/>
      <c r="AB166" s="12"/>
      <c r="AC166" s="12"/>
      <c r="AD166" s="12"/>
    </row>
    <row r="167" spans="1:30" ht="13.5" customHeight="1">
      <c r="A167" s="4"/>
      <c r="B167" s="4"/>
      <c r="C167" s="4"/>
      <c r="D167" s="4"/>
      <c r="E167" s="4"/>
      <c r="F167" s="4"/>
      <c r="G167" s="4"/>
      <c r="H167" s="4"/>
      <c r="I167" s="4"/>
      <c r="J167" s="4"/>
      <c r="K167" s="4"/>
      <c r="L167" s="4"/>
      <c r="M167" s="4"/>
      <c r="N167" s="4"/>
      <c r="O167" s="4"/>
      <c r="P167" s="4"/>
      <c r="Q167" s="4"/>
      <c r="R167" s="12"/>
      <c r="S167" s="12"/>
      <c r="T167" s="12"/>
      <c r="U167" s="12"/>
      <c r="V167" s="12"/>
      <c r="W167" s="12"/>
      <c r="X167" s="12"/>
      <c r="Y167" s="12"/>
      <c r="Z167" s="12"/>
      <c r="AA167" s="12"/>
      <c r="AB167" s="12"/>
      <c r="AC167" s="12"/>
      <c r="AD167" s="12"/>
    </row>
    <row r="168" spans="1:30" ht="13.5" customHeight="1">
      <c r="A168" s="4"/>
      <c r="B168" s="4"/>
      <c r="C168" s="4"/>
      <c r="D168" s="4"/>
      <c r="E168" s="4"/>
      <c r="F168" s="4"/>
      <c r="G168" s="4"/>
      <c r="H168" s="4"/>
      <c r="I168" s="4"/>
      <c r="J168" s="4"/>
      <c r="K168" s="4"/>
      <c r="L168" s="4"/>
      <c r="M168" s="4"/>
      <c r="N168" s="4"/>
      <c r="O168" s="4"/>
      <c r="P168" s="4"/>
      <c r="Q168" s="4"/>
      <c r="R168" s="12"/>
      <c r="S168" s="12"/>
      <c r="T168" s="12"/>
      <c r="U168" s="12"/>
      <c r="V168" s="12"/>
      <c r="W168" s="12"/>
      <c r="X168" s="12"/>
      <c r="Y168" s="12"/>
      <c r="Z168" s="12"/>
      <c r="AA168" s="12"/>
      <c r="AB168" s="12"/>
      <c r="AC168" s="12"/>
      <c r="AD168" s="12"/>
    </row>
    <row r="169" spans="1:30" ht="13.5" customHeight="1">
      <c r="A169" s="4"/>
      <c r="B169" s="4"/>
      <c r="C169" s="4"/>
      <c r="D169" s="4"/>
      <c r="E169" s="4"/>
      <c r="F169" s="4"/>
      <c r="G169" s="4"/>
      <c r="H169" s="4"/>
      <c r="I169" s="4"/>
      <c r="J169" s="4"/>
      <c r="K169" s="4"/>
      <c r="L169" s="4"/>
      <c r="M169" s="4"/>
      <c r="N169" s="4"/>
      <c r="O169" s="4"/>
      <c r="P169" s="4"/>
      <c r="Q169" s="4"/>
      <c r="R169" s="12"/>
      <c r="S169" s="12"/>
      <c r="T169" s="12"/>
      <c r="U169" s="12"/>
      <c r="V169" s="12"/>
      <c r="W169" s="12"/>
      <c r="X169" s="12"/>
      <c r="Y169" s="12"/>
      <c r="Z169" s="12"/>
      <c r="AA169" s="12"/>
      <c r="AB169" s="12"/>
      <c r="AC169" s="12"/>
      <c r="AD169" s="12"/>
    </row>
    <row r="170" spans="1:30" ht="13.5" customHeight="1">
      <c r="A170" s="4"/>
      <c r="B170" s="4"/>
      <c r="C170" s="4"/>
      <c r="D170" s="4"/>
      <c r="E170" s="4"/>
      <c r="F170" s="4"/>
      <c r="G170" s="4"/>
      <c r="H170" s="4"/>
      <c r="I170" s="4"/>
      <c r="J170" s="4"/>
      <c r="K170" s="4"/>
      <c r="L170" s="4"/>
      <c r="M170" s="4"/>
      <c r="N170" s="4"/>
      <c r="O170" s="4"/>
      <c r="P170" s="4"/>
      <c r="Q170" s="4"/>
      <c r="R170" s="12"/>
      <c r="S170" s="12"/>
      <c r="T170" s="12"/>
      <c r="U170" s="12"/>
      <c r="V170" s="12"/>
      <c r="W170" s="12"/>
      <c r="X170" s="12"/>
      <c r="Y170" s="12"/>
      <c r="Z170" s="12"/>
      <c r="AA170" s="12"/>
      <c r="AB170" s="12"/>
      <c r="AC170" s="12"/>
      <c r="AD170" s="12"/>
    </row>
    <row r="171" spans="1:30" ht="13.5" customHeight="1">
      <c r="A171" s="4"/>
      <c r="B171" s="4"/>
      <c r="C171" s="4"/>
      <c r="D171" s="4"/>
      <c r="E171" s="4"/>
      <c r="F171" s="4"/>
      <c r="G171" s="4"/>
      <c r="H171" s="4"/>
      <c r="I171" s="4"/>
      <c r="J171" s="4"/>
      <c r="K171" s="4"/>
      <c r="L171" s="4"/>
      <c r="M171" s="4"/>
      <c r="N171" s="4"/>
      <c r="O171" s="4"/>
      <c r="P171" s="4"/>
      <c r="Q171" s="4"/>
      <c r="R171" s="12"/>
      <c r="S171" s="12"/>
      <c r="T171" s="12"/>
      <c r="U171" s="12"/>
      <c r="V171" s="12"/>
      <c r="W171" s="12"/>
      <c r="X171" s="12"/>
      <c r="Y171" s="12"/>
      <c r="Z171" s="12"/>
      <c r="AA171" s="12"/>
      <c r="AB171" s="12"/>
      <c r="AC171" s="12"/>
      <c r="AD171" s="12"/>
    </row>
    <row r="172" spans="1:30" ht="13.5" customHeight="1">
      <c r="A172" s="4"/>
      <c r="B172" s="4"/>
      <c r="C172" s="4"/>
      <c r="D172" s="4"/>
      <c r="E172" s="4"/>
      <c r="F172" s="4"/>
      <c r="G172" s="4"/>
      <c r="H172" s="4"/>
      <c r="I172" s="4"/>
      <c r="J172" s="4"/>
      <c r="K172" s="4"/>
      <c r="L172" s="4"/>
      <c r="M172" s="4"/>
      <c r="N172" s="4"/>
      <c r="O172" s="4"/>
      <c r="P172" s="4"/>
      <c r="Q172" s="4"/>
      <c r="R172" s="12"/>
      <c r="S172" s="12"/>
      <c r="T172" s="12"/>
      <c r="U172" s="12"/>
      <c r="V172" s="12"/>
      <c r="W172" s="12"/>
      <c r="X172" s="12"/>
      <c r="Y172" s="12"/>
      <c r="Z172" s="12"/>
      <c r="AA172" s="12"/>
      <c r="AB172" s="12"/>
      <c r="AC172" s="12"/>
      <c r="AD172" s="12"/>
    </row>
    <row r="173" spans="1:30" ht="13.5" customHeight="1">
      <c r="A173" s="4"/>
      <c r="B173" s="4"/>
      <c r="C173" s="4"/>
      <c r="D173" s="4"/>
      <c r="E173" s="4"/>
      <c r="F173" s="4"/>
      <c r="G173" s="4"/>
      <c r="H173" s="4"/>
      <c r="I173" s="4"/>
      <c r="J173" s="4"/>
      <c r="K173" s="4"/>
      <c r="L173" s="4"/>
      <c r="M173" s="4"/>
      <c r="N173" s="4"/>
      <c r="O173" s="4"/>
      <c r="P173" s="4"/>
      <c r="Q173" s="4"/>
      <c r="R173" s="12"/>
      <c r="S173" s="12"/>
      <c r="T173" s="12"/>
      <c r="U173" s="12"/>
      <c r="V173" s="12"/>
      <c r="W173" s="12"/>
      <c r="X173" s="12"/>
      <c r="Y173" s="12"/>
      <c r="Z173" s="12"/>
      <c r="AA173" s="12"/>
      <c r="AB173" s="12"/>
      <c r="AC173" s="12"/>
      <c r="AD173" s="12"/>
    </row>
    <row r="174" spans="1:30" ht="13.5" customHeight="1">
      <c r="A174" s="4"/>
      <c r="B174" s="4"/>
      <c r="C174" s="4"/>
      <c r="D174" s="4"/>
      <c r="E174" s="4"/>
      <c r="F174" s="4"/>
      <c r="G174" s="4"/>
      <c r="H174" s="4"/>
      <c r="I174" s="4"/>
      <c r="J174" s="4"/>
      <c r="K174" s="4"/>
      <c r="L174" s="4"/>
      <c r="M174" s="4"/>
      <c r="N174" s="4"/>
      <c r="O174" s="4"/>
      <c r="P174" s="4"/>
      <c r="Q174" s="4"/>
      <c r="R174" s="12"/>
      <c r="S174" s="12"/>
      <c r="T174" s="12"/>
      <c r="U174" s="12"/>
      <c r="V174" s="12"/>
      <c r="W174" s="12"/>
      <c r="X174" s="12"/>
      <c r="Y174" s="12"/>
      <c r="Z174" s="12"/>
      <c r="AA174" s="12"/>
      <c r="AB174" s="12"/>
      <c r="AC174" s="12"/>
      <c r="AD174" s="12"/>
    </row>
    <row r="175" spans="1:30" ht="13.5" customHeight="1">
      <c r="A175" s="4"/>
      <c r="B175" s="4"/>
      <c r="C175" s="4"/>
      <c r="D175" s="4"/>
      <c r="E175" s="4"/>
      <c r="F175" s="4"/>
      <c r="G175" s="4"/>
      <c r="H175" s="4"/>
      <c r="I175" s="4"/>
      <c r="J175" s="4"/>
      <c r="K175" s="4"/>
      <c r="L175" s="4"/>
      <c r="M175" s="4"/>
      <c r="N175" s="4"/>
      <c r="O175" s="4"/>
      <c r="P175" s="4"/>
      <c r="Q175" s="4"/>
      <c r="R175" s="12"/>
      <c r="S175" s="12"/>
      <c r="T175" s="12"/>
      <c r="U175" s="12"/>
      <c r="V175" s="12"/>
      <c r="W175" s="12"/>
      <c r="X175" s="12"/>
      <c r="Y175" s="12"/>
      <c r="Z175" s="12"/>
      <c r="AA175" s="12"/>
      <c r="AB175" s="12"/>
      <c r="AC175" s="12"/>
      <c r="AD175" s="12"/>
    </row>
    <row r="176" spans="1:30" ht="13.5" customHeight="1">
      <c r="A176" s="4"/>
      <c r="B176" s="4"/>
      <c r="C176" s="4"/>
      <c r="D176" s="4"/>
      <c r="E176" s="4"/>
      <c r="F176" s="4"/>
      <c r="G176" s="4"/>
      <c r="H176" s="4"/>
      <c r="I176" s="4"/>
      <c r="J176" s="4"/>
      <c r="K176" s="4"/>
      <c r="L176" s="4"/>
      <c r="M176" s="4"/>
      <c r="N176" s="4"/>
      <c r="O176" s="4"/>
      <c r="P176" s="4"/>
      <c r="Q176" s="4"/>
      <c r="R176" s="12"/>
      <c r="S176" s="12"/>
      <c r="T176" s="12"/>
      <c r="U176" s="12"/>
      <c r="V176" s="12"/>
      <c r="W176" s="12"/>
      <c r="X176" s="12"/>
      <c r="Y176" s="12"/>
      <c r="Z176" s="12"/>
      <c r="AA176" s="12"/>
      <c r="AB176" s="12"/>
      <c r="AC176" s="12"/>
      <c r="AD176" s="12"/>
    </row>
    <row r="177" spans="1:30" ht="13.5" customHeight="1">
      <c r="A177" s="4"/>
      <c r="B177" s="4"/>
      <c r="C177" s="4"/>
      <c r="D177" s="4"/>
      <c r="E177" s="4"/>
      <c r="F177" s="4"/>
      <c r="G177" s="4"/>
      <c r="H177" s="4"/>
      <c r="I177" s="4"/>
      <c r="J177" s="4"/>
      <c r="K177" s="4"/>
      <c r="L177" s="4"/>
      <c r="M177" s="4"/>
      <c r="N177" s="4"/>
      <c r="O177" s="4"/>
      <c r="P177" s="4"/>
      <c r="Q177" s="4"/>
      <c r="R177" s="12"/>
      <c r="S177" s="12"/>
      <c r="T177" s="12"/>
      <c r="U177" s="12"/>
      <c r="V177" s="12"/>
      <c r="W177" s="12"/>
      <c r="X177" s="12"/>
      <c r="Y177" s="12"/>
      <c r="Z177" s="12"/>
      <c r="AA177" s="12"/>
      <c r="AB177" s="12"/>
      <c r="AC177" s="12"/>
      <c r="AD177" s="12"/>
    </row>
    <row r="178" spans="1:30" ht="13.5" customHeight="1">
      <c r="A178" s="4"/>
      <c r="B178" s="4"/>
      <c r="C178" s="4"/>
      <c r="D178" s="4"/>
      <c r="E178" s="4"/>
      <c r="F178" s="4"/>
      <c r="G178" s="4"/>
      <c r="H178" s="4"/>
      <c r="I178" s="4"/>
      <c r="J178" s="4"/>
      <c r="K178" s="4"/>
      <c r="L178" s="4"/>
      <c r="M178" s="4"/>
      <c r="N178" s="4"/>
      <c r="O178" s="4"/>
      <c r="P178" s="4"/>
      <c r="Q178" s="4"/>
      <c r="R178" s="12"/>
      <c r="S178" s="12"/>
      <c r="T178" s="12"/>
      <c r="U178" s="12"/>
      <c r="V178" s="12"/>
      <c r="W178" s="12"/>
      <c r="X178" s="12"/>
      <c r="Y178" s="12"/>
      <c r="Z178" s="12"/>
      <c r="AA178" s="12"/>
      <c r="AB178" s="12"/>
      <c r="AC178" s="12"/>
      <c r="AD178" s="12"/>
    </row>
    <row r="179" spans="1:30" ht="13.5" customHeight="1">
      <c r="A179" s="4"/>
      <c r="B179" s="4"/>
      <c r="C179" s="4"/>
      <c r="D179" s="4"/>
      <c r="E179" s="4"/>
      <c r="F179" s="4"/>
      <c r="G179" s="4"/>
      <c r="H179" s="4"/>
      <c r="I179" s="4"/>
      <c r="J179" s="4"/>
      <c r="K179" s="4"/>
      <c r="L179" s="4"/>
      <c r="M179" s="4"/>
      <c r="N179" s="4"/>
      <c r="O179" s="4"/>
      <c r="P179" s="4"/>
      <c r="Q179" s="4"/>
      <c r="R179" s="12"/>
      <c r="S179" s="12"/>
      <c r="T179" s="12"/>
      <c r="U179" s="12"/>
      <c r="V179" s="12"/>
      <c r="W179" s="12"/>
      <c r="X179" s="12"/>
      <c r="Y179" s="12"/>
      <c r="Z179" s="12"/>
      <c r="AA179" s="12"/>
      <c r="AB179" s="12"/>
      <c r="AC179" s="12"/>
      <c r="AD179" s="12"/>
    </row>
    <row r="180" spans="1:30" ht="13.5" customHeight="1">
      <c r="A180" s="4"/>
      <c r="B180" s="4"/>
      <c r="C180" s="4"/>
      <c r="D180" s="4"/>
      <c r="E180" s="4"/>
      <c r="F180" s="4"/>
      <c r="G180" s="4"/>
      <c r="H180" s="4"/>
      <c r="I180" s="4"/>
      <c r="J180" s="4"/>
      <c r="K180" s="4"/>
      <c r="L180" s="4"/>
      <c r="M180" s="4"/>
      <c r="N180" s="4"/>
      <c r="O180" s="4"/>
      <c r="P180" s="4"/>
      <c r="Q180" s="4"/>
      <c r="R180" s="12"/>
      <c r="S180" s="12"/>
      <c r="T180" s="12"/>
      <c r="U180" s="12"/>
      <c r="V180" s="12"/>
      <c r="W180" s="12"/>
      <c r="X180" s="12"/>
      <c r="Y180" s="12"/>
      <c r="Z180" s="12"/>
      <c r="AA180" s="12"/>
      <c r="AB180" s="12"/>
      <c r="AC180" s="12"/>
      <c r="AD180" s="12"/>
    </row>
    <row r="181" spans="1:30" ht="13.5" customHeight="1">
      <c r="A181" s="4"/>
      <c r="B181" s="4"/>
      <c r="C181" s="4"/>
      <c r="D181" s="4"/>
      <c r="E181" s="4"/>
      <c r="F181" s="4"/>
      <c r="G181" s="4"/>
      <c r="H181" s="4"/>
      <c r="I181" s="4"/>
      <c r="J181" s="4"/>
      <c r="K181" s="4"/>
      <c r="L181" s="4"/>
      <c r="M181" s="4"/>
      <c r="N181" s="4"/>
      <c r="O181" s="4"/>
      <c r="P181" s="4"/>
      <c r="Q181" s="4"/>
      <c r="R181" s="12"/>
      <c r="S181" s="12"/>
      <c r="T181" s="12"/>
      <c r="U181" s="12"/>
      <c r="V181" s="12"/>
      <c r="W181" s="12"/>
      <c r="X181" s="12"/>
      <c r="Y181" s="12"/>
      <c r="Z181" s="12"/>
      <c r="AA181" s="12"/>
      <c r="AB181" s="12"/>
      <c r="AC181" s="12"/>
      <c r="AD181" s="12"/>
    </row>
    <row r="182" spans="1:30" ht="13.5" customHeight="1">
      <c r="A182" s="4"/>
      <c r="B182" s="4"/>
      <c r="C182" s="4"/>
      <c r="D182" s="4"/>
      <c r="E182" s="4"/>
      <c r="F182" s="4"/>
      <c r="G182" s="4"/>
      <c r="H182" s="4"/>
      <c r="I182" s="4"/>
      <c r="J182" s="4"/>
      <c r="K182" s="4"/>
      <c r="L182" s="4"/>
      <c r="M182" s="4"/>
      <c r="N182" s="4"/>
      <c r="O182" s="4"/>
      <c r="P182" s="4"/>
      <c r="Q182" s="4"/>
      <c r="R182" s="12"/>
      <c r="S182" s="12"/>
      <c r="T182" s="12"/>
      <c r="U182" s="12"/>
      <c r="V182" s="12"/>
      <c r="W182" s="12"/>
      <c r="X182" s="12"/>
      <c r="Y182" s="12"/>
      <c r="Z182" s="12"/>
      <c r="AA182" s="12"/>
      <c r="AB182" s="12"/>
      <c r="AC182" s="12"/>
      <c r="AD182" s="12"/>
    </row>
    <row r="183" spans="1:30" ht="13.5" customHeight="1">
      <c r="A183" s="4"/>
      <c r="B183" s="4"/>
      <c r="C183" s="4"/>
      <c r="D183" s="4"/>
      <c r="E183" s="4"/>
      <c r="F183" s="4"/>
      <c r="G183" s="4"/>
      <c r="H183" s="4"/>
      <c r="I183" s="4"/>
      <c r="J183" s="4"/>
      <c r="K183" s="4"/>
      <c r="L183" s="4"/>
      <c r="M183" s="4"/>
      <c r="N183" s="4"/>
      <c r="O183" s="4"/>
      <c r="P183" s="4"/>
      <c r="Q183" s="4"/>
      <c r="R183" s="12"/>
      <c r="S183" s="12"/>
      <c r="T183" s="12"/>
      <c r="U183" s="12"/>
      <c r="V183" s="12"/>
      <c r="W183" s="12"/>
      <c r="X183" s="12"/>
      <c r="Y183" s="12"/>
      <c r="Z183" s="12"/>
      <c r="AA183" s="12"/>
      <c r="AB183" s="12"/>
      <c r="AC183" s="12"/>
      <c r="AD183" s="12"/>
    </row>
    <row r="184" spans="1:30" ht="13.5" customHeight="1">
      <c r="A184" s="4"/>
      <c r="B184" s="4"/>
      <c r="C184" s="4"/>
      <c r="D184" s="4"/>
      <c r="E184" s="4"/>
      <c r="F184" s="4"/>
      <c r="G184" s="4"/>
      <c r="H184" s="4"/>
      <c r="I184" s="4"/>
      <c r="J184" s="4"/>
      <c r="K184" s="4"/>
      <c r="L184" s="4"/>
      <c r="M184" s="4"/>
      <c r="N184" s="4"/>
      <c r="O184" s="4"/>
      <c r="P184" s="4"/>
      <c r="Q184" s="4"/>
      <c r="R184" s="12"/>
      <c r="S184" s="12"/>
      <c r="T184" s="12"/>
      <c r="U184" s="12"/>
      <c r="V184" s="12"/>
      <c r="W184" s="12"/>
      <c r="X184" s="12"/>
      <c r="Y184" s="12"/>
      <c r="Z184" s="12"/>
      <c r="AA184" s="12"/>
      <c r="AB184" s="12"/>
      <c r="AC184" s="12"/>
      <c r="AD184" s="12"/>
    </row>
    <row r="185" spans="1:30" ht="13.5" customHeight="1">
      <c r="A185" s="4"/>
      <c r="B185" s="4"/>
      <c r="C185" s="4"/>
      <c r="D185" s="4"/>
      <c r="E185" s="4"/>
      <c r="F185" s="4"/>
      <c r="G185" s="4"/>
      <c r="H185" s="4"/>
      <c r="I185" s="4"/>
      <c r="J185" s="4"/>
      <c r="K185" s="4"/>
      <c r="L185" s="4"/>
      <c r="M185" s="4"/>
      <c r="N185" s="4"/>
      <c r="O185" s="4"/>
      <c r="P185" s="4"/>
      <c r="Q185" s="4"/>
      <c r="R185" s="12"/>
      <c r="S185" s="12"/>
      <c r="T185" s="12"/>
      <c r="U185" s="12"/>
      <c r="V185" s="12"/>
      <c r="W185" s="12"/>
      <c r="X185" s="12"/>
      <c r="Y185" s="12"/>
      <c r="Z185" s="12"/>
      <c r="AA185" s="12"/>
      <c r="AB185" s="12"/>
      <c r="AC185" s="12"/>
      <c r="AD185" s="12"/>
    </row>
    <row r="186" spans="1:30" ht="13.5" customHeight="1">
      <c r="A186" s="4"/>
      <c r="B186" s="4"/>
      <c r="C186" s="4"/>
      <c r="D186" s="4"/>
      <c r="E186" s="4"/>
      <c r="F186" s="4"/>
      <c r="G186" s="4"/>
      <c r="H186" s="4"/>
      <c r="I186" s="4"/>
      <c r="J186" s="4"/>
      <c r="K186" s="4"/>
      <c r="L186" s="4"/>
      <c r="M186" s="4"/>
      <c r="N186" s="4"/>
      <c r="O186" s="4"/>
      <c r="P186" s="4"/>
      <c r="Q186" s="4"/>
      <c r="R186" s="12"/>
      <c r="S186" s="12"/>
      <c r="T186" s="12"/>
      <c r="U186" s="12"/>
      <c r="V186" s="12"/>
      <c r="W186" s="12"/>
      <c r="X186" s="12"/>
      <c r="Y186" s="12"/>
      <c r="Z186" s="12"/>
      <c r="AA186" s="12"/>
      <c r="AB186" s="12"/>
      <c r="AC186" s="12"/>
      <c r="AD186" s="12"/>
    </row>
    <row r="187" spans="1:30" ht="13.5" customHeight="1">
      <c r="A187" s="4"/>
      <c r="B187" s="4"/>
      <c r="C187" s="4"/>
      <c r="D187" s="4"/>
      <c r="E187" s="4"/>
      <c r="F187" s="4"/>
      <c r="G187" s="4"/>
      <c r="H187" s="4"/>
      <c r="I187" s="4"/>
      <c r="J187" s="4"/>
      <c r="K187" s="4"/>
      <c r="L187" s="4"/>
      <c r="M187" s="4"/>
      <c r="N187" s="4"/>
      <c r="O187" s="4"/>
      <c r="P187" s="4"/>
      <c r="Q187" s="4"/>
      <c r="R187" s="12"/>
      <c r="S187" s="12"/>
      <c r="T187" s="12"/>
      <c r="U187" s="12"/>
      <c r="V187" s="12"/>
      <c r="W187" s="12"/>
      <c r="X187" s="12"/>
      <c r="Y187" s="12"/>
      <c r="Z187" s="12"/>
      <c r="AA187" s="12"/>
      <c r="AB187" s="12"/>
      <c r="AC187" s="12"/>
      <c r="AD187" s="12"/>
    </row>
    <row r="188" spans="1:30" ht="13.5" customHeight="1">
      <c r="A188" s="4"/>
      <c r="B188" s="4"/>
      <c r="C188" s="4"/>
      <c r="D188" s="4"/>
      <c r="E188" s="4"/>
      <c r="F188" s="4"/>
      <c r="G188" s="4"/>
      <c r="H188" s="4"/>
      <c r="I188" s="4"/>
      <c r="J188" s="4"/>
      <c r="K188" s="4"/>
      <c r="L188" s="4"/>
      <c r="M188" s="4"/>
      <c r="N188" s="4"/>
      <c r="O188" s="4"/>
      <c r="P188" s="4"/>
      <c r="Q188" s="4"/>
      <c r="R188" s="12"/>
      <c r="S188" s="12"/>
      <c r="T188" s="12"/>
      <c r="U188" s="12"/>
      <c r="V188" s="12"/>
      <c r="W188" s="12"/>
      <c r="X188" s="12"/>
      <c r="Y188" s="12"/>
      <c r="Z188" s="12"/>
      <c r="AA188" s="12"/>
      <c r="AB188" s="12"/>
      <c r="AC188" s="12"/>
      <c r="AD188" s="12"/>
    </row>
    <row r="189" spans="1:30" ht="13.5" customHeight="1">
      <c r="A189" s="4"/>
      <c r="B189" s="4"/>
      <c r="C189" s="4"/>
      <c r="D189" s="4"/>
      <c r="E189" s="4"/>
      <c r="F189" s="4"/>
      <c r="G189" s="4"/>
      <c r="H189" s="4"/>
      <c r="I189" s="4"/>
      <c r="J189" s="4"/>
      <c r="K189" s="4"/>
      <c r="L189" s="4"/>
      <c r="M189" s="4"/>
      <c r="N189" s="4"/>
      <c r="O189" s="4"/>
      <c r="P189" s="4"/>
      <c r="Q189" s="4"/>
      <c r="R189" s="12"/>
      <c r="S189" s="12"/>
      <c r="T189" s="12"/>
      <c r="U189" s="12"/>
      <c r="V189" s="12"/>
      <c r="W189" s="12"/>
      <c r="X189" s="12"/>
      <c r="Y189" s="12"/>
      <c r="Z189" s="12"/>
      <c r="AA189" s="12"/>
      <c r="AB189" s="12"/>
      <c r="AC189" s="12"/>
      <c r="AD189" s="12"/>
    </row>
    <row r="190" spans="1:30" ht="13.5" customHeight="1">
      <c r="A190" s="4"/>
      <c r="B190" s="4"/>
      <c r="C190" s="4"/>
      <c r="D190" s="4"/>
      <c r="E190" s="4"/>
      <c r="F190" s="4"/>
      <c r="G190" s="4"/>
      <c r="H190" s="4"/>
      <c r="I190" s="4"/>
      <c r="J190" s="4"/>
      <c r="K190" s="4"/>
      <c r="L190" s="4"/>
      <c r="M190" s="4"/>
      <c r="N190" s="4"/>
      <c r="O190" s="4"/>
      <c r="P190" s="4"/>
      <c r="Q190" s="4"/>
      <c r="R190" s="12"/>
      <c r="S190" s="12"/>
      <c r="T190" s="12"/>
      <c r="U190" s="12"/>
      <c r="V190" s="12"/>
      <c r="W190" s="12"/>
      <c r="X190" s="12"/>
      <c r="Y190" s="12"/>
      <c r="Z190" s="12"/>
      <c r="AA190" s="12"/>
      <c r="AB190" s="12"/>
      <c r="AC190" s="12"/>
      <c r="AD190" s="12"/>
    </row>
    <row r="191" spans="1:30" ht="13.5" customHeight="1">
      <c r="A191" s="4"/>
      <c r="B191" s="4"/>
      <c r="C191" s="4"/>
      <c r="D191" s="4"/>
      <c r="E191" s="4"/>
      <c r="F191" s="4"/>
      <c r="G191" s="4"/>
      <c r="H191" s="4"/>
      <c r="I191" s="4"/>
      <c r="J191" s="4"/>
      <c r="K191" s="4"/>
      <c r="L191" s="4"/>
      <c r="M191" s="4"/>
      <c r="N191" s="4"/>
      <c r="O191" s="4"/>
      <c r="P191" s="4"/>
      <c r="Q191" s="4"/>
      <c r="R191" s="12"/>
      <c r="S191" s="12"/>
      <c r="T191" s="12"/>
      <c r="U191" s="12"/>
      <c r="V191" s="12"/>
      <c r="W191" s="12"/>
      <c r="X191" s="12"/>
      <c r="Y191" s="12"/>
      <c r="Z191" s="12"/>
      <c r="AA191" s="12"/>
      <c r="AB191" s="12"/>
      <c r="AC191" s="12"/>
      <c r="AD191" s="12"/>
    </row>
    <row r="192" spans="1:30" ht="13.5" customHeight="1">
      <c r="A192" s="4"/>
      <c r="B192" s="4"/>
      <c r="C192" s="4"/>
      <c r="D192" s="4"/>
      <c r="E192" s="4"/>
      <c r="F192" s="4"/>
      <c r="G192" s="4"/>
      <c r="H192" s="4"/>
      <c r="I192" s="4"/>
      <c r="J192" s="4"/>
      <c r="K192" s="4"/>
      <c r="L192" s="4"/>
      <c r="M192" s="4"/>
      <c r="N192" s="4"/>
      <c r="O192" s="4"/>
      <c r="P192" s="4"/>
      <c r="Q192" s="4"/>
      <c r="R192" s="12"/>
      <c r="S192" s="12"/>
      <c r="T192" s="12"/>
      <c r="U192" s="12"/>
      <c r="V192" s="12"/>
      <c r="W192" s="12"/>
      <c r="X192" s="12"/>
      <c r="Y192" s="12"/>
      <c r="Z192" s="12"/>
      <c r="AA192" s="12"/>
      <c r="AB192" s="12"/>
      <c r="AC192" s="12"/>
      <c r="AD192" s="12"/>
    </row>
    <row r="193" spans="1:30" ht="13.5" customHeight="1">
      <c r="A193" s="4"/>
      <c r="B193" s="4"/>
      <c r="C193" s="4"/>
      <c r="D193" s="4"/>
      <c r="E193" s="4"/>
      <c r="F193" s="4"/>
      <c r="G193" s="4"/>
      <c r="H193" s="4"/>
      <c r="I193" s="4"/>
      <c r="J193" s="4"/>
      <c r="K193" s="4"/>
      <c r="L193" s="4"/>
      <c r="M193" s="4"/>
      <c r="N193" s="4"/>
      <c r="O193" s="4"/>
      <c r="P193" s="4"/>
      <c r="Q193" s="4"/>
      <c r="R193" s="12"/>
      <c r="S193" s="12"/>
      <c r="T193" s="12"/>
      <c r="U193" s="12"/>
      <c r="V193" s="12"/>
      <c r="W193" s="12"/>
      <c r="X193" s="12"/>
      <c r="Y193" s="12"/>
      <c r="Z193" s="12"/>
      <c r="AA193" s="12"/>
      <c r="AB193" s="12"/>
      <c r="AC193" s="12"/>
      <c r="AD193" s="12"/>
    </row>
    <row r="194" spans="1:30" ht="13.5" customHeight="1">
      <c r="A194" s="4"/>
      <c r="B194" s="4"/>
      <c r="C194" s="4"/>
      <c r="D194" s="4"/>
      <c r="E194" s="4"/>
      <c r="F194" s="4"/>
      <c r="G194" s="4"/>
      <c r="H194" s="4"/>
      <c r="I194" s="4"/>
      <c r="J194" s="4"/>
      <c r="K194" s="4"/>
      <c r="L194" s="4"/>
      <c r="M194" s="4"/>
      <c r="N194" s="4"/>
      <c r="O194" s="4"/>
      <c r="P194" s="4"/>
      <c r="Q194" s="4"/>
      <c r="R194" s="12"/>
      <c r="S194" s="12"/>
      <c r="T194" s="12"/>
      <c r="U194" s="12"/>
      <c r="V194" s="12"/>
      <c r="W194" s="12"/>
      <c r="X194" s="12"/>
      <c r="Y194" s="12"/>
      <c r="Z194" s="12"/>
      <c r="AA194" s="12"/>
      <c r="AB194" s="12"/>
      <c r="AC194" s="12"/>
      <c r="AD194" s="12"/>
    </row>
    <row r="195" spans="1:30" ht="13.5" customHeight="1">
      <c r="A195" s="4"/>
      <c r="B195" s="4"/>
      <c r="C195" s="4"/>
      <c r="D195" s="4"/>
      <c r="E195" s="4"/>
      <c r="F195" s="4"/>
      <c r="G195" s="4"/>
      <c r="H195" s="4"/>
      <c r="I195" s="4"/>
      <c r="J195" s="4"/>
      <c r="K195" s="4"/>
      <c r="L195" s="4"/>
      <c r="M195" s="4"/>
      <c r="N195" s="4"/>
      <c r="O195" s="4"/>
      <c r="P195" s="4"/>
      <c r="Q195" s="4"/>
      <c r="R195" s="12"/>
      <c r="S195" s="12"/>
      <c r="T195" s="12"/>
      <c r="U195" s="12"/>
      <c r="V195" s="12"/>
      <c r="W195" s="12"/>
      <c r="X195" s="12"/>
      <c r="Y195" s="12"/>
      <c r="Z195" s="12"/>
      <c r="AA195" s="12"/>
      <c r="AB195" s="12"/>
      <c r="AC195" s="12"/>
      <c r="AD195" s="12"/>
    </row>
    <row r="196" spans="1:30" ht="13.5" customHeight="1">
      <c r="A196" s="4"/>
      <c r="B196" s="4"/>
      <c r="C196" s="4"/>
      <c r="D196" s="4"/>
      <c r="E196" s="4"/>
      <c r="F196" s="4"/>
      <c r="G196" s="4"/>
      <c r="H196" s="4"/>
      <c r="I196" s="4"/>
      <c r="J196" s="4"/>
      <c r="K196" s="4"/>
      <c r="L196" s="4"/>
      <c r="M196" s="4"/>
      <c r="N196" s="4"/>
      <c r="O196" s="4"/>
      <c r="P196" s="4"/>
      <c r="Q196" s="4"/>
      <c r="R196" s="12"/>
      <c r="S196" s="12"/>
      <c r="T196" s="12"/>
      <c r="U196" s="12"/>
      <c r="V196" s="12"/>
      <c r="W196" s="12"/>
      <c r="X196" s="12"/>
      <c r="Y196" s="12"/>
      <c r="Z196" s="12"/>
      <c r="AA196" s="12"/>
      <c r="AB196" s="12"/>
      <c r="AC196" s="12"/>
      <c r="AD196" s="12"/>
    </row>
    <row r="197" spans="1:30" ht="13.5" customHeight="1">
      <c r="A197" s="4"/>
      <c r="B197" s="4"/>
      <c r="C197" s="4"/>
      <c r="D197" s="4"/>
      <c r="E197" s="4"/>
      <c r="F197" s="4"/>
      <c r="G197" s="4"/>
      <c r="H197" s="4"/>
      <c r="I197" s="4"/>
      <c r="J197" s="4"/>
      <c r="K197" s="4"/>
      <c r="L197" s="4"/>
      <c r="M197" s="4"/>
      <c r="N197" s="4"/>
      <c r="O197" s="4"/>
      <c r="P197" s="4"/>
      <c r="Q197" s="4"/>
      <c r="R197" s="12"/>
      <c r="S197" s="12"/>
      <c r="T197" s="12"/>
      <c r="U197" s="12"/>
      <c r="V197" s="12"/>
      <c r="W197" s="12"/>
      <c r="X197" s="12"/>
      <c r="Y197" s="12"/>
      <c r="Z197" s="12"/>
      <c r="AA197" s="12"/>
      <c r="AB197" s="12"/>
      <c r="AC197" s="12"/>
      <c r="AD197" s="12"/>
    </row>
    <row r="198" spans="1:30" ht="13.5" customHeight="1">
      <c r="A198" s="4"/>
      <c r="B198" s="4"/>
      <c r="C198" s="4"/>
      <c r="D198" s="4"/>
      <c r="E198" s="4"/>
      <c r="F198" s="4"/>
      <c r="G198" s="4"/>
      <c r="H198" s="4"/>
      <c r="I198" s="4"/>
      <c r="J198" s="4"/>
      <c r="K198" s="4"/>
      <c r="L198" s="4"/>
      <c r="M198" s="4"/>
      <c r="N198" s="4"/>
      <c r="O198" s="4"/>
      <c r="P198" s="4"/>
      <c r="Q198" s="4"/>
      <c r="R198" s="12"/>
      <c r="S198" s="12"/>
      <c r="T198" s="12"/>
      <c r="U198" s="12"/>
      <c r="V198" s="12"/>
      <c r="W198" s="12"/>
      <c r="X198" s="12"/>
      <c r="Y198" s="12"/>
      <c r="Z198" s="12"/>
      <c r="AA198" s="12"/>
      <c r="AB198" s="12"/>
      <c r="AC198" s="12"/>
      <c r="AD198" s="12"/>
    </row>
    <row r="199" spans="1:30" ht="13.5" customHeight="1">
      <c r="A199" s="4"/>
      <c r="B199" s="4"/>
      <c r="C199" s="4"/>
      <c r="D199" s="4"/>
      <c r="E199" s="4"/>
      <c r="F199" s="4"/>
      <c r="G199" s="4"/>
      <c r="H199" s="4"/>
      <c r="I199" s="4"/>
      <c r="J199" s="4"/>
      <c r="K199" s="4"/>
      <c r="L199" s="4"/>
      <c r="M199" s="4"/>
      <c r="N199" s="4"/>
      <c r="O199" s="4"/>
      <c r="P199" s="4"/>
      <c r="Q199" s="4"/>
      <c r="R199" s="12"/>
      <c r="S199" s="12"/>
      <c r="T199" s="12"/>
      <c r="U199" s="12"/>
      <c r="V199" s="12"/>
      <c r="W199" s="12"/>
      <c r="X199" s="12"/>
      <c r="Y199" s="12"/>
      <c r="Z199" s="12"/>
      <c r="AA199" s="12"/>
      <c r="AB199" s="12"/>
      <c r="AC199" s="12"/>
      <c r="AD199" s="12"/>
    </row>
    <row r="200" spans="1:30" ht="13.5" customHeight="1">
      <c r="A200" s="4"/>
      <c r="B200" s="4"/>
      <c r="C200" s="4"/>
      <c r="D200" s="4"/>
      <c r="E200" s="4"/>
      <c r="F200" s="4"/>
      <c r="G200" s="4"/>
      <c r="H200" s="4"/>
      <c r="I200" s="4"/>
      <c r="J200" s="4"/>
      <c r="K200" s="4"/>
      <c r="L200" s="4"/>
      <c r="M200" s="4"/>
      <c r="N200" s="4"/>
      <c r="O200" s="4"/>
      <c r="P200" s="4"/>
      <c r="Q200" s="4"/>
      <c r="R200" s="12"/>
      <c r="S200" s="12"/>
      <c r="T200" s="12"/>
      <c r="U200" s="12"/>
      <c r="V200" s="12"/>
      <c r="W200" s="12"/>
      <c r="X200" s="12"/>
      <c r="Y200" s="12"/>
      <c r="Z200" s="12"/>
      <c r="AA200" s="12"/>
      <c r="AB200" s="12"/>
      <c r="AC200" s="12"/>
      <c r="AD200" s="12"/>
    </row>
    <row r="201" spans="1:30" ht="13.5" customHeight="1">
      <c r="A201" s="4"/>
      <c r="B201" s="4"/>
      <c r="C201" s="4"/>
      <c r="D201" s="4"/>
      <c r="E201" s="4"/>
      <c r="F201" s="4"/>
      <c r="G201" s="4"/>
      <c r="H201" s="4"/>
      <c r="I201" s="4"/>
      <c r="J201" s="4"/>
      <c r="K201" s="4"/>
      <c r="L201" s="4"/>
      <c r="M201" s="4"/>
      <c r="N201" s="4"/>
      <c r="O201" s="4"/>
      <c r="P201" s="4"/>
      <c r="Q201" s="4"/>
      <c r="R201" s="12"/>
      <c r="S201" s="12"/>
      <c r="T201" s="12"/>
      <c r="U201" s="12"/>
      <c r="V201" s="12"/>
      <c r="W201" s="12"/>
      <c r="X201" s="12"/>
      <c r="Y201" s="12"/>
      <c r="Z201" s="12"/>
      <c r="AA201" s="12"/>
      <c r="AB201" s="12"/>
      <c r="AC201" s="12"/>
      <c r="AD201" s="12"/>
    </row>
    <row r="202" spans="1:30" ht="13.5" customHeight="1">
      <c r="A202" s="4"/>
      <c r="B202" s="4"/>
      <c r="C202" s="4"/>
      <c r="D202" s="4"/>
      <c r="E202" s="4"/>
      <c r="F202" s="4"/>
      <c r="G202" s="4"/>
      <c r="H202" s="4"/>
      <c r="I202" s="4"/>
      <c r="J202" s="4"/>
      <c r="K202" s="4"/>
      <c r="L202" s="4"/>
      <c r="M202" s="4"/>
      <c r="N202" s="4"/>
      <c r="O202" s="4"/>
      <c r="P202" s="4"/>
      <c r="Q202" s="4"/>
      <c r="R202" s="12"/>
      <c r="S202" s="12"/>
      <c r="T202" s="12"/>
      <c r="U202" s="12"/>
      <c r="V202" s="12"/>
      <c r="W202" s="12"/>
      <c r="X202" s="12"/>
      <c r="Y202" s="12"/>
      <c r="Z202" s="12"/>
      <c r="AA202" s="12"/>
      <c r="AB202" s="12"/>
      <c r="AC202" s="12"/>
      <c r="AD202" s="12"/>
    </row>
    <row r="203" spans="1:30" ht="13.5" customHeight="1">
      <c r="A203" s="4"/>
      <c r="B203" s="4"/>
      <c r="C203" s="4"/>
      <c r="D203" s="4"/>
      <c r="E203" s="4"/>
      <c r="F203" s="4"/>
      <c r="G203" s="4"/>
      <c r="H203" s="4"/>
      <c r="I203" s="4"/>
      <c r="J203" s="4"/>
      <c r="K203" s="4"/>
      <c r="L203" s="4"/>
      <c r="M203" s="4"/>
      <c r="N203" s="4"/>
      <c r="O203" s="4"/>
      <c r="P203" s="4"/>
      <c r="Q203" s="4"/>
      <c r="R203" s="12"/>
      <c r="S203" s="12"/>
      <c r="T203" s="12"/>
      <c r="U203" s="12"/>
      <c r="V203" s="12"/>
      <c r="W203" s="12"/>
      <c r="X203" s="12"/>
      <c r="Y203" s="12"/>
      <c r="Z203" s="12"/>
      <c r="AA203" s="12"/>
      <c r="AB203" s="12"/>
      <c r="AC203" s="12"/>
      <c r="AD203" s="12"/>
    </row>
    <row r="204" spans="1:30" ht="13.5" customHeight="1">
      <c r="A204" s="4"/>
      <c r="B204" s="4"/>
      <c r="C204" s="4"/>
      <c r="D204" s="4"/>
      <c r="E204" s="4"/>
      <c r="F204" s="4"/>
      <c r="G204" s="4"/>
      <c r="H204" s="4"/>
      <c r="I204" s="4"/>
      <c r="J204" s="4"/>
      <c r="K204" s="4"/>
      <c r="L204" s="4"/>
      <c r="M204" s="4"/>
      <c r="N204" s="4"/>
      <c r="O204" s="4"/>
      <c r="P204" s="4"/>
      <c r="Q204" s="4"/>
      <c r="R204" s="12"/>
      <c r="S204" s="12"/>
      <c r="T204" s="12"/>
      <c r="U204" s="12"/>
      <c r="V204" s="12"/>
      <c r="W204" s="12"/>
      <c r="X204" s="12"/>
      <c r="Y204" s="12"/>
      <c r="Z204" s="12"/>
      <c r="AA204" s="12"/>
      <c r="AB204" s="12"/>
      <c r="AC204" s="12"/>
      <c r="AD204" s="12"/>
    </row>
    <row r="205" spans="1:30" ht="13.5" customHeight="1">
      <c r="A205" s="4"/>
      <c r="B205" s="4"/>
      <c r="C205" s="4"/>
      <c r="D205" s="4"/>
      <c r="E205" s="4"/>
      <c r="F205" s="4"/>
      <c r="G205" s="4"/>
      <c r="H205" s="4"/>
      <c r="I205" s="4"/>
      <c r="J205" s="4"/>
      <c r="K205" s="4"/>
      <c r="L205" s="4"/>
      <c r="M205" s="4"/>
      <c r="N205" s="4"/>
      <c r="O205" s="4"/>
      <c r="P205" s="4"/>
      <c r="Q205" s="4"/>
      <c r="R205" s="12"/>
      <c r="S205" s="12"/>
      <c r="T205" s="12"/>
      <c r="U205" s="12"/>
      <c r="V205" s="12"/>
      <c r="W205" s="12"/>
      <c r="X205" s="12"/>
      <c r="Y205" s="12"/>
      <c r="Z205" s="12"/>
      <c r="AA205" s="12"/>
      <c r="AB205" s="12"/>
      <c r="AC205" s="12"/>
      <c r="AD205" s="12"/>
    </row>
    <row r="206" spans="1:30" ht="13.5" customHeight="1">
      <c r="A206" s="4"/>
      <c r="B206" s="4"/>
      <c r="C206" s="4"/>
      <c r="D206" s="4"/>
      <c r="E206" s="4"/>
      <c r="F206" s="4"/>
      <c r="G206" s="4"/>
      <c r="H206" s="4"/>
      <c r="I206" s="4"/>
      <c r="J206" s="4"/>
      <c r="K206" s="4"/>
      <c r="L206" s="4"/>
      <c r="M206" s="4"/>
      <c r="N206" s="4"/>
      <c r="O206" s="4"/>
      <c r="P206" s="4"/>
      <c r="Q206" s="4"/>
      <c r="R206" s="12"/>
      <c r="S206" s="12"/>
      <c r="T206" s="12"/>
      <c r="U206" s="12"/>
      <c r="V206" s="12"/>
      <c r="W206" s="12"/>
      <c r="X206" s="12"/>
      <c r="Y206" s="12"/>
      <c r="Z206" s="12"/>
      <c r="AA206" s="12"/>
      <c r="AB206" s="12"/>
      <c r="AC206" s="12"/>
      <c r="AD206" s="12"/>
    </row>
    <row r="207" spans="1:30" ht="13.5" customHeight="1">
      <c r="A207" s="4"/>
      <c r="B207" s="4"/>
      <c r="C207" s="4"/>
      <c r="D207" s="4"/>
      <c r="E207" s="4"/>
      <c r="F207" s="4"/>
      <c r="G207" s="4"/>
      <c r="H207" s="4"/>
      <c r="I207" s="4"/>
      <c r="J207" s="4"/>
      <c r="K207" s="4"/>
      <c r="L207" s="4"/>
      <c r="M207" s="4"/>
      <c r="N207" s="4"/>
      <c r="O207" s="4"/>
      <c r="P207" s="4"/>
      <c r="Q207" s="4"/>
      <c r="R207" s="12"/>
      <c r="S207" s="12"/>
      <c r="T207" s="12"/>
      <c r="U207" s="12"/>
      <c r="V207" s="12"/>
      <c r="W207" s="12"/>
      <c r="X207" s="12"/>
      <c r="Y207" s="12"/>
      <c r="Z207" s="12"/>
      <c r="AA207" s="12"/>
      <c r="AB207" s="12"/>
      <c r="AC207" s="12"/>
      <c r="AD207" s="12"/>
    </row>
    <row r="208" spans="1:30" ht="13.5" customHeight="1">
      <c r="A208" s="4"/>
      <c r="B208" s="4"/>
      <c r="C208" s="4"/>
      <c r="D208" s="4"/>
      <c r="E208" s="4"/>
      <c r="F208" s="4"/>
      <c r="G208" s="4"/>
      <c r="H208" s="4"/>
      <c r="I208" s="4"/>
      <c r="J208" s="4"/>
      <c r="K208" s="4"/>
      <c r="L208" s="4"/>
      <c r="M208" s="4"/>
      <c r="N208" s="4"/>
      <c r="O208" s="4"/>
      <c r="P208" s="4"/>
      <c r="Q208" s="4"/>
      <c r="R208" s="12"/>
      <c r="S208" s="12"/>
      <c r="T208" s="12"/>
      <c r="U208" s="12"/>
      <c r="V208" s="12"/>
      <c r="W208" s="12"/>
      <c r="X208" s="12"/>
      <c r="Y208" s="12"/>
      <c r="Z208" s="12"/>
      <c r="AA208" s="12"/>
      <c r="AB208" s="12"/>
      <c r="AC208" s="12"/>
      <c r="AD208" s="12"/>
    </row>
    <row r="209" spans="1:30" ht="13.5" customHeight="1">
      <c r="A209" s="4"/>
      <c r="B209" s="4"/>
      <c r="C209" s="4"/>
      <c r="D209" s="4"/>
      <c r="E209" s="4"/>
      <c r="F209" s="4"/>
      <c r="G209" s="4"/>
      <c r="H209" s="4"/>
      <c r="I209" s="4"/>
      <c r="J209" s="4"/>
      <c r="K209" s="4"/>
      <c r="L209" s="4"/>
      <c r="M209" s="4"/>
      <c r="N209" s="4"/>
      <c r="O209" s="4"/>
      <c r="P209" s="4"/>
      <c r="Q209" s="4"/>
      <c r="R209" s="12"/>
      <c r="S209" s="12"/>
      <c r="T209" s="12"/>
      <c r="U209" s="12"/>
      <c r="V209" s="12"/>
      <c r="W209" s="12"/>
      <c r="X209" s="12"/>
      <c r="Y209" s="12"/>
      <c r="Z209" s="12"/>
      <c r="AA209" s="12"/>
      <c r="AB209" s="12"/>
      <c r="AC209" s="12"/>
      <c r="AD209" s="12"/>
    </row>
    <row r="210" spans="1:30" ht="13.5" customHeight="1">
      <c r="A210" s="4"/>
      <c r="B210" s="4"/>
      <c r="C210" s="4"/>
      <c r="D210" s="4"/>
      <c r="E210" s="4"/>
      <c r="F210" s="4"/>
      <c r="G210" s="4"/>
      <c r="H210" s="4"/>
      <c r="I210" s="4"/>
      <c r="J210" s="4"/>
      <c r="K210" s="4"/>
      <c r="L210" s="4"/>
      <c r="M210" s="4"/>
      <c r="N210" s="4"/>
      <c r="O210" s="4"/>
      <c r="P210" s="4"/>
      <c r="Q210" s="4"/>
      <c r="R210" s="12"/>
      <c r="S210" s="12"/>
      <c r="T210" s="12"/>
      <c r="U210" s="12"/>
      <c r="V210" s="12"/>
      <c r="W210" s="12"/>
      <c r="X210" s="12"/>
      <c r="Y210" s="12"/>
      <c r="Z210" s="12"/>
      <c r="AA210" s="12"/>
      <c r="AB210" s="12"/>
      <c r="AC210" s="12"/>
      <c r="AD210" s="12"/>
    </row>
    <row r="211" spans="1:30" ht="13.5" customHeight="1">
      <c r="A211" s="4"/>
      <c r="B211" s="4"/>
      <c r="C211" s="4"/>
      <c r="D211" s="4"/>
      <c r="E211" s="4"/>
      <c r="F211" s="4"/>
      <c r="G211" s="4"/>
      <c r="H211" s="4"/>
      <c r="I211" s="4"/>
      <c r="J211" s="4"/>
      <c r="K211" s="4"/>
      <c r="L211" s="4"/>
      <c r="M211" s="4"/>
      <c r="N211" s="4"/>
      <c r="O211" s="4"/>
      <c r="P211" s="4"/>
      <c r="Q211" s="4"/>
      <c r="R211" s="12"/>
      <c r="S211" s="12"/>
      <c r="T211" s="12"/>
      <c r="U211" s="12"/>
      <c r="V211" s="12"/>
      <c r="W211" s="12"/>
      <c r="X211" s="12"/>
      <c r="Y211" s="12"/>
      <c r="Z211" s="12"/>
      <c r="AA211" s="12"/>
      <c r="AB211" s="12"/>
      <c r="AC211" s="12"/>
      <c r="AD211" s="12"/>
    </row>
    <row r="212" spans="1:30" ht="13.5" customHeight="1">
      <c r="A212" s="4"/>
      <c r="B212" s="4"/>
      <c r="C212" s="4"/>
      <c r="D212" s="4"/>
      <c r="E212" s="4"/>
      <c r="F212" s="4"/>
      <c r="G212" s="4"/>
      <c r="H212" s="4"/>
      <c r="I212" s="4"/>
      <c r="J212" s="4"/>
      <c r="K212" s="4"/>
      <c r="L212" s="4"/>
      <c r="M212" s="4"/>
      <c r="N212" s="4"/>
      <c r="O212" s="4"/>
      <c r="P212" s="4"/>
      <c r="Q212" s="4"/>
      <c r="R212" s="12"/>
      <c r="S212" s="12"/>
      <c r="T212" s="12"/>
      <c r="U212" s="12"/>
      <c r="V212" s="12"/>
      <c r="W212" s="12"/>
      <c r="X212" s="12"/>
      <c r="Y212" s="12"/>
      <c r="Z212" s="12"/>
      <c r="AA212" s="12"/>
      <c r="AB212" s="12"/>
      <c r="AC212" s="12"/>
      <c r="AD212" s="12"/>
    </row>
    <row r="213" spans="1:30" ht="13.5" customHeight="1">
      <c r="A213" s="4"/>
      <c r="B213" s="4"/>
      <c r="C213" s="4"/>
      <c r="D213" s="4"/>
      <c r="E213" s="4"/>
      <c r="F213" s="4"/>
      <c r="G213" s="4"/>
      <c r="H213" s="4"/>
      <c r="I213" s="4"/>
      <c r="J213" s="4"/>
      <c r="K213" s="4"/>
      <c r="L213" s="4"/>
      <c r="M213" s="4"/>
      <c r="N213" s="4"/>
      <c r="O213" s="4"/>
      <c r="P213" s="4"/>
      <c r="Q213" s="4"/>
      <c r="R213" s="12"/>
      <c r="S213" s="12"/>
      <c r="T213" s="12"/>
      <c r="U213" s="12"/>
      <c r="V213" s="12"/>
      <c r="W213" s="12"/>
      <c r="X213" s="12"/>
      <c r="Y213" s="12"/>
      <c r="Z213" s="12"/>
      <c r="AA213" s="12"/>
      <c r="AB213" s="12"/>
      <c r="AC213" s="12"/>
      <c r="AD213" s="12"/>
    </row>
    <row r="214" spans="1:30" ht="13.5" customHeight="1">
      <c r="A214" s="4"/>
      <c r="B214" s="4"/>
      <c r="C214" s="4"/>
      <c r="D214" s="4"/>
      <c r="E214" s="4"/>
      <c r="F214" s="4"/>
      <c r="G214" s="4"/>
      <c r="H214" s="4"/>
      <c r="I214" s="4"/>
      <c r="J214" s="4"/>
      <c r="K214" s="4"/>
      <c r="L214" s="4"/>
      <c r="M214" s="4"/>
      <c r="N214" s="4"/>
      <c r="O214" s="4"/>
      <c r="P214" s="4"/>
      <c r="Q214" s="4"/>
      <c r="R214" s="12"/>
      <c r="S214" s="12"/>
      <c r="T214" s="12"/>
      <c r="U214" s="12"/>
      <c r="V214" s="12"/>
      <c r="W214" s="12"/>
      <c r="X214" s="12"/>
      <c r="Y214" s="12"/>
      <c r="Z214" s="12"/>
      <c r="AA214" s="12"/>
      <c r="AB214" s="12"/>
      <c r="AC214" s="12"/>
      <c r="AD214" s="12"/>
    </row>
    <row r="215" spans="1:30" ht="13.5" customHeight="1">
      <c r="A215" s="4"/>
      <c r="B215" s="4"/>
      <c r="C215" s="4"/>
      <c r="D215" s="4"/>
      <c r="E215" s="4"/>
      <c r="F215" s="4"/>
      <c r="G215" s="4"/>
      <c r="H215" s="4"/>
      <c r="I215" s="4"/>
      <c r="J215" s="4"/>
      <c r="K215" s="4"/>
      <c r="L215" s="4"/>
      <c r="M215" s="4"/>
      <c r="N215" s="4"/>
      <c r="O215" s="4"/>
      <c r="P215" s="4"/>
      <c r="Q215" s="4"/>
      <c r="R215" s="12"/>
      <c r="S215" s="12"/>
      <c r="T215" s="12"/>
      <c r="U215" s="12"/>
      <c r="V215" s="12"/>
      <c r="W215" s="12"/>
      <c r="X215" s="12"/>
      <c r="Y215" s="12"/>
      <c r="Z215" s="12"/>
      <c r="AA215" s="12"/>
      <c r="AB215" s="12"/>
      <c r="AC215" s="12"/>
      <c r="AD215" s="12"/>
    </row>
    <row r="216" spans="1:30" ht="13.5" customHeight="1">
      <c r="A216" s="4"/>
      <c r="B216" s="4"/>
      <c r="C216" s="4"/>
      <c r="D216" s="4"/>
      <c r="E216" s="4"/>
      <c r="F216" s="4"/>
      <c r="G216" s="4"/>
      <c r="H216" s="4"/>
      <c r="I216" s="4"/>
      <c r="J216" s="4"/>
      <c r="K216" s="4"/>
      <c r="L216" s="4"/>
      <c r="M216" s="4"/>
      <c r="N216" s="4"/>
      <c r="O216" s="4"/>
      <c r="P216" s="4"/>
      <c r="Q216" s="4"/>
      <c r="R216" s="12"/>
      <c r="S216" s="12"/>
      <c r="T216" s="12"/>
      <c r="U216" s="12"/>
      <c r="V216" s="12"/>
      <c r="W216" s="12"/>
      <c r="X216" s="12"/>
      <c r="Y216" s="12"/>
      <c r="Z216" s="12"/>
      <c r="AA216" s="12"/>
      <c r="AB216" s="12"/>
      <c r="AC216" s="12"/>
      <c r="AD216" s="12"/>
    </row>
    <row r="217" spans="1:30" ht="13.5" customHeight="1">
      <c r="A217" s="4"/>
      <c r="B217" s="4"/>
      <c r="C217" s="4"/>
      <c r="D217" s="4"/>
      <c r="E217" s="4"/>
      <c r="F217" s="4"/>
      <c r="G217" s="4"/>
      <c r="H217" s="4"/>
      <c r="I217" s="4"/>
      <c r="J217" s="4"/>
      <c r="K217" s="4"/>
      <c r="L217" s="4"/>
      <c r="M217" s="4"/>
      <c r="N217" s="4"/>
      <c r="O217" s="4"/>
      <c r="P217" s="4"/>
      <c r="Q217" s="4"/>
      <c r="R217" s="12"/>
      <c r="S217" s="12"/>
      <c r="T217" s="12"/>
      <c r="U217" s="12"/>
      <c r="V217" s="12"/>
      <c r="W217" s="12"/>
      <c r="X217" s="12"/>
      <c r="Y217" s="12"/>
      <c r="Z217" s="12"/>
      <c r="AA217" s="12"/>
      <c r="AB217" s="12"/>
      <c r="AC217" s="12"/>
      <c r="AD217" s="12"/>
    </row>
    <row r="218" spans="1:30" ht="13.5" customHeight="1">
      <c r="A218" s="4"/>
      <c r="B218" s="4"/>
      <c r="C218" s="4"/>
      <c r="D218" s="4"/>
      <c r="E218" s="4"/>
      <c r="F218" s="4"/>
      <c r="G218" s="4"/>
      <c r="H218" s="4"/>
      <c r="I218" s="4"/>
      <c r="J218" s="4"/>
      <c r="K218" s="4"/>
      <c r="L218" s="4"/>
      <c r="M218" s="4"/>
      <c r="N218" s="4"/>
      <c r="O218" s="4"/>
      <c r="P218" s="4"/>
      <c r="Q218" s="4"/>
      <c r="R218" s="12"/>
      <c r="S218" s="12"/>
      <c r="T218" s="12"/>
      <c r="U218" s="12"/>
      <c r="V218" s="12"/>
      <c r="W218" s="12"/>
      <c r="X218" s="12"/>
      <c r="Y218" s="12"/>
      <c r="Z218" s="12"/>
      <c r="AA218" s="12"/>
      <c r="AB218" s="12"/>
      <c r="AC218" s="12"/>
      <c r="AD218" s="12"/>
    </row>
    <row r="219" spans="1:30" ht="13.5" customHeight="1">
      <c r="A219" s="4"/>
      <c r="B219" s="4"/>
      <c r="C219" s="4"/>
      <c r="D219" s="4"/>
      <c r="E219" s="4"/>
      <c r="F219" s="4"/>
      <c r="G219" s="4"/>
      <c r="H219" s="4"/>
      <c r="I219" s="4"/>
      <c r="J219" s="4"/>
      <c r="K219" s="4"/>
      <c r="L219" s="4"/>
      <c r="M219" s="4"/>
      <c r="N219" s="4"/>
      <c r="O219" s="4"/>
      <c r="P219" s="4"/>
      <c r="Q219" s="4"/>
      <c r="R219" s="12"/>
      <c r="S219" s="12"/>
      <c r="T219" s="12"/>
      <c r="U219" s="12"/>
      <c r="V219" s="12"/>
      <c r="W219" s="12"/>
      <c r="X219" s="12"/>
      <c r="Y219" s="12"/>
      <c r="Z219" s="12"/>
      <c r="AA219" s="12"/>
      <c r="AB219" s="12"/>
      <c r="AC219" s="12"/>
      <c r="AD219" s="12"/>
    </row>
    <row r="220" spans="1:30" ht="13.5" customHeight="1">
      <c r="A220" s="4"/>
      <c r="B220" s="4"/>
      <c r="C220" s="4"/>
      <c r="D220" s="4"/>
      <c r="E220" s="4"/>
      <c r="F220" s="4"/>
      <c r="G220" s="4"/>
      <c r="H220" s="4"/>
      <c r="I220" s="4"/>
      <c r="J220" s="4"/>
      <c r="K220" s="4"/>
      <c r="L220" s="4"/>
      <c r="M220" s="4"/>
      <c r="N220" s="4"/>
      <c r="O220" s="4"/>
      <c r="P220" s="4"/>
      <c r="Q220" s="4"/>
      <c r="R220" s="12"/>
      <c r="S220" s="12"/>
      <c r="T220" s="12"/>
      <c r="U220" s="12"/>
      <c r="V220" s="12"/>
      <c r="W220" s="12"/>
      <c r="X220" s="12"/>
      <c r="Y220" s="12"/>
      <c r="Z220" s="12"/>
      <c r="AA220" s="12"/>
      <c r="AB220" s="12"/>
      <c r="AC220" s="12"/>
      <c r="AD220" s="12"/>
    </row>
    <row r="221" spans="1:30" ht="13.5" customHeight="1">
      <c r="A221" s="4"/>
      <c r="B221" s="4"/>
      <c r="C221" s="4"/>
      <c r="D221" s="4"/>
      <c r="E221" s="4"/>
      <c r="F221" s="4"/>
      <c r="G221" s="4"/>
      <c r="H221" s="4"/>
      <c r="I221" s="4"/>
      <c r="J221" s="4"/>
      <c r="K221" s="4"/>
      <c r="L221" s="4"/>
      <c r="M221" s="4"/>
      <c r="N221" s="4"/>
      <c r="O221" s="4"/>
      <c r="P221" s="4"/>
      <c r="Q221" s="4"/>
      <c r="R221" s="12"/>
      <c r="S221" s="12"/>
      <c r="T221" s="12"/>
      <c r="U221" s="12"/>
      <c r="V221" s="12"/>
      <c r="W221" s="12"/>
      <c r="X221" s="12"/>
      <c r="Y221" s="12"/>
      <c r="Z221" s="12"/>
      <c r="AA221" s="12"/>
      <c r="AB221" s="12"/>
      <c r="AC221" s="12"/>
      <c r="AD221" s="12"/>
    </row>
    <row r="222" spans="1:30" ht="13.5" customHeight="1">
      <c r="A222" s="4"/>
      <c r="B222" s="4"/>
      <c r="C222" s="4"/>
      <c r="D222" s="4"/>
      <c r="E222" s="4"/>
      <c r="F222" s="4"/>
      <c r="G222" s="4"/>
      <c r="H222" s="4"/>
      <c r="I222" s="4"/>
      <c r="J222" s="4"/>
      <c r="K222" s="4"/>
      <c r="L222" s="4"/>
      <c r="M222" s="4"/>
      <c r="N222" s="4"/>
      <c r="O222" s="4"/>
      <c r="P222" s="4"/>
      <c r="Q222" s="4"/>
      <c r="R222" s="12"/>
      <c r="S222" s="12"/>
      <c r="T222" s="12"/>
      <c r="U222" s="12"/>
      <c r="V222" s="12"/>
      <c r="W222" s="12"/>
      <c r="X222" s="12"/>
      <c r="Y222" s="12"/>
      <c r="Z222" s="12"/>
      <c r="AA222" s="12"/>
      <c r="AB222" s="12"/>
      <c r="AC222" s="12"/>
      <c r="AD222" s="12"/>
    </row>
    <row r="223" spans="1:30" ht="13.5" customHeight="1">
      <c r="A223" s="4"/>
      <c r="B223" s="4"/>
      <c r="C223" s="4"/>
      <c r="D223" s="4"/>
      <c r="E223" s="4"/>
      <c r="F223" s="4"/>
      <c r="G223" s="4"/>
      <c r="H223" s="4"/>
      <c r="I223" s="4"/>
      <c r="J223" s="4"/>
      <c r="K223" s="4"/>
      <c r="L223" s="4"/>
      <c r="M223" s="4"/>
      <c r="N223" s="4"/>
      <c r="O223" s="4"/>
      <c r="P223" s="4"/>
      <c r="Q223" s="4"/>
      <c r="R223" s="12"/>
      <c r="S223" s="12"/>
      <c r="T223" s="12"/>
      <c r="U223" s="12"/>
      <c r="V223" s="12"/>
      <c r="W223" s="12"/>
      <c r="X223" s="12"/>
      <c r="Y223" s="12"/>
      <c r="Z223" s="12"/>
      <c r="AA223" s="12"/>
      <c r="AB223" s="12"/>
      <c r="AC223" s="12"/>
      <c r="AD223" s="12"/>
    </row>
    <row r="224" spans="1:30" ht="13.5" customHeight="1">
      <c r="A224" s="4"/>
      <c r="B224" s="4"/>
      <c r="C224" s="4"/>
      <c r="D224" s="4"/>
      <c r="E224" s="4"/>
      <c r="F224" s="4"/>
      <c r="G224" s="4"/>
      <c r="H224" s="4"/>
      <c r="I224" s="4"/>
      <c r="J224" s="4"/>
      <c r="K224" s="4"/>
      <c r="L224" s="4"/>
      <c r="M224" s="4"/>
      <c r="N224" s="4"/>
      <c r="O224" s="4"/>
      <c r="P224" s="4"/>
      <c r="Q224" s="4"/>
      <c r="R224" s="12"/>
      <c r="S224" s="12"/>
      <c r="T224" s="12"/>
      <c r="U224" s="12"/>
      <c r="V224" s="12"/>
      <c r="W224" s="12"/>
      <c r="X224" s="12"/>
      <c r="Y224" s="12"/>
      <c r="Z224" s="12"/>
      <c r="AA224" s="12"/>
      <c r="AB224" s="12"/>
      <c r="AC224" s="12"/>
      <c r="AD224" s="12"/>
    </row>
    <row r="225" spans="1:30" ht="13.5" customHeight="1">
      <c r="A225" s="4"/>
      <c r="B225" s="4"/>
      <c r="C225" s="4"/>
      <c r="D225" s="4"/>
      <c r="E225" s="4"/>
      <c r="F225" s="4"/>
      <c r="G225" s="4"/>
      <c r="H225" s="4"/>
      <c r="I225" s="4"/>
      <c r="J225" s="4"/>
      <c r="K225" s="4"/>
      <c r="L225" s="4"/>
      <c r="M225" s="4"/>
      <c r="N225" s="4"/>
      <c r="O225" s="4"/>
      <c r="P225" s="4"/>
      <c r="Q225" s="4"/>
      <c r="R225" s="12"/>
      <c r="S225" s="12"/>
      <c r="T225" s="12"/>
      <c r="U225" s="12"/>
      <c r="V225" s="12"/>
      <c r="W225" s="12"/>
      <c r="X225" s="12"/>
      <c r="Y225" s="12"/>
      <c r="Z225" s="12"/>
      <c r="AA225" s="12"/>
      <c r="AB225" s="12"/>
      <c r="AC225" s="12"/>
      <c r="AD225" s="12"/>
    </row>
    <row r="226" spans="1:30" ht="13.5" customHeight="1">
      <c r="A226" s="4"/>
      <c r="B226" s="4"/>
      <c r="C226" s="4"/>
      <c r="D226" s="4"/>
      <c r="E226" s="4"/>
      <c r="F226" s="4"/>
      <c r="G226" s="4"/>
      <c r="H226" s="4"/>
      <c r="I226" s="4"/>
      <c r="J226" s="4"/>
      <c r="K226" s="4"/>
      <c r="L226" s="4"/>
      <c r="M226" s="4"/>
      <c r="N226" s="4"/>
      <c r="O226" s="4"/>
      <c r="P226" s="4"/>
      <c r="Q226" s="4"/>
      <c r="R226" s="12"/>
      <c r="S226" s="12"/>
      <c r="T226" s="12"/>
      <c r="U226" s="12"/>
      <c r="V226" s="12"/>
      <c r="W226" s="12"/>
      <c r="X226" s="12"/>
      <c r="Y226" s="12"/>
      <c r="Z226" s="12"/>
      <c r="AA226" s="12"/>
      <c r="AB226" s="12"/>
      <c r="AC226" s="12"/>
      <c r="AD226" s="12"/>
    </row>
    <row r="227" spans="1:30" ht="13.5" customHeight="1">
      <c r="A227" s="4"/>
      <c r="B227" s="4"/>
      <c r="C227" s="4"/>
      <c r="D227" s="4"/>
      <c r="E227" s="4"/>
      <c r="F227" s="4"/>
      <c r="G227" s="4"/>
      <c r="H227" s="4"/>
      <c r="I227" s="4"/>
      <c r="J227" s="4"/>
      <c r="K227" s="4"/>
      <c r="L227" s="4"/>
      <c r="M227" s="4"/>
      <c r="N227" s="4"/>
      <c r="O227" s="4"/>
      <c r="P227" s="4"/>
      <c r="Q227" s="4"/>
      <c r="R227" s="12"/>
      <c r="S227" s="12"/>
      <c r="T227" s="12"/>
      <c r="U227" s="12"/>
      <c r="V227" s="12"/>
      <c r="W227" s="12"/>
      <c r="X227" s="12"/>
      <c r="Y227" s="12"/>
      <c r="Z227" s="12"/>
      <c r="AA227" s="12"/>
      <c r="AB227" s="12"/>
      <c r="AC227" s="12"/>
      <c r="AD227" s="12"/>
    </row>
    <row r="228" spans="1:30" ht="13.5" customHeight="1">
      <c r="A228" s="4"/>
      <c r="B228" s="4"/>
      <c r="C228" s="4"/>
      <c r="D228" s="4"/>
      <c r="E228" s="4"/>
      <c r="F228" s="4"/>
      <c r="G228" s="4"/>
      <c r="H228" s="4"/>
      <c r="I228" s="4"/>
      <c r="J228" s="4"/>
      <c r="K228" s="4"/>
      <c r="L228" s="4"/>
      <c r="M228" s="4"/>
      <c r="N228" s="4"/>
      <c r="O228" s="4"/>
      <c r="P228" s="4"/>
      <c r="Q228" s="4"/>
      <c r="R228" s="12"/>
      <c r="S228" s="12"/>
      <c r="T228" s="12"/>
      <c r="U228" s="12"/>
      <c r="V228" s="12"/>
      <c r="W228" s="12"/>
      <c r="X228" s="12"/>
      <c r="Y228" s="12"/>
      <c r="Z228" s="12"/>
      <c r="AA228" s="12"/>
      <c r="AB228" s="12"/>
      <c r="AC228" s="12"/>
      <c r="AD228" s="12"/>
    </row>
    <row r="229" spans="1:30" ht="13.5" customHeight="1">
      <c r="A229" s="4"/>
      <c r="B229" s="4"/>
      <c r="C229" s="4"/>
      <c r="D229" s="4"/>
      <c r="E229" s="4"/>
      <c r="F229" s="4"/>
      <c r="G229" s="4"/>
      <c r="H229" s="4"/>
      <c r="I229" s="4"/>
      <c r="J229" s="4"/>
      <c r="K229" s="4"/>
      <c r="L229" s="4"/>
      <c r="M229" s="4"/>
      <c r="N229" s="4"/>
      <c r="O229" s="4"/>
      <c r="P229" s="4"/>
      <c r="Q229" s="4"/>
      <c r="R229" s="12"/>
      <c r="S229" s="12"/>
      <c r="T229" s="12"/>
      <c r="U229" s="12"/>
      <c r="V229" s="12"/>
      <c r="W229" s="12"/>
      <c r="X229" s="12"/>
      <c r="Y229" s="12"/>
      <c r="Z229" s="12"/>
      <c r="AA229" s="12"/>
      <c r="AB229" s="12"/>
      <c r="AC229" s="12"/>
      <c r="AD229" s="12"/>
    </row>
    <row r="230" spans="1:30" ht="13.5" customHeight="1">
      <c r="A230" s="4"/>
      <c r="B230" s="4"/>
      <c r="C230" s="4"/>
      <c r="D230" s="4"/>
      <c r="E230" s="4"/>
      <c r="F230" s="4"/>
      <c r="G230" s="4"/>
      <c r="H230" s="4"/>
      <c r="I230" s="4"/>
      <c r="J230" s="4"/>
      <c r="K230" s="4"/>
      <c r="L230" s="4"/>
      <c r="M230" s="4"/>
      <c r="N230" s="4"/>
      <c r="O230" s="4"/>
      <c r="P230" s="4"/>
      <c r="Q230" s="4"/>
      <c r="R230" s="12"/>
      <c r="S230" s="12"/>
      <c r="T230" s="12"/>
      <c r="U230" s="12"/>
      <c r="V230" s="12"/>
      <c r="W230" s="12"/>
      <c r="X230" s="12"/>
      <c r="Y230" s="12"/>
      <c r="Z230" s="12"/>
      <c r="AA230" s="12"/>
      <c r="AB230" s="12"/>
      <c r="AC230" s="12"/>
      <c r="AD230" s="12"/>
    </row>
    <row r="231" spans="1:30" ht="13.5" customHeight="1">
      <c r="A231" s="4"/>
      <c r="B231" s="4"/>
      <c r="C231" s="4"/>
      <c r="D231" s="4"/>
      <c r="E231" s="4"/>
      <c r="F231" s="4"/>
      <c r="G231" s="4"/>
      <c r="H231" s="4"/>
      <c r="I231" s="4"/>
      <c r="J231" s="4"/>
      <c r="K231" s="4"/>
      <c r="L231" s="4"/>
      <c r="M231" s="4"/>
      <c r="N231" s="4"/>
      <c r="O231" s="4"/>
      <c r="P231" s="4"/>
      <c r="Q231" s="4"/>
      <c r="R231" s="12"/>
      <c r="S231" s="12"/>
      <c r="T231" s="12"/>
      <c r="U231" s="12"/>
      <c r="V231" s="12"/>
      <c r="W231" s="12"/>
      <c r="X231" s="12"/>
      <c r="Y231" s="12"/>
      <c r="Z231" s="12"/>
      <c r="AA231" s="12"/>
      <c r="AB231" s="12"/>
      <c r="AC231" s="12"/>
      <c r="AD231" s="12"/>
    </row>
    <row r="232" spans="1:30" ht="13.5" customHeight="1">
      <c r="A232" s="4"/>
      <c r="B232" s="4"/>
      <c r="C232" s="4"/>
      <c r="D232" s="4"/>
      <c r="E232" s="4"/>
      <c r="F232" s="4"/>
      <c r="G232" s="4"/>
      <c r="H232" s="4"/>
      <c r="I232" s="4"/>
      <c r="J232" s="4"/>
      <c r="K232" s="4"/>
      <c r="L232" s="4"/>
      <c r="M232" s="4"/>
      <c r="N232" s="4"/>
      <c r="O232" s="4"/>
      <c r="P232" s="4"/>
      <c r="Q232" s="4"/>
      <c r="R232" s="12"/>
      <c r="S232" s="12"/>
      <c r="T232" s="12"/>
      <c r="U232" s="12"/>
      <c r="V232" s="12"/>
      <c r="W232" s="12"/>
      <c r="X232" s="12"/>
      <c r="Y232" s="12"/>
      <c r="Z232" s="12"/>
      <c r="AA232" s="12"/>
      <c r="AB232" s="12"/>
      <c r="AC232" s="12"/>
      <c r="AD232" s="12"/>
    </row>
    <row r="233" spans="1:30" ht="13.5" customHeight="1">
      <c r="A233" s="4"/>
      <c r="B233" s="4"/>
      <c r="C233" s="4"/>
      <c r="D233" s="4"/>
      <c r="E233" s="4"/>
      <c r="F233" s="4"/>
      <c r="G233" s="4"/>
      <c r="H233" s="4"/>
      <c r="I233" s="4"/>
      <c r="J233" s="4"/>
      <c r="K233" s="4"/>
      <c r="L233" s="4"/>
      <c r="M233" s="4"/>
      <c r="N233" s="4"/>
      <c r="O233" s="4"/>
      <c r="P233" s="4"/>
      <c r="Q233" s="4"/>
      <c r="R233" s="12"/>
      <c r="S233" s="12"/>
      <c r="T233" s="12"/>
      <c r="U233" s="12"/>
      <c r="V233" s="12"/>
      <c r="W233" s="12"/>
      <c r="X233" s="12"/>
      <c r="Y233" s="12"/>
      <c r="Z233" s="12"/>
      <c r="AA233" s="12"/>
      <c r="AB233" s="12"/>
      <c r="AC233" s="12"/>
      <c r="AD233" s="12"/>
    </row>
    <row r="234" spans="1:30" ht="13.5" customHeight="1">
      <c r="A234" s="4"/>
      <c r="B234" s="4"/>
      <c r="C234" s="4"/>
      <c r="D234" s="4"/>
      <c r="E234" s="4"/>
      <c r="F234" s="4"/>
      <c r="G234" s="4"/>
      <c r="H234" s="4"/>
      <c r="I234" s="4"/>
      <c r="J234" s="4"/>
      <c r="K234" s="4"/>
      <c r="L234" s="4"/>
      <c r="M234" s="4"/>
      <c r="N234" s="4"/>
      <c r="O234" s="4"/>
      <c r="P234" s="4"/>
      <c r="Q234" s="4"/>
      <c r="R234" s="12"/>
      <c r="S234" s="12"/>
      <c r="T234" s="12"/>
      <c r="U234" s="12"/>
      <c r="V234" s="12"/>
      <c r="W234" s="12"/>
      <c r="X234" s="12"/>
      <c r="Y234" s="12"/>
      <c r="Z234" s="12"/>
      <c r="AA234" s="12"/>
      <c r="AB234" s="12"/>
      <c r="AC234" s="12"/>
      <c r="AD234" s="12"/>
    </row>
    <row r="235" spans="1:30" ht="13.5" customHeight="1">
      <c r="A235" s="4"/>
      <c r="B235" s="4"/>
      <c r="C235" s="4"/>
      <c r="D235" s="4"/>
      <c r="E235" s="4"/>
      <c r="F235" s="4"/>
      <c r="G235" s="4"/>
      <c r="H235" s="4"/>
      <c r="I235" s="4"/>
      <c r="J235" s="4"/>
      <c r="K235" s="4"/>
      <c r="L235" s="4"/>
      <c r="M235" s="4"/>
      <c r="N235" s="4"/>
      <c r="O235" s="4"/>
      <c r="P235" s="4"/>
      <c r="Q235" s="4"/>
      <c r="R235" s="12"/>
      <c r="S235" s="12"/>
      <c r="T235" s="12"/>
      <c r="U235" s="12"/>
      <c r="V235" s="12"/>
      <c r="W235" s="12"/>
      <c r="X235" s="12"/>
      <c r="Y235" s="12"/>
      <c r="Z235" s="12"/>
      <c r="AA235" s="12"/>
      <c r="AB235" s="12"/>
      <c r="AC235" s="12"/>
      <c r="AD235" s="12"/>
    </row>
    <row r="236" spans="1:30" ht="13.5" customHeight="1">
      <c r="A236" s="4"/>
      <c r="B236" s="4"/>
      <c r="C236" s="4"/>
      <c r="D236" s="4"/>
      <c r="E236" s="4"/>
      <c r="F236" s="4"/>
      <c r="G236" s="4"/>
      <c r="H236" s="4"/>
      <c r="I236" s="4"/>
      <c r="J236" s="4"/>
      <c r="K236" s="4"/>
      <c r="L236" s="4"/>
      <c r="M236" s="4"/>
      <c r="N236" s="4"/>
      <c r="O236" s="4"/>
      <c r="P236" s="4"/>
      <c r="Q236" s="4"/>
      <c r="R236" s="12"/>
      <c r="S236" s="12"/>
      <c r="T236" s="12"/>
      <c r="U236" s="12"/>
      <c r="V236" s="12"/>
      <c r="W236" s="12"/>
      <c r="X236" s="12"/>
      <c r="Y236" s="12"/>
      <c r="Z236" s="12"/>
      <c r="AA236" s="12"/>
      <c r="AB236" s="12"/>
      <c r="AC236" s="12"/>
      <c r="AD236" s="12"/>
    </row>
    <row r="237" spans="1:30" ht="13.5" customHeight="1">
      <c r="A237" s="4"/>
      <c r="B237" s="4"/>
      <c r="C237" s="4"/>
      <c r="D237" s="4"/>
      <c r="E237" s="4"/>
      <c r="F237" s="4"/>
      <c r="G237" s="4"/>
      <c r="H237" s="4"/>
      <c r="I237" s="4"/>
      <c r="J237" s="4"/>
      <c r="K237" s="4"/>
      <c r="L237" s="4"/>
      <c r="M237" s="4"/>
      <c r="N237" s="4"/>
      <c r="O237" s="4"/>
      <c r="P237" s="4"/>
      <c r="Q237" s="4"/>
      <c r="R237" s="12"/>
      <c r="S237" s="12"/>
      <c r="T237" s="12"/>
      <c r="U237" s="12"/>
      <c r="V237" s="12"/>
      <c r="W237" s="12"/>
      <c r="X237" s="12"/>
      <c r="Y237" s="12"/>
      <c r="Z237" s="12"/>
      <c r="AA237" s="12"/>
      <c r="AB237" s="12"/>
      <c r="AC237" s="12"/>
      <c r="AD237" s="12"/>
    </row>
    <row r="238" spans="1:30" ht="13.5" customHeight="1">
      <c r="A238" s="4"/>
      <c r="B238" s="4"/>
      <c r="C238" s="4"/>
      <c r="D238" s="4"/>
      <c r="E238" s="4"/>
      <c r="F238" s="4"/>
      <c r="G238" s="4"/>
      <c r="H238" s="4"/>
      <c r="I238" s="4"/>
      <c r="J238" s="4"/>
      <c r="K238" s="4"/>
      <c r="L238" s="4"/>
      <c r="M238" s="4"/>
      <c r="N238" s="4"/>
      <c r="O238" s="4"/>
      <c r="P238" s="4"/>
      <c r="Q238" s="4"/>
      <c r="R238" s="12"/>
      <c r="S238" s="12"/>
      <c r="T238" s="12"/>
      <c r="U238" s="12"/>
      <c r="V238" s="12"/>
      <c r="W238" s="12"/>
      <c r="X238" s="12"/>
      <c r="Y238" s="12"/>
      <c r="Z238" s="12"/>
      <c r="AA238" s="12"/>
      <c r="AB238" s="12"/>
      <c r="AC238" s="12"/>
      <c r="AD238" s="12"/>
    </row>
    <row r="239" spans="1:30" ht="13.5" customHeight="1">
      <c r="A239" s="4"/>
      <c r="B239" s="4"/>
      <c r="C239" s="4"/>
      <c r="D239" s="4"/>
      <c r="E239" s="4"/>
      <c r="F239" s="4"/>
      <c r="G239" s="4"/>
      <c r="H239" s="4"/>
      <c r="I239" s="4"/>
      <c r="J239" s="4"/>
      <c r="K239" s="4"/>
      <c r="L239" s="4"/>
      <c r="M239" s="4"/>
      <c r="N239" s="4"/>
      <c r="O239" s="4"/>
      <c r="P239" s="4"/>
      <c r="Q239" s="4"/>
      <c r="R239" s="12"/>
      <c r="S239" s="12"/>
      <c r="T239" s="12"/>
      <c r="U239" s="12"/>
      <c r="V239" s="12"/>
      <c r="W239" s="12"/>
      <c r="X239" s="12"/>
      <c r="Y239" s="12"/>
      <c r="Z239" s="12"/>
      <c r="AA239" s="12"/>
      <c r="AB239" s="12"/>
      <c r="AC239" s="12"/>
      <c r="AD239" s="12"/>
    </row>
    <row r="240" spans="1:30" ht="13.5" customHeight="1">
      <c r="A240" s="4"/>
      <c r="B240" s="4"/>
      <c r="C240" s="4"/>
      <c r="D240" s="4"/>
      <c r="E240" s="4"/>
      <c r="F240" s="4"/>
      <c r="G240" s="4"/>
      <c r="H240" s="4"/>
      <c r="I240" s="4"/>
      <c r="J240" s="4"/>
      <c r="K240" s="4"/>
      <c r="L240" s="4"/>
      <c r="M240" s="4"/>
      <c r="N240" s="4"/>
      <c r="O240" s="4"/>
      <c r="P240" s="4"/>
      <c r="Q240" s="4"/>
      <c r="R240" s="12"/>
      <c r="S240" s="12"/>
      <c r="T240" s="12"/>
      <c r="U240" s="12"/>
      <c r="V240" s="12"/>
      <c r="W240" s="12"/>
      <c r="X240" s="12"/>
      <c r="Y240" s="12"/>
      <c r="Z240" s="12"/>
      <c r="AA240" s="12"/>
      <c r="AB240" s="12"/>
      <c r="AC240" s="12"/>
      <c r="AD240" s="12"/>
    </row>
    <row r="241" spans="1:30" ht="13.5" customHeight="1">
      <c r="A241" s="4"/>
      <c r="B241" s="4"/>
      <c r="C241" s="4"/>
      <c r="D241" s="4"/>
      <c r="E241" s="4"/>
      <c r="F241" s="4"/>
      <c r="G241" s="4"/>
      <c r="H241" s="4"/>
      <c r="I241" s="4"/>
      <c r="J241" s="4"/>
      <c r="K241" s="4"/>
      <c r="L241" s="4"/>
      <c r="M241" s="4"/>
      <c r="N241" s="4"/>
      <c r="O241" s="4"/>
      <c r="P241" s="4"/>
      <c r="Q241" s="4"/>
      <c r="R241" s="12"/>
      <c r="S241" s="12"/>
      <c r="T241" s="12"/>
      <c r="U241" s="12"/>
      <c r="V241" s="12"/>
      <c r="W241" s="12"/>
      <c r="X241" s="12"/>
      <c r="Y241" s="12"/>
      <c r="Z241" s="12"/>
      <c r="AA241" s="12"/>
      <c r="AB241" s="12"/>
      <c r="AC241" s="12"/>
      <c r="AD241" s="12"/>
    </row>
    <row r="242" spans="1:30" ht="13.5" customHeight="1">
      <c r="A242" s="4"/>
      <c r="B242" s="4"/>
      <c r="C242" s="4"/>
      <c r="D242" s="4"/>
      <c r="E242" s="4"/>
      <c r="F242" s="4"/>
      <c r="G242" s="4"/>
      <c r="H242" s="4"/>
      <c r="I242" s="4"/>
      <c r="J242" s="4"/>
      <c r="K242" s="4"/>
      <c r="L242" s="4"/>
      <c r="M242" s="4"/>
      <c r="N242" s="4"/>
      <c r="O242" s="4"/>
      <c r="P242" s="4"/>
      <c r="Q242" s="4"/>
      <c r="R242" s="12"/>
      <c r="S242" s="12"/>
      <c r="T242" s="12"/>
      <c r="U242" s="12"/>
      <c r="V242" s="12"/>
      <c r="W242" s="12"/>
      <c r="X242" s="12"/>
      <c r="Y242" s="12"/>
      <c r="Z242" s="12"/>
      <c r="AA242" s="12"/>
      <c r="AB242" s="12"/>
      <c r="AC242" s="12"/>
      <c r="AD242" s="12"/>
    </row>
    <row r="243" spans="1:30" ht="13.5" customHeight="1">
      <c r="A243" s="4"/>
      <c r="B243" s="4"/>
      <c r="C243" s="4"/>
      <c r="D243" s="4"/>
      <c r="E243" s="4"/>
      <c r="F243" s="4"/>
      <c r="G243" s="4"/>
      <c r="H243" s="4"/>
      <c r="I243" s="4"/>
      <c r="J243" s="4"/>
      <c r="K243" s="4"/>
      <c r="L243" s="4"/>
      <c r="M243" s="4"/>
      <c r="N243" s="4"/>
      <c r="O243" s="4"/>
      <c r="P243" s="4"/>
      <c r="Q243" s="4"/>
      <c r="R243" s="12"/>
      <c r="S243" s="12"/>
      <c r="T243" s="12"/>
      <c r="U243" s="12"/>
      <c r="V243" s="12"/>
      <c r="W243" s="12"/>
      <c r="X243" s="12"/>
      <c r="Y243" s="12"/>
      <c r="Z243" s="12"/>
      <c r="AA243" s="12"/>
      <c r="AB243" s="12"/>
      <c r="AC243" s="12"/>
      <c r="AD243" s="12"/>
    </row>
    <row r="244" spans="1:30" ht="13.5" customHeight="1">
      <c r="A244" s="4"/>
      <c r="B244" s="4"/>
      <c r="C244" s="4"/>
      <c r="D244" s="4"/>
      <c r="E244" s="4"/>
      <c r="F244" s="4"/>
      <c r="G244" s="4"/>
      <c r="H244" s="4"/>
      <c r="I244" s="4"/>
      <c r="J244" s="4"/>
      <c r="K244" s="4"/>
      <c r="L244" s="4"/>
      <c r="M244" s="4"/>
      <c r="N244" s="4"/>
      <c r="O244" s="4"/>
      <c r="P244" s="4"/>
      <c r="Q244" s="4"/>
      <c r="R244" s="12"/>
      <c r="S244" s="12"/>
      <c r="T244" s="12"/>
      <c r="U244" s="12"/>
      <c r="V244" s="12"/>
      <c r="W244" s="12"/>
      <c r="X244" s="12"/>
      <c r="Y244" s="12"/>
      <c r="Z244" s="12"/>
      <c r="AA244" s="12"/>
      <c r="AB244" s="12"/>
      <c r="AC244" s="12"/>
      <c r="AD244" s="12"/>
    </row>
    <row r="245" spans="1:30" ht="13.5" customHeight="1">
      <c r="A245" s="4"/>
      <c r="B245" s="4"/>
      <c r="C245" s="4"/>
      <c r="D245" s="4"/>
      <c r="E245" s="4"/>
      <c r="F245" s="4"/>
      <c r="G245" s="4"/>
      <c r="H245" s="4"/>
      <c r="I245" s="4"/>
      <c r="J245" s="4"/>
      <c r="K245" s="4"/>
      <c r="L245" s="4"/>
      <c r="M245" s="4"/>
      <c r="N245" s="4"/>
      <c r="O245" s="4"/>
      <c r="P245" s="4"/>
      <c r="Q245" s="4"/>
      <c r="R245" s="12"/>
      <c r="S245" s="12"/>
      <c r="T245" s="12"/>
      <c r="U245" s="12"/>
      <c r="V245" s="12"/>
      <c r="W245" s="12"/>
      <c r="X245" s="12"/>
      <c r="Y245" s="12"/>
      <c r="Z245" s="12"/>
      <c r="AA245" s="12"/>
      <c r="AB245" s="12"/>
      <c r="AC245" s="12"/>
      <c r="AD245" s="12"/>
    </row>
    <row r="246" spans="1:30" ht="13.5" customHeight="1">
      <c r="A246" s="4"/>
      <c r="B246" s="4"/>
      <c r="C246" s="4"/>
      <c r="D246" s="4"/>
      <c r="E246" s="4"/>
      <c r="F246" s="4"/>
      <c r="G246" s="4"/>
      <c r="H246" s="4"/>
      <c r="I246" s="4"/>
      <c r="J246" s="4"/>
      <c r="K246" s="4"/>
      <c r="L246" s="4"/>
      <c r="M246" s="4"/>
      <c r="N246" s="4"/>
      <c r="O246" s="4"/>
      <c r="P246" s="4"/>
      <c r="Q246" s="4"/>
      <c r="R246" s="12"/>
      <c r="S246" s="12"/>
      <c r="T246" s="12"/>
      <c r="U246" s="12"/>
      <c r="V246" s="12"/>
      <c r="W246" s="12"/>
      <c r="X246" s="12"/>
      <c r="Y246" s="12"/>
      <c r="Z246" s="12"/>
      <c r="AA246" s="12"/>
      <c r="AB246" s="12"/>
      <c r="AC246" s="12"/>
      <c r="AD246" s="12"/>
    </row>
    <row r="247" spans="1:30" ht="13.5" customHeight="1">
      <c r="A247" s="4"/>
      <c r="B247" s="4"/>
      <c r="C247" s="4"/>
      <c r="D247" s="4"/>
      <c r="E247" s="4"/>
      <c r="F247" s="4"/>
      <c r="G247" s="4"/>
      <c r="H247" s="4"/>
      <c r="I247" s="4"/>
      <c r="J247" s="4"/>
      <c r="K247" s="4"/>
      <c r="L247" s="4"/>
      <c r="M247" s="4"/>
      <c r="N247" s="4"/>
      <c r="O247" s="4"/>
      <c r="P247" s="4"/>
      <c r="Q247" s="4"/>
      <c r="R247" s="12"/>
      <c r="S247" s="12"/>
      <c r="T247" s="12"/>
      <c r="U247" s="12"/>
      <c r="V247" s="12"/>
      <c r="W247" s="12"/>
      <c r="X247" s="12"/>
      <c r="Y247" s="12"/>
      <c r="Z247" s="12"/>
      <c r="AA247" s="12"/>
      <c r="AB247" s="12"/>
      <c r="AC247" s="12"/>
      <c r="AD247" s="12"/>
    </row>
    <row r="248" spans="1:30" ht="13.5" customHeight="1">
      <c r="A248" s="4"/>
      <c r="B248" s="4"/>
      <c r="C248" s="4"/>
      <c r="D248" s="4"/>
      <c r="E248" s="4"/>
      <c r="F248" s="4"/>
      <c r="G248" s="4"/>
      <c r="H248" s="4"/>
      <c r="I248" s="4"/>
      <c r="J248" s="4"/>
      <c r="K248" s="4"/>
      <c r="L248" s="4"/>
      <c r="M248" s="4"/>
      <c r="N248" s="4"/>
      <c r="O248" s="4"/>
      <c r="P248" s="4"/>
      <c r="Q248" s="4"/>
      <c r="R248" s="12"/>
      <c r="S248" s="12"/>
      <c r="T248" s="12"/>
      <c r="U248" s="12"/>
      <c r="V248" s="12"/>
      <c r="W248" s="12"/>
      <c r="X248" s="12"/>
      <c r="Y248" s="12"/>
      <c r="Z248" s="12"/>
      <c r="AA248" s="12"/>
      <c r="AB248" s="12"/>
      <c r="AC248" s="12"/>
      <c r="AD248" s="12"/>
    </row>
    <row r="249" spans="1:30" ht="13.5" customHeight="1">
      <c r="A249" s="4"/>
      <c r="B249" s="4"/>
      <c r="C249" s="4"/>
      <c r="D249" s="4"/>
      <c r="E249" s="4"/>
      <c r="F249" s="4"/>
      <c r="G249" s="4"/>
      <c r="H249" s="4"/>
      <c r="I249" s="4"/>
      <c r="J249" s="4"/>
      <c r="K249" s="4"/>
      <c r="L249" s="4"/>
      <c r="M249" s="4"/>
      <c r="N249" s="4"/>
      <c r="O249" s="4"/>
      <c r="P249" s="4"/>
      <c r="Q249" s="4"/>
      <c r="R249" s="12"/>
      <c r="S249" s="12"/>
      <c r="T249" s="12"/>
      <c r="U249" s="12"/>
      <c r="V249" s="12"/>
      <c r="W249" s="12"/>
      <c r="X249" s="12"/>
      <c r="Y249" s="12"/>
      <c r="Z249" s="12"/>
      <c r="AA249" s="12"/>
      <c r="AB249" s="12"/>
      <c r="AC249" s="12"/>
      <c r="AD249" s="12"/>
    </row>
    <row r="250" spans="1:30" ht="13.5" customHeight="1">
      <c r="A250" s="4"/>
      <c r="B250" s="4"/>
      <c r="C250" s="4"/>
      <c r="D250" s="4"/>
      <c r="E250" s="4"/>
      <c r="F250" s="4"/>
      <c r="G250" s="4"/>
      <c r="H250" s="4"/>
      <c r="I250" s="4"/>
      <c r="J250" s="4"/>
      <c r="K250" s="4"/>
      <c r="L250" s="4"/>
      <c r="M250" s="4"/>
      <c r="N250" s="4"/>
      <c r="O250" s="4"/>
      <c r="P250" s="4"/>
      <c r="Q250" s="4"/>
      <c r="R250" s="12"/>
      <c r="S250" s="12"/>
      <c r="T250" s="12"/>
      <c r="U250" s="12"/>
      <c r="V250" s="12"/>
      <c r="W250" s="12"/>
      <c r="X250" s="12"/>
      <c r="Y250" s="12"/>
      <c r="Z250" s="12"/>
      <c r="AA250" s="12"/>
      <c r="AB250" s="12"/>
      <c r="AC250" s="12"/>
      <c r="AD250" s="12"/>
    </row>
    <row r="251" spans="1:30" ht="13.5" customHeight="1">
      <c r="A251" s="4"/>
      <c r="B251" s="4"/>
      <c r="C251" s="4"/>
      <c r="D251" s="4"/>
      <c r="E251" s="4"/>
      <c r="F251" s="4"/>
      <c r="G251" s="4"/>
      <c r="H251" s="4"/>
      <c r="I251" s="4"/>
      <c r="J251" s="4"/>
      <c r="K251" s="4"/>
      <c r="L251" s="4"/>
      <c r="M251" s="4"/>
      <c r="N251" s="4"/>
      <c r="O251" s="4"/>
      <c r="P251" s="4"/>
      <c r="Q251" s="4"/>
      <c r="R251" s="12"/>
      <c r="S251" s="12"/>
      <c r="T251" s="12"/>
      <c r="U251" s="12"/>
      <c r="V251" s="12"/>
      <c r="W251" s="12"/>
      <c r="X251" s="12"/>
      <c r="Y251" s="12"/>
      <c r="Z251" s="12"/>
      <c r="AA251" s="12"/>
      <c r="AB251" s="12"/>
      <c r="AC251" s="12"/>
      <c r="AD251" s="12"/>
    </row>
    <row r="252" spans="1:30" ht="13.5" customHeight="1">
      <c r="A252" s="4"/>
      <c r="B252" s="4"/>
      <c r="C252" s="4"/>
      <c r="D252" s="4"/>
      <c r="E252" s="4"/>
      <c r="F252" s="4"/>
      <c r="G252" s="4"/>
      <c r="H252" s="4"/>
      <c r="I252" s="4"/>
      <c r="J252" s="4"/>
      <c r="K252" s="4"/>
      <c r="L252" s="4"/>
      <c r="M252" s="4"/>
      <c r="N252" s="4"/>
      <c r="O252" s="4"/>
      <c r="P252" s="4"/>
      <c r="Q252" s="4"/>
      <c r="R252" s="12"/>
      <c r="S252" s="12"/>
      <c r="T252" s="12"/>
      <c r="U252" s="12"/>
      <c r="V252" s="12"/>
      <c r="W252" s="12"/>
      <c r="X252" s="12"/>
      <c r="Y252" s="12"/>
      <c r="Z252" s="12"/>
      <c r="AA252" s="12"/>
      <c r="AB252" s="12"/>
      <c r="AC252" s="12"/>
      <c r="AD252" s="12"/>
    </row>
    <row r="253" spans="1:30" ht="13.5" customHeight="1">
      <c r="A253" s="4"/>
      <c r="B253" s="4"/>
      <c r="C253" s="4"/>
      <c r="D253" s="4"/>
      <c r="E253" s="4"/>
      <c r="F253" s="4"/>
      <c r="G253" s="4"/>
      <c r="H253" s="4"/>
      <c r="I253" s="4"/>
      <c r="J253" s="4"/>
      <c r="K253" s="4"/>
      <c r="L253" s="4"/>
      <c r="M253" s="4"/>
      <c r="N253" s="4"/>
      <c r="O253" s="4"/>
      <c r="P253" s="4"/>
      <c r="Q253" s="4"/>
      <c r="R253" s="12"/>
      <c r="S253" s="12"/>
      <c r="T253" s="12"/>
      <c r="U253" s="12"/>
      <c r="V253" s="12"/>
      <c r="W253" s="12"/>
      <c r="X253" s="12"/>
      <c r="Y253" s="12"/>
      <c r="Z253" s="12"/>
      <c r="AA253" s="12"/>
      <c r="AB253" s="12"/>
      <c r="AC253" s="12"/>
      <c r="AD253" s="12"/>
    </row>
    <row r="254" spans="1:30" ht="13.5" customHeight="1">
      <c r="A254" s="4"/>
      <c r="B254" s="4"/>
      <c r="C254" s="4"/>
      <c r="D254" s="4"/>
      <c r="E254" s="4"/>
      <c r="F254" s="4"/>
      <c r="G254" s="4"/>
      <c r="H254" s="4"/>
      <c r="I254" s="4"/>
      <c r="J254" s="4"/>
      <c r="K254" s="4"/>
      <c r="L254" s="4"/>
      <c r="M254" s="4"/>
      <c r="N254" s="4"/>
      <c r="O254" s="4"/>
      <c r="P254" s="4"/>
      <c r="Q254" s="4"/>
      <c r="R254" s="12"/>
      <c r="S254" s="12"/>
      <c r="T254" s="12"/>
      <c r="U254" s="12"/>
      <c r="V254" s="12"/>
      <c r="W254" s="12"/>
      <c r="X254" s="12"/>
      <c r="Y254" s="12"/>
      <c r="Z254" s="12"/>
      <c r="AA254" s="12"/>
      <c r="AB254" s="12"/>
      <c r="AC254" s="12"/>
      <c r="AD254" s="12"/>
    </row>
    <row r="255" spans="1:30" ht="13.5" customHeight="1">
      <c r="A255" s="4"/>
      <c r="B255" s="4"/>
      <c r="C255" s="4"/>
      <c r="D255" s="4"/>
      <c r="E255" s="4"/>
      <c r="F255" s="4"/>
      <c r="G255" s="4"/>
      <c r="H255" s="4"/>
      <c r="I255" s="4"/>
      <c r="J255" s="4"/>
      <c r="K255" s="4"/>
      <c r="L255" s="4"/>
      <c r="M255" s="4"/>
      <c r="N255" s="4"/>
      <c r="O255" s="4"/>
      <c r="P255" s="4"/>
      <c r="Q255" s="4"/>
      <c r="R255" s="12"/>
      <c r="S255" s="12"/>
      <c r="T255" s="12"/>
      <c r="U255" s="12"/>
      <c r="V255" s="12"/>
      <c r="W255" s="12"/>
      <c r="X255" s="12"/>
      <c r="Y255" s="12"/>
      <c r="Z255" s="12"/>
      <c r="AA255" s="12"/>
      <c r="AB255" s="12"/>
      <c r="AC255" s="12"/>
      <c r="AD255" s="12"/>
    </row>
    <row r="256" spans="1:30" ht="13.5" customHeight="1">
      <c r="A256" s="4"/>
      <c r="B256" s="4"/>
      <c r="C256" s="4"/>
      <c r="D256" s="4"/>
      <c r="E256" s="4"/>
      <c r="F256" s="4"/>
      <c r="G256" s="4"/>
      <c r="H256" s="4"/>
      <c r="I256" s="4"/>
      <c r="J256" s="4"/>
      <c r="K256" s="4"/>
      <c r="L256" s="4"/>
      <c r="M256" s="4"/>
      <c r="N256" s="4"/>
      <c r="O256" s="4"/>
      <c r="P256" s="4"/>
      <c r="Q256" s="4"/>
      <c r="R256" s="12"/>
      <c r="S256" s="12"/>
      <c r="T256" s="12"/>
      <c r="U256" s="12"/>
      <c r="V256" s="12"/>
      <c r="W256" s="12"/>
      <c r="X256" s="12"/>
      <c r="Y256" s="12"/>
      <c r="Z256" s="12"/>
      <c r="AA256" s="12"/>
      <c r="AB256" s="12"/>
      <c r="AC256" s="12"/>
      <c r="AD256" s="12"/>
    </row>
    <row r="257" spans="1:30" ht="13.5" customHeight="1">
      <c r="A257" s="4"/>
      <c r="B257" s="4"/>
      <c r="C257" s="4"/>
      <c r="D257" s="4"/>
      <c r="E257" s="4"/>
      <c r="F257" s="4"/>
      <c r="G257" s="4"/>
      <c r="H257" s="4"/>
      <c r="I257" s="4"/>
      <c r="J257" s="4"/>
      <c r="K257" s="4"/>
      <c r="L257" s="4"/>
      <c r="M257" s="4"/>
      <c r="N257" s="4"/>
      <c r="O257" s="4"/>
      <c r="P257" s="4"/>
      <c r="Q257" s="4"/>
      <c r="R257" s="12"/>
      <c r="S257" s="12"/>
      <c r="T257" s="12"/>
      <c r="U257" s="12"/>
      <c r="V257" s="12"/>
      <c r="W257" s="12"/>
      <c r="X257" s="12"/>
      <c r="Y257" s="12"/>
      <c r="Z257" s="12"/>
      <c r="AA257" s="12"/>
      <c r="AB257" s="12"/>
      <c r="AC257" s="12"/>
      <c r="AD257" s="12"/>
    </row>
    <row r="258" spans="1:30" ht="13.5" customHeight="1">
      <c r="A258" s="4"/>
      <c r="B258" s="4"/>
      <c r="C258" s="4"/>
      <c r="D258" s="4"/>
      <c r="E258" s="4"/>
      <c r="F258" s="4"/>
      <c r="G258" s="4"/>
      <c r="H258" s="4"/>
      <c r="I258" s="4"/>
      <c r="J258" s="4"/>
      <c r="K258" s="4"/>
      <c r="L258" s="4"/>
      <c r="M258" s="4"/>
      <c r="N258" s="4"/>
      <c r="O258" s="4"/>
      <c r="P258" s="4"/>
      <c r="Q258" s="4"/>
      <c r="R258" s="12"/>
      <c r="S258" s="12"/>
      <c r="T258" s="12"/>
      <c r="U258" s="12"/>
      <c r="V258" s="12"/>
      <c r="W258" s="12"/>
      <c r="X258" s="12"/>
      <c r="Y258" s="12"/>
      <c r="Z258" s="12"/>
      <c r="AA258" s="12"/>
      <c r="AB258" s="12"/>
      <c r="AC258" s="12"/>
      <c r="AD258" s="12"/>
    </row>
    <row r="259" spans="1:30" ht="13.5" customHeight="1">
      <c r="A259" s="4"/>
      <c r="B259" s="4"/>
      <c r="C259" s="4"/>
      <c r="D259" s="4"/>
      <c r="E259" s="4"/>
      <c r="F259" s="4"/>
      <c r="G259" s="4"/>
      <c r="H259" s="4"/>
      <c r="I259" s="4"/>
      <c r="J259" s="4"/>
      <c r="K259" s="4"/>
      <c r="L259" s="4"/>
      <c r="M259" s="4"/>
      <c r="N259" s="4"/>
      <c r="O259" s="4"/>
      <c r="P259" s="4"/>
      <c r="Q259" s="4"/>
      <c r="R259" s="12"/>
      <c r="S259" s="12"/>
      <c r="T259" s="12"/>
      <c r="U259" s="12"/>
      <c r="V259" s="12"/>
      <c r="W259" s="12"/>
      <c r="X259" s="12"/>
      <c r="Y259" s="12"/>
      <c r="Z259" s="12"/>
      <c r="AA259" s="12"/>
      <c r="AB259" s="12"/>
      <c r="AC259" s="12"/>
      <c r="AD259" s="12"/>
    </row>
    <row r="260" spans="1:30" ht="13.5" customHeight="1">
      <c r="A260" s="4"/>
      <c r="B260" s="4"/>
      <c r="C260" s="4"/>
      <c r="D260" s="4"/>
      <c r="E260" s="4"/>
      <c r="F260" s="4"/>
      <c r="G260" s="4"/>
      <c r="H260" s="4"/>
      <c r="I260" s="4"/>
      <c r="J260" s="4"/>
      <c r="K260" s="4"/>
      <c r="L260" s="4"/>
      <c r="M260" s="4"/>
      <c r="N260" s="4"/>
      <c r="O260" s="4"/>
      <c r="P260" s="4"/>
      <c r="Q260" s="4"/>
      <c r="R260" s="12"/>
      <c r="S260" s="12"/>
      <c r="T260" s="12"/>
      <c r="U260" s="12"/>
      <c r="V260" s="12"/>
      <c r="W260" s="12"/>
      <c r="X260" s="12"/>
      <c r="Y260" s="12"/>
      <c r="Z260" s="12"/>
      <c r="AA260" s="12"/>
      <c r="AB260" s="12"/>
      <c r="AC260" s="12"/>
      <c r="AD260" s="12"/>
    </row>
    <row r="261" spans="1:30" ht="13.5" customHeight="1">
      <c r="A261" s="4"/>
      <c r="B261" s="4"/>
      <c r="C261" s="4"/>
      <c r="D261" s="4"/>
      <c r="E261" s="4"/>
      <c r="F261" s="4"/>
      <c r="G261" s="4"/>
      <c r="H261" s="4"/>
      <c r="I261" s="4"/>
      <c r="J261" s="4"/>
      <c r="K261" s="4"/>
      <c r="L261" s="4"/>
      <c r="M261" s="4"/>
      <c r="N261" s="4"/>
      <c r="O261" s="4"/>
      <c r="P261" s="4"/>
      <c r="Q261" s="4"/>
      <c r="R261" s="12"/>
      <c r="S261" s="12"/>
      <c r="T261" s="12"/>
      <c r="U261" s="12"/>
      <c r="V261" s="12"/>
      <c r="W261" s="12"/>
      <c r="X261" s="12"/>
      <c r="Y261" s="12"/>
      <c r="Z261" s="12"/>
      <c r="AA261" s="12"/>
      <c r="AB261" s="12"/>
      <c r="AC261" s="12"/>
      <c r="AD261" s="12"/>
    </row>
    <row r="262" spans="1:30" ht="13.5" customHeight="1">
      <c r="A262" s="4"/>
      <c r="B262" s="4"/>
      <c r="C262" s="4"/>
      <c r="D262" s="4"/>
      <c r="E262" s="4"/>
      <c r="F262" s="4"/>
      <c r="G262" s="4"/>
      <c r="H262" s="4"/>
      <c r="I262" s="4"/>
      <c r="J262" s="4"/>
      <c r="K262" s="4"/>
      <c r="L262" s="4"/>
      <c r="M262" s="4"/>
      <c r="N262" s="4"/>
      <c r="O262" s="4"/>
      <c r="P262" s="4"/>
      <c r="Q262" s="4"/>
      <c r="R262" s="12"/>
      <c r="S262" s="12"/>
      <c r="T262" s="12"/>
      <c r="U262" s="12"/>
      <c r="V262" s="12"/>
      <c r="W262" s="12"/>
      <c r="X262" s="12"/>
      <c r="Y262" s="12"/>
      <c r="Z262" s="12"/>
      <c r="AA262" s="12"/>
      <c r="AB262" s="12"/>
      <c r="AC262" s="12"/>
      <c r="AD262" s="12"/>
    </row>
    <row r="263" spans="1:30" ht="13.5" customHeight="1">
      <c r="A263" s="4"/>
      <c r="B263" s="4"/>
      <c r="C263" s="4"/>
      <c r="D263" s="4"/>
      <c r="E263" s="4"/>
      <c r="F263" s="4"/>
      <c r="G263" s="4"/>
      <c r="H263" s="4"/>
      <c r="I263" s="4"/>
      <c r="J263" s="4"/>
      <c r="K263" s="4"/>
      <c r="L263" s="4"/>
      <c r="M263" s="4"/>
      <c r="N263" s="4"/>
      <c r="O263" s="4"/>
      <c r="P263" s="4"/>
      <c r="Q263" s="4"/>
      <c r="R263" s="12"/>
      <c r="S263" s="12"/>
      <c r="T263" s="12"/>
      <c r="U263" s="12"/>
      <c r="V263" s="12"/>
      <c r="W263" s="12"/>
      <c r="X263" s="12"/>
      <c r="Y263" s="12"/>
      <c r="Z263" s="12"/>
      <c r="AA263" s="12"/>
      <c r="AB263" s="12"/>
      <c r="AC263" s="12"/>
      <c r="AD263" s="12"/>
    </row>
    <row r="264" spans="1:30" ht="13.5" customHeight="1">
      <c r="A264" s="4"/>
      <c r="B264" s="4"/>
      <c r="C264" s="4"/>
      <c r="D264" s="4"/>
      <c r="E264" s="4"/>
      <c r="F264" s="4"/>
      <c r="G264" s="4"/>
      <c r="H264" s="4"/>
      <c r="I264" s="4"/>
      <c r="J264" s="4"/>
      <c r="K264" s="4"/>
      <c r="L264" s="4"/>
      <c r="M264" s="4"/>
      <c r="N264" s="4"/>
      <c r="O264" s="4"/>
      <c r="P264" s="4"/>
      <c r="Q264" s="4"/>
      <c r="R264" s="12"/>
      <c r="S264" s="12"/>
      <c r="T264" s="12"/>
      <c r="U264" s="12"/>
      <c r="V264" s="12"/>
      <c r="W264" s="12"/>
      <c r="X264" s="12"/>
      <c r="Y264" s="12"/>
      <c r="Z264" s="12"/>
      <c r="AA264" s="12"/>
      <c r="AB264" s="12"/>
      <c r="AC264" s="12"/>
      <c r="AD264" s="12"/>
    </row>
    <row r="265" spans="1:30" ht="13.5" customHeight="1">
      <c r="A265" s="4"/>
      <c r="B265" s="4"/>
      <c r="C265" s="4"/>
      <c r="D265" s="4"/>
      <c r="E265" s="4"/>
      <c r="F265" s="4"/>
      <c r="G265" s="4"/>
      <c r="H265" s="4"/>
      <c r="I265" s="4"/>
      <c r="J265" s="4"/>
      <c r="K265" s="4"/>
      <c r="L265" s="4"/>
      <c r="M265" s="4"/>
      <c r="N265" s="4"/>
      <c r="O265" s="4"/>
      <c r="P265" s="4"/>
      <c r="Q265" s="4"/>
      <c r="R265" s="12"/>
      <c r="S265" s="12"/>
      <c r="T265" s="12"/>
      <c r="U265" s="12"/>
      <c r="V265" s="12"/>
      <c r="W265" s="12"/>
      <c r="X265" s="12"/>
      <c r="Y265" s="12"/>
      <c r="Z265" s="12"/>
      <c r="AA265" s="12"/>
      <c r="AB265" s="12"/>
      <c r="AC265" s="12"/>
      <c r="AD265" s="12"/>
    </row>
    <row r="266" spans="1:30" ht="13.5" customHeight="1">
      <c r="A266" s="4"/>
      <c r="B266" s="4"/>
      <c r="C266" s="4"/>
      <c r="D266" s="4"/>
      <c r="E266" s="4"/>
      <c r="F266" s="4"/>
      <c r="G266" s="4"/>
      <c r="H266" s="4"/>
      <c r="I266" s="4"/>
      <c r="J266" s="4"/>
      <c r="K266" s="4"/>
      <c r="L266" s="4"/>
      <c r="M266" s="4"/>
      <c r="N266" s="4"/>
      <c r="O266" s="4"/>
      <c r="P266" s="4"/>
      <c r="Q266" s="4"/>
      <c r="R266" s="12"/>
      <c r="S266" s="12"/>
      <c r="T266" s="12"/>
      <c r="U266" s="12"/>
      <c r="V266" s="12"/>
      <c r="W266" s="12"/>
      <c r="X266" s="12"/>
      <c r="Y266" s="12"/>
      <c r="Z266" s="12"/>
      <c r="AA266" s="12"/>
      <c r="AB266" s="12"/>
      <c r="AC266" s="12"/>
      <c r="AD266" s="12"/>
    </row>
    <row r="267" spans="1:30" ht="13.5" customHeight="1">
      <c r="A267" s="4"/>
      <c r="B267" s="4"/>
      <c r="C267" s="4"/>
      <c r="D267" s="4"/>
      <c r="E267" s="4"/>
      <c r="F267" s="4"/>
      <c r="G267" s="4"/>
      <c r="H267" s="4"/>
      <c r="I267" s="4"/>
      <c r="J267" s="4"/>
      <c r="K267" s="4"/>
      <c r="L267" s="4"/>
      <c r="M267" s="4"/>
      <c r="N267" s="4"/>
      <c r="O267" s="4"/>
      <c r="P267" s="4"/>
      <c r="Q267" s="4"/>
      <c r="R267" s="12"/>
      <c r="S267" s="12"/>
      <c r="T267" s="12"/>
      <c r="U267" s="12"/>
      <c r="V267" s="12"/>
      <c r="W267" s="12"/>
      <c r="X267" s="12"/>
      <c r="Y267" s="12"/>
      <c r="Z267" s="12"/>
      <c r="AA267" s="12"/>
      <c r="AB267" s="12"/>
      <c r="AC267" s="12"/>
      <c r="AD267" s="12"/>
    </row>
    <row r="268" spans="1:30" ht="13.5" customHeight="1">
      <c r="A268" s="4"/>
      <c r="B268" s="4"/>
      <c r="C268" s="4"/>
      <c r="D268" s="4"/>
      <c r="E268" s="4"/>
      <c r="F268" s="4"/>
      <c r="G268" s="4"/>
      <c r="H268" s="4"/>
      <c r="I268" s="4"/>
      <c r="J268" s="4"/>
      <c r="K268" s="4"/>
      <c r="L268" s="4"/>
      <c r="M268" s="4"/>
      <c r="N268" s="4"/>
      <c r="O268" s="4"/>
      <c r="P268" s="4"/>
      <c r="Q268" s="4"/>
      <c r="R268" s="12"/>
      <c r="S268" s="12"/>
      <c r="T268" s="12"/>
      <c r="U268" s="12"/>
      <c r="V268" s="12"/>
      <c r="W268" s="12"/>
      <c r="X268" s="12"/>
      <c r="Y268" s="12"/>
      <c r="Z268" s="12"/>
      <c r="AA268" s="12"/>
      <c r="AB268" s="12"/>
      <c r="AC268" s="12"/>
      <c r="AD268" s="12"/>
    </row>
    <row r="269" spans="1:30" ht="13.5" customHeight="1">
      <c r="A269" s="4"/>
      <c r="B269" s="4"/>
      <c r="C269" s="4"/>
      <c r="D269" s="4"/>
      <c r="E269" s="4"/>
      <c r="F269" s="4"/>
      <c r="G269" s="4"/>
      <c r="H269" s="4"/>
      <c r="I269" s="4"/>
      <c r="J269" s="4"/>
      <c r="K269" s="4"/>
      <c r="L269" s="4"/>
      <c r="M269" s="4"/>
      <c r="N269" s="4"/>
      <c r="O269" s="4"/>
      <c r="P269" s="4"/>
      <c r="Q269" s="4"/>
      <c r="R269" s="12"/>
      <c r="S269" s="12"/>
      <c r="T269" s="12"/>
      <c r="U269" s="12"/>
      <c r="V269" s="12"/>
      <c r="W269" s="12"/>
      <c r="X269" s="12"/>
      <c r="Y269" s="12"/>
      <c r="Z269" s="12"/>
      <c r="AA269" s="12"/>
      <c r="AB269" s="12"/>
      <c r="AC269" s="12"/>
      <c r="AD269" s="12"/>
    </row>
    <row r="270" spans="1:30" ht="13.5" customHeight="1">
      <c r="A270" s="4"/>
      <c r="B270" s="4"/>
      <c r="C270" s="4"/>
      <c r="D270" s="4"/>
      <c r="E270" s="4"/>
      <c r="F270" s="4"/>
      <c r="G270" s="4"/>
      <c r="H270" s="4"/>
      <c r="I270" s="4"/>
      <c r="J270" s="4"/>
      <c r="K270" s="4"/>
      <c r="L270" s="4"/>
      <c r="M270" s="4"/>
      <c r="N270" s="4"/>
      <c r="O270" s="4"/>
      <c r="P270" s="4"/>
      <c r="Q270" s="4"/>
      <c r="R270" s="12"/>
      <c r="S270" s="12"/>
      <c r="T270" s="12"/>
      <c r="U270" s="12"/>
      <c r="V270" s="12"/>
      <c r="W270" s="12"/>
      <c r="X270" s="12"/>
      <c r="Y270" s="12"/>
      <c r="Z270" s="12"/>
      <c r="AA270" s="12"/>
      <c r="AB270" s="12"/>
      <c r="AC270" s="12"/>
      <c r="AD270" s="12"/>
    </row>
    <row r="271" spans="1:30" ht="13.5" customHeight="1">
      <c r="A271" s="4"/>
      <c r="B271" s="4"/>
      <c r="C271" s="4"/>
      <c r="D271" s="4"/>
      <c r="E271" s="4"/>
      <c r="F271" s="4"/>
      <c r="G271" s="4"/>
      <c r="H271" s="4"/>
      <c r="I271" s="4"/>
      <c r="J271" s="4"/>
      <c r="K271" s="4"/>
      <c r="L271" s="4"/>
      <c r="M271" s="4"/>
      <c r="N271" s="4"/>
      <c r="O271" s="4"/>
      <c r="P271" s="4"/>
      <c r="Q271" s="4"/>
      <c r="R271" s="12"/>
      <c r="S271" s="12"/>
      <c r="T271" s="12"/>
      <c r="U271" s="12"/>
      <c r="V271" s="12"/>
      <c r="W271" s="12"/>
      <c r="X271" s="12"/>
      <c r="Y271" s="12"/>
      <c r="Z271" s="12"/>
      <c r="AA271" s="12"/>
      <c r="AB271" s="12"/>
      <c r="AC271" s="12"/>
      <c r="AD271" s="12"/>
    </row>
    <row r="272" spans="1:30" ht="13.5" customHeight="1">
      <c r="A272" s="4"/>
      <c r="B272" s="4"/>
      <c r="C272" s="4"/>
      <c r="D272" s="4"/>
      <c r="E272" s="4"/>
      <c r="F272" s="4"/>
      <c r="G272" s="4"/>
      <c r="H272" s="4"/>
      <c r="I272" s="4"/>
      <c r="J272" s="4"/>
      <c r="K272" s="4"/>
      <c r="L272" s="4"/>
      <c r="M272" s="4"/>
      <c r="N272" s="4"/>
      <c r="O272" s="4"/>
      <c r="P272" s="4"/>
      <c r="Q272" s="4"/>
      <c r="R272" s="12"/>
      <c r="S272" s="12"/>
      <c r="T272" s="12"/>
      <c r="U272" s="12"/>
      <c r="V272" s="12"/>
      <c r="W272" s="12"/>
      <c r="X272" s="12"/>
      <c r="Y272" s="12"/>
      <c r="Z272" s="12"/>
      <c r="AA272" s="12"/>
      <c r="AB272" s="12"/>
      <c r="AC272" s="12"/>
      <c r="AD272" s="12"/>
    </row>
    <row r="273" spans="1:30" ht="13.5" customHeight="1">
      <c r="A273" s="4"/>
      <c r="B273" s="4"/>
      <c r="C273" s="4"/>
      <c r="D273" s="4"/>
      <c r="E273" s="4"/>
      <c r="F273" s="4"/>
      <c r="G273" s="4"/>
      <c r="H273" s="4"/>
      <c r="I273" s="4"/>
      <c r="J273" s="4"/>
      <c r="K273" s="4"/>
      <c r="L273" s="4"/>
      <c r="M273" s="4"/>
      <c r="N273" s="4"/>
      <c r="O273" s="4"/>
      <c r="P273" s="4"/>
      <c r="Q273" s="4"/>
      <c r="R273" s="12"/>
      <c r="S273" s="12"/>
      <c r="T273" s="12"/>
      <c r="U273" s="12"/>
      <c r="V273" s="12"/>
      <c r="W273" s="12"/>
      <c r="X273" s="12"/>
      <c r="Y273" s="12"/>
      <c r="Z273" s="12"/>
      <c r="AA273" s="12"/>
      <c r="AB273" s="12"/>
      <c r="AC273" s="12"/>
      <c r="AD273" s="12"/>
    </row>
    <row r="274" spans="1:30" ht="13.5" customHeight="1">
      <c r="A274" s="4"/>
      <c r="B274" s="4"/>
      <c r="C274" s="4"/>
      <c r="D274" s="4"/>
      <c r="E274" s="4"/>
      <c r="F274" s="4"/>
      <c r="G274" s="4"/>
      <c r="H274" s="4"/>
      <c r="I274" s="4"/>
      <c r="J274" s="4"/>
      <c r="K274" s="4"/>
      <c r="L274" s="4"/>
      <c r="M274" s="4"/>
      <c r="N274" s="4"/>
      <c r="O274" s="4"/>
      <c r="P274" s="4"/>
      <c r="Q274" s="4"/>
      <c r="R274" s="12"/>
      <c r="S274" s="12"/>
      <c r="T274" s="12"/>
      <c r="U274" s="12"/>
      <c r="V274" s="12"/>
      <c r="W274" s="12"/>
      <c r="X274" s="12"/>
      <c r="Y274" s="12"/>
      <c r="Z274" s="12"/>
      <c r="AA274" s="12"/>
      <c r="AB274" s="12"/>
      <c r="AC274" s="12"/>
      <c r="AD274" s="12"/>
    </row>
    <row r="275" spans="1:30" ht="13.5" customHeight="1">
      <c r="A275" s="4"/>
      <c r="B275" s="4"/>
      <c r="C275" s="4"/>
      <c r="D275" s="4"/>
      <c r="E275" s="4"/>
      <c r="F275" s="4"/>
      <c r="G275" s="4"/>
      <c r="H275" s="4"/>
      <c r="I275" s="4"/>
      <c r="J275" s="4"/>
      <c r="K275" s="4"/>
      <c r="L275" s="4"/>
      <c r="M275" s="4"/>
      <c r="N275" s="4"/>
      <c r="O275" s="4"/>
      <c r="P275" s="4"/>
      <c r="Q275" s="4"/>
      <c r="R275" s="12"/>
      <c r="S275" s="12"/>
      <c r="T275" s="12"/>
      <c r="U275" s="12"/>
      <c r="V275" s="12"/>
      <c r="W275" s="12"/>
      <c r="X275" s="12"/>
      <c r="Y275" s="12"/>
      <c r="Z275" s="12"/>
      <c r="AA275" s="12"/>
      <c r="AB275" s="12"/>
      <c r="AC275" s="12"/>
      <c r="AD275" s="12"/>
    </row>
    <row r="276" spans="1:30" ht="13.5" customHeight="1">
      <c r="A276" s="4"/>
      <c r="B276" s="4"/>
      <c r="C276" s="4"/>
      <c r="D276" s="4"/>
      <c r="E276" s="4"/>
      <c r="F276" s="4"/>
      <c r="G276" s="4"/>
      <c r="H276" s="4"/>
      <c r="I276" s="4"/>
      <c r="J276" s="4"/>
      <c r="K276" s="4"/>
      <c r="L276" s="4"/>
      <c r="M276" s="4"/>
      <c r="N276" s="4"/>
      <c r="O276" s="4"/>
      <c r="P276" s="4"/>
      <c r="Q276" s="4"/>
      <c r="R276" s="12"/>
      <c r="S276" s="12"/>
      <c r="T276" s="12"/>
      <c r="U276" s="12"/>
      <c r="V276" s="12"/>
      <c r="W276" s="12"/>
      <c r="X276" s="12"/>
      <c r="Y276" s="12"/>
      <c r="Z276" s="12"/>
      <c r="AA276" s="12"/>
      <c r="AB276" s="12"/>
      <c r="AC276" s="12"/>
      <c r="AD276" s="12"/>
    </row>
    <row r="277" spans="1:30" ht="13.5" customHeight="1">
      <c r="A277" s="4"/>
      <c r="B277" s="4"/>
      <c r="C277" s="4"/>
      <c r="D277" s="4"/>
      <c r="E277" s="4"/>
      <c r="F277" s="4"/>
      <c r="G277" s="4"/>
      <c r="H277" s="4"/>
      <c r="I277" s="4"/>
      <c r="J277" s="4"/>
      <c r="K277" s="4"/>
      <c r="L277" s="4"/>
      <c r="M277" s="4"/>
      <c r="N277" s="4"/>
      <c r="O277" s="4"/>
      <c r="P277" s="4"/>
      <c r="Q277" s="4"/>
      <c r="R277" s="12"/>
      <c r="S277" s="12"/>
      <c r="T277" s="12"/>
      <c r="U277" s="12"/>
      <c r="V277" s="12"/>
      <c r="W277" s="12"/>
      <c r="X277" s="12"/>
      <c r="Y277" s="12"/>
      <c r="Z277" s="12"/>
      <c r="AA277" s="12"/>
      <c r="AB277" s="12"/>
      <c r="AC277" s="12"/>
      <c r="AD277" s="12"/>
    </row>
    <row r="278" spans="1:30" ht="13.5" customHeight="1">
      <c r="A278" s="4"/>
      <c r="B278" s="4"/>
      <c r="C278" s="4"/>
      <c r="D278" s="4"/>
      <c r="E278" s="4"/>
      <c r="F278" s="4"/>
      <c r="G278" s="4"/>
      <c r="H278" s="4"/>
      <c r="I278" s="4"/>
      <c r="J278" s="4"/>
      <c r="K278" s="4"/>
      <c r="L278" s="4"/>
      <c r="M278" s="4"/>
      <c r="N278" s="4"/>
      <c r="O278" s="4"/>
      <c r="P278" s="4"/>
      <c r="Q278" s="4"/>
      <c r="R278" s="12"/>
      <c r="S278" s="12"/>
      <c r="T278" s="12"/>
      <c r="U278" s="12"/>
      <c r="V278" s="12"/>
      <c r="W278" s="12"/>
      <c r="X278" s="12"/>
      <c r="Y278" s="12"/>
      <c r="Z278" s="12"/>
      <c r="AA278" s="12"/>
      <c r="AB278" s="12"/>
      <c r="AC278" s="12"/>
      <c r="AD278" s="12"/>
    </row>
    <row r="279" spans="1:30" ht="13.5" customHeight="1">
      <c r="A279" s="4"/>
      <c r="B279" s="4"/>
      <c r="C279" s="4"/>
      <c r="D279" s="4"/>
      <c r="E279" s="4"/>
      <c r="F279" s="4"/>
      <c r="G279" s="4"/>
      <c r="H279" s="4"/>
      <c r="I279" s="4"/>
      <c r="J279" s="4"/>
      <c r="K279" s="4"/>
      <c r="L279" s="4"/>
      <c r="M279" s="4"/>
      <c r="N279" s="4"/>
      <c r="O279" s="4"/>
      <c r="P279" s="4"/>
      <c r="Q279" s="4"/>
      <c r="R279" s="12"/>
      <c r="S279" s="12"/>
      <c r="T279" s="12"/>
      <c r="U279" s="12"/>
      <c r="V279" s="12"/>
      <c r="W279" s="12"/>
      <c r="X279" s="12"/>
      <c r="Y279" s="12"/>
      <c r="Z279" s="12"/>
      <c r="AA279" s="12"/>
      <c r="AB279" s="12"/>
      <c r="AC279" s="12"/>
      <c r="AD279" s="12"/>
    </row>
    <row r="280" spans="1:30" ht="13.5" customHeight="1">
      <c r="A280" s="4"/>
      <c r="B280" s="4"/>
      <c r="C280" s="4"/>
      <c r="D280" s="4"/>
      <c r="E280" s="4"/>
      <c r="F280" s="4"/>
      <c r="G280" s="4"/>
      <c r="H280" s="4"/>
      <c r="I280" s="4"/>
      <c r="J280" s="4"/>
      <c r="K280" s="4"/>
      <c r="L280" s="4"/>
      <c r="M280" s="4"/>
      <c r="N280" s="4"/>
      <c r="O280" s="4"/>
      <c r="P280" s="4"/>
      <c r="Q280" s="4"/>
      <c r="R280" s="12"/>
      <c r="S280" s="12"/>
      <c r="T280" s="12"/>
      <c r="U280" s="12"/>
      <c r="V280" s="12"/>
      <c r="W280" s="12"/>
      <c r="X280" s="12"/>
      <c r="Y280" s="12"/>
      <c r="Z280" s="12"/>
      <c r="AA280" s="12"/>
      <c r="AB280" s="12"/>
      <c r="AC280" s="12"/>
      <c r="AD280" s="12"/>
    </row>
    <row r="281" spans="1:30" ht="13.5" customHeight="1">
      <c r="A281" s="4"/>
      <c r="B281" s="4"/>
      <c r="C281" s="4"/>
      <c r="D281" s="4"/>
      <c r="E281" s="4"/>
      <c r="F281" s="4"/>
      <c r="G281" s="4"/>
      <c r="H281" s="4"/>
      <c r="I281" s="4"/>
      <c r="J281" s="4"/>
      <c r="K281" s="4"/>
      <c r="L281" s="4"/>
      <c r="M281" s="4"/>
      <c r="N281" s="4"/>
      <c r="O281" s="4"/>
      <c r="P281" s="4"/>
      <c r="Q281" s="4"/>
      <c r="R281" s="12"/>
      <c r="S281" s="12"/>
      <c r="T281" s="12"/>
      <c r="U281" s="12"/>
      <c r="V281" s="12"/>
      <c r="W281" s="12"/>
      <c r="X281" s="12"/>
      <c r="Y281" s="12"/>
      <c r="Z281" s="12"/>
      <c r="AA281" s="12"/>
      <c r="AB281" s="12"/>
      <c r="AC281" s="12"/>
      <c r="AD281" s="12"/>
    </row>
    <row r="282" spans="1:30" ht="13.5" customHeight="1">
      <c r="A282" s="4"/>
      <c r="B282" s="4"/>
      <c r="C282" s="4"/>
      <c r="D282" s="4"/>
      <c r="E282" s="4"/>
      <c r="F282" s="4"/>
      <c r="G282" s="4"/>
      <c r="H282" s="4"/>
      <c r="I282" s="4"/>
      <c r="J282" s="4"/>
      <c r="K282" s="4"/>
      <c r="L282" s="4"/>
      <c r="M282" s="4"/>
      <c r="N282" s="4"/>
      <c r="O282" s="4"/>
      <c r="P282" s="4"/>
      <c r="Q282" s="4"/>
      <c r="R282" s="12"/>
      <c r="S282" s="12"/>
      <c r="T282" s="12"/>
      <c r="U282" s="12"/>
      <c r="V282" s="12"/>
      <c r="W282" s="12"/>
      <c r="X282" s="12"/>
      <c r="Y282" s="12"/>
      <c r="Z282" s="12"/>
      <c r="AA282" s="12"/>
      <c r="AB282" s="12"/>
      <c r="AC282" s="12"/>
      <c r="AD282" s="12"/>
    </row>
    <row r="283" spans="1:30" ht="13.5" customHeight="1">
      <c r="A283" s="4"/>
      <c r="B283" s="4"/>
      <c r="C283" s="4"/>
      <c r="D283" s="4"/>
      <c r="E283" s="4"/>
      <c r="F283" s="4"/>
      <c r="G283" s="4"/>
      <c r="H283" s="4"/>
      <c r="I283" s="4"/>
      <c r="J283" s="4"/>
      <c r="K283" s="4"/>
      <c r="L283" s="4"/>
      <c r="M283" s="4"/>
      <c r="N283" s="4"/>
      <c r="O283" s="4"/>
      <c r="P283" s="4"/>
      <c r="Q283" s="4"/>
      <c r="R283" s="12"/>
      <c r="S283" s="12"/>
      <c r="T283" s="12"/>
      <c r="U283" s="12"/>
      <c r="V283" s="12"/>
      <c r="W283" s="12"/>
      <c r="X283" s="12"/>
      <c r="Y283" s="12"/>
      <c r="Z283" s="12"/>
      <c r="AA283" s="12"/>
      <c r="AB283" s="12"/>
      <c r="AC283" s="12"/>
      <c r="AD283" s="12"/>
    </row>
    <row r="284" spans="1:30" ht="13.5" customHeight="1">
      <c r="A284" s="4"/>
      <c r="B284" s="4"/>
      <c r="C284" s="4"/>
      <c r="D284" s="4"/>
      <c r="E284" s="4"/>
      <c r="F284" s="4"/>
      <c r="G284" s="4"/>
      <c r="H284" s="4"/>
      <c r="I284" s="4"/>
      <c r="J284" s="4"/>
      <c r="K284" s="4"/>
      <c r="L284" s="4"/>
      <c r="M284" s="4"/>
      <c r="N284" s="4"/>
      <c r="O284" s="4"/>
      <c r="P284" s="4"/>
      <c r="Q284" s="4"/>
      <c r="R284" s="12"/>
      <c r="S284" s="12"/>
      <c r="T284" s="12"/>
      <c r="U284" s="12"/>
      <c r="V284" s="12"/>
      <c r="W284" s="12"/>
      <c r="X284" s="12"/>
      <c r="Y284" s="12"/>
      <c r="Z284" s="12"/>
      <c r="AA284" s="12"/>
      <c r="AB284" s="12"/>
      <c r="AC284" s="12"/>
      <c r="AD284" s="12"/>
    </row>
    <row r="285" spans="1:30" ht="13.5" customHeight="1">
      <c r="A285" s="4"/>
      <c r="B285" s="4"/>
      <c r="C285" s="4"/>
      <c r="D285" s="4"/>
      <c r="E285" s="4"/>
      <c r="F285" s="4"/>
      <c r="G285" s="4"/>
      <c r="H285" s="4"/>
      <c r="I285" s="4"/>
      <c r="J285" s="4"/>
      <c r="K285" s="4"/>
      <c r="L285" s="4"/>
      <c r="M285" s="4"/>
      <c r="N285" s="4"/>
      <c r="O285" s="4"/>
      <c r="P285" s="4"/>
      <c r="Q285" s="4"/>
      <c r="R285" s="12"/>
      <c r="S285" s="12"/>
      <c r="T285" s="12"/>
      <c r="U285" s="12"/>
      <c r="V285" s="12"/>
      <c r="W285" s="12"/>
      <c r="X285" s="12"/>
      <c r="Y285" s="12"/>
      <c r="Z285" s="12"/>
      <c r="AA285" s="12"/>
      <c r="AB285" s="12"/>
      <c r="AC285" s="12"/>
      <c r="AD285" s="12"/>
    </row>
    <row r="286" spans="1:30" ht="13.5" customHeight="1">
      <c r="A286" s="4"/>
      <c r="B286" s="4"/>
      <c r="C286" s="4"/>
      <c r="D286" s="4"/>
      <c r="E286" s="4"/>
      <c r="F286" s="4"/>
      <c r="G286" s="4"/>
      <c r="H286" s="4"/>
      <c r="I286" s="4"/>
      <c r="J286" s="4"/>
      <c r="K286" s="4"/>
      <c r="L286" s="4"/>
      <c r="M286" s="4"/>
      <c r="N286" s="4"/>
      <c r="O286" s="4"/>
      <c r="P286" s="4"/>
      <c r="Q286" s="4"/>
      <c r="R286" s="12"/>
      <c r="S286" s="12"/>
      <c r="T286" s="12"/>
      <c r="U286" s="12"/>
      <c r="V286" s="12"/>
      <c r="W286" s="12"/>
      <c r="X286" s="12"/>
      <c r="Y286" s="12"/>
      <c r="Z286" s="12"/>
      <c r="AA286" s="12"/>
      <c r="AB286" s="12"/>
      <c r="AC286" s="12"/>
      <c r="AD286" s="12"/>
    </row>
    <row r="287" spans="1:30" ht="13.5" customHeight="1">
      <c r="A287" s="4"/>
      <c r="B287" s="4"/>
      <c r="C287" s="4"/>
      <c r="D287" s="4"/>
      <c r="E287" s="4"/>
      <c r="F287" s="4"/>
      <c r="G287" s="4"/>
      <c r="H287" s="4"/>
      <c r="I287" s="4"/>
      <c r="J287" s="4"/>
      <c r="K287" s="4"/>
      <c r="L287" s="4"/>
      <c r="M287" s="4"/>
      <c r="N287" s="4"/>
      <c r="O287" s="4"/>
      <c r="P287" s="4"/>
      <c r="Q287" s="4"/>
      <c r="R287" s="12"/>
      <c r="S287" s="12"/>
      <c r="T287" s="12"/>
      <c r="U287" s="12"/>
      <c r="V287" s="12"/>
      <c r="W287" s="12"/>
      <c r="X287" s="12"/>
      <c r="Y287" s="12"/>
      <c r="Z287" s="12"/>
      <c r="AA287" s="12"/>
      <c r="AB287" s="12"/>
      <c r="AC287" s="12"/>
      <c r="AD287" s="12"/>
    </row>
    <row r="288" spans="1:30" ht="13.5" customHeight="1">
      <c r="A288" s="4"/>
      <c r="B288" s="4"/>
      <c r="C288" s="4"/>
      <c r="D288" s="4"/>
      <c r="E288" s="4"/>
      <c r="F288" s="4"/>
      <c r="G288" s="4"/>
      <c r="H288" s="4"/>
      <c r="I288" s="4"/>
      <c r="J288" s="4"/>
      <c r="K288" s="4"/>
      <c r="L288" s="4"/>
      <c r="M288" s="4"/>
      <c r="N288" s="4"/>
      <c r="O288" s="4"/>
      <c r="P288" s="4"/>
      <c r="Q288" s="4"/>
      <c r="R288" s="12"/>
      <c r="S288" s="12"/>
      <c r="T288" s="12"/>
      <c r="U288" s="12"/>
      <c r="V288" s="12"/>
      <c r="W288" s="12"/>
      <c r="X288" s="12"/>
      <c r="Y288" s="12"/>
      <c r="Z288" s="12"/>
      <c r="AA288" s="12"/>
      <c r="AB288" s="12"/>
      <c r="AC288" s="12"/>
      <c r="AD288" s="12"/>
    </row>
    <row r="289" spans="1:30" ht="13.5" customHeight="1">
      <c r="A289" s="4"/>
      <c r="B289" s="4"/>
      <c r="C289" s="4"/>
      <c r="D289" s="4"/>
      <c r="E289" s="4"/>
      <c r="F289" s="4"/>
      <c r="G289" s="4"/>
      <c r="H289" s="4"/>
      <c r="I289" s="4"/>
      <c r="J289" s="4"/>
      <c r="K289" s="4"/>
      <c r="L289" s="4"/>
      <c r="M289" s="4"/>
      <c r="N289" s="4"/>
      <c r="O289" s="4"/>
      <c r="P289" s="4"/>
      <c r="Q289" s="4"/>
      <c r="R289" s="12"/>
      <c r="S289" s="12"/>
      <c r="T289" s="12"/>
      <c r="U289" s="12"/>
      <c r="V289" s="12"/>
      <c r="W289" s="12"/>
      <c r="X289" s="12"/>
      <c r="Y289" s="12"/>
      <c r="Z289" s="12"/>
      <c r="AA289" s="12"/>
      <c r="AB289" s="12"/>
      <c r="AC289" s="12"/>
      <c r="AD289" s="12"/>
    </row>
    <row r="290" spans="1:30" ht="13.5" customHeight="1">
      <c r="A290" s="4"/>
      <c r="B290" s="4"/>
      <c r="C290" s="4"/>
      <c r="D290" s="4"/>
      <c r="E290" s="4"/>
      <c r="F290" s="4"/>
      <c r="G290" s="4"/>
      <c r="H290" s="4"/>
      <c r="I290" s="4"/>
      <c r="J290" s="4"/>
      <c r="K290" s="4"/>
      <c r="L290" s="4"/>
      <c r="M290" s="4"/>
      <c r="N290" s="4"/>
      <c r="O290" s="4"/>
      <c r="P290" s="4"/>
      <c r="Q290" s="4"/>
      <c r="R290" s="12"/>
      <c r="S290" s="12"/>
      <c r="T290" s="12"/>
      <c r="U290" s="12"/>
      <c r="V290" s="12"/>
      <c r="W290" s="12"/>
      <c r="X290" s="12"/>
      <c r="Y290" s="12"/>
      <c r="Z290" s="12"/>
      <c r="AA290" s="12"/>
      <c r="AB290" s="12"/>
      <c r="AC290" s="12"/>
      <c r="AD290" s="12"/>
    </row>
    <row r="291" spans="1:30" ht="13.5" customHeight="1">
      <c r="A291" s="4"/>
      <c r="B291" s="4"/>
      <c r="C291" s="4"/>
      <c r="D291" s="4"/>
      <c r="E291" s="4"/>
      <c r="F291" s="4"/>
      <c r="G291" s="4"/>
      <c r="H291" s="4"/>
      <c r="I291" s="4"/>
      <c r="J291" s="4"/>
      <c r="K291" s="4"/>
      <c r="L291" s="4"/>
      <c r="M291" s="4"/>
      <c r="N291" s="4"/>
      <c r="O291" s="4"/>
      <c r="P291" s="4"/>
      <c r="Q291" s="4"/>
      <c r="R291" s="12"/>
      <c r="S291" s="12"/>
      <c r="T291" s="12"/>
      <c r="U291" s="12"/>
      <c r="V291" s="12"/>
      <c r="W291" s="12"/>
      <c r="X291" s="12"/>
      <c r="Y291" s="12"/>
      <c r="Z291" s="12"/>
      <c r="AA291" s="12"/>
      <c r="AB291" s="12"/>
      <c r="AC291" s="12"/>
      <c r="AD291" s="12"/>
    </row>
    <row r="292" spans="1:30" ht="13.5" customHeight="1">
      <c r="A292" s="4"/>
      <c r="B292" s="4"/>
      <c r="C292" s="4"/>
      <c r="D292" s="4"/>
      <c r="E292" s="4"/>
      <c r="F292" s="4"/>
      <c r="G292" s="4"/>
      <c r="H292" s="4"/>
      <c r="I292" s="4"/>
      <c r="J292" s="4"/>
      <c r="K292" s="4"/>
      <c r="L292" s="4"/>
      <c r="M292" s="4"/>
      <c r="N292" s="4"/>
      <c r="O292" s="4"/>
      <c r="P292" s="4"/>
      <c r="Q292" s="4"/>
      <c r="R292" s="12"/>
      <c r="S292" s="12"/>
      <c r="T292" s="12"/>
      <c r="U292" s="12"/>
      <c r="V292" s="12"/>
      <c r="W292" s="12"/>
      <c r="X292" s="12"/>
      <c r="Y292" s="12"/>
      <c r="Z292" s="12"/>
      <c r="AA292" s="12"/>
      <c r="AB292" s="12"/>
      <c r="AC292" s="12"/>
      <c r="AD292" s="12"/>
    </row>
    <row r="293" spans="1:30" ht="13.5" customHeight="1">
      <c r="A293" s="4"/>
      <c r="B293" s="4"/>
      <c r="C293" s="4"/>
      <c r="D293" s="4"/>
      <c r="E293" s="4"/>
      <c r="F293" s="4"/>
      <c r="G293" s="4"/>
      <c r="H293" s="4"/>
      <c r="I293" s="4"/>
      <c r="J293" s="4"/>
      <c r="K293" s="4"/>
      <c r="L293" s="4"/>
      <c r="M293" s="4"/>
      <c r="N293" s="4"/>
      <c r="O293" s="4"/>
      <c r="P293" s="4"/>
      <c r="Q293" s="4"/>
      <c r="R293" s="12"/>
      <c r="S293" s="12"/>
      <c r="T293" s="12"/>
      <c r="U293" s="12"/>
      <c r="V293" s="12"/>
      <c r="W293" s="12"/>
      <c r="X293" s="12"/>
      <c r="Y293" s="12"/>
      <c r="Z293" s="12"/>
      <c r="AA293" s="12"/>
      <c r="AB293" s="12"/>
      <c r="AC293" s="12"/>
      <c r="AD293" s="12"/>
    </row>
    <row r="294" spans="1:30" ht="13.5" customHeight="1">
      <c r="A294" s="4"/>
      <c r="B294" s="4"/>
      <c r="C294" s="4"/>
      <c r="D294" s="4"/>
      <c r="E294" s="4"/>
      <c r="F294" s="4"/>
      <c r="G294" s="4"/>
      <c r="H294" s="4"/>
      <c r="I294" s="4"/>
      <c r="J294" s="4"/>
      <c r="K294" s="4"/>
      <c r="L294" s="4"/>
      <c r="M294" s="4"/>
      <c r="N294" s="4"/>
      <c r="O294" s="4"/>
      <c r="P294" s="4"/>
      <c r="Q294" s="4"/>
      <c r="R294" s="12"/>
      <c r="S294" s="12"/>
      <c r="T294" s="12"/>
      <c r="U294" s="12"/>
      <c r="V294" s="12"/>
      <c r="W294" s="12"/>
      <c r="X294" s="12"/>
      <c r="Y294" s="12"/>
      <c r="Z294" s="12"/>
      <c r="AA294" s="12"/>
      <c r="AB294" s="12"/>
      <c r="AC294" s="12"/>
      <c r="AD294" s="12"/>
    </row>
    <row r="295" spans="1:30" ht="13.5" customHeight="1">
      <c r="A295" s="4"/>
      <c r="B295" s="4"/>
      <c r="C295" s="4"/>
      <c r="D295" s="4"/>
      <c r="E295" s="4"/>
      <c r="F295" s="4"/>
      <c r="G295" s="4"/>
      <c r="H295" s="4"/>
      <c r="I295" s="4"/>
      <c r="J295" s="4"/>
      <c r="K295" s="4"/>
      <c r="L295" s="4"/>
      <c r="M295" s="4"/>
      <c r="N295" s="4"/>
      <c r="O295" s="4"/>
      <c r="P295" s="4"/>
      <c r="Q295" s="4"/>
      <c r="R295" s="12"/>
      <c r="S295" s="12"/>
      <c r="T295" s="12"/>
      <c r="U295" s="12"/>
      <c r="V295" s="12"/>
      <c r="W295" s="12"/>
      <c r="X295" s="12"/>
      <c r="Y295" s="12"/>
      <c r="Z295" s="12"/>
      <c r="AA295" s="12"/>
      <c r="AB295" s="12"/>
      <c r="AC295" s="12"/>
      <c r="AD295" s="12"/>
    </row>
    <row r="296" spans="1:30" ht="13.5" customHeight="1">
      <c r="A296" s="4"/>
      <c r="B296" s="4"/>
      <c r="C296" s="4"/>
      <c r="D296" s="4"/>
      <c r="E296" s="4"/>
      <c r="F296" s="4"/>
      <c r="G296" s="4"/>
      <c r="H296" s="4"/>
      <c r="I296" s="4"/>
      <c r="J296" s="4"/>
      <c r="K296" s="4"/>
      <c r="L296" s="4"/>
      <c r="M296" s="4"/>
      <c r="N296" s="4"/>
      <c r="O296" s="4"/>
      <c r="P296" s="4"/>
      <c r="Q296" s="4"/>
      <c r="R296" s="12"/>
      <c r="S296" s="12"/>
      <c r="T296" s="12"/>
      <c r="U296" s="12"/>
      <c r="V296" s="12"/>
      <c r="W296" s="12"/>
      <c r="X296" s="12"/>
      <c r="Y296" s="12"/>
      <c r="Z296" s="12"/>
      <c r="AA296" s="12"/>
      <c r="AB296" s="12"/>
      <c r="AC296" s="12"/>
      <c r="AD296" s="12"/>
    </row>
    <row r="297" spans="1:30" ht="13.5" customHeight="1">
      <c r="A297" s="4"/>
      <c r="B297" s="4"/>
      <c r="C297" s="4"/>
      <c r="D297" s="4"/>
      <c r="E297" s="4"/>
      <c r="F297" s="4"/>
      <c r="G297" s="4"/>
      <c r="H297" s="4"/>
      <c r="I297" s="4"/>
      <c r="J297" s="4"/>
      <c r="K297" s="4"/>
      <c r="L297" s="4"/>
      <c r="M297" s="4"/>
      <c r="N297" s="4"/>
      <c r="O297" s="4"/>
      <c r="P297" s="4"/>
      <c r="Q297" s="4"/>
      <c r="R297" s="12"/>
      <c r="S297" s="12"/>
      <c r="T297" s="12"/>
      <c r="U297" s="12"/>
      <c r="V297" s="12"/>
      <c r="W297" s="12"/>
      <c r="X297" s="12"/>
      <c r="Y297" s="12"/>
      <c r="Z297" s="12"/>
      <c r="AA297" s="12"/>
      <c r="AB297" s="12"/>
      <c r="AC297" s="12"/>
      <c r="AD297" s="12"/>
    </row>
    <row r="298" spans="1:30" ht="13.5" customHeight="1">
      <c r="A298" s="4"/>
      <c r="B298" s="4"/>
      <c r="C298" s="4"/>
      <c r="D298" s="4"/>
      <c r="E298" s="4"/>
      <c r="F298" s="4"/>
      <c r="G298" s="4"/>
      <c r="H298" s="4"/>
      <c r="I298" s="4"/>
      <c r="J298" s="4"/>
      <c r="K298" s="4"/>
      <c r="L298" s="4"/>
      <c r="M298" s="4"/>
      <c r="N298" s="4"/>
      <c r="O298" s="4"/>
      <c r="P298" s="4"/>
      <c r="Q298" s="4"/>
      <c r="R298" s="12"/>
      <c r="S298" s="12"/>
      <c r="T298" s="12"/>
      <c r="U298" s="12"/>
      <c r="V298" s="12"/>
      <c r="W298" s="12"/>
      <c r="X298" s="12"/>
      <c r="Y298" s="12"/>
      <c r="Z298" s="12"/>
      <c r="AA298" s="12"/>
      <c r="AB298" s="12"/>
      <c r="AC298" s="12"/>
      <c r="AD298" s="12"/>
    </row>
    <row r="299" spans="1:30" ht="13.5" customHeight="1">
      <c r="A299" s="4"/>
      <c r="B299" s="4"/>
      <c r="C299" s="4"/>
      <c r="D299" s="4"/>
      <c r="E299" s="4"/>
      <c r="F299" s="4"/>
      <c r="G299" s="4"/>
      <c r="H299" s="4"/>
      <c r="I299" s="4"/>
      <c r="J299" s="4"/>
      <c r="K299" s="4"/>
      <c r="L299" s="4"/>
      <c r="M299" s="4"/>
      <c r="N299" s="4"/>
      <c r="O299" s="4"/>
      <c r="P299" s="4"/>
      <c r="Q299" s="4"/>
      <c r="R299" s="12"/>
      <c r="S299" s="12"/>
      <c r="T299" s="12"/>
      <c r="U299" s="12"/>
      <c r="V299" s="12"/>
      <c r="W299" s="12"/>
      <c r="X299" s="12"/>
      <c r="Y299" s="12"/>
      <c r="Z299" s="12"/>
      <c r="AA299" s="12"/>
      <c r="AB299" s="12"/>
      <c r="AC299" s="12"/>
      <c r="AD299" s="12"/>
    </row>
    <row r="300" spans="1:30" ht="13.5" customHeight="1">
      <c r="A300" s="4"/>
      <c r="B300" s="4"/>
      <c r="C300" s="4"/>
      <c r="D300" s="4"/>
      <c r="E300" s="4"/>
      <c r="F300" s="4"/>
      <c r="G300" s="4"/>
      <c r="H300" s="4"/>
      <c r="I300" s="4"/>
      <c r="J300" s="4"/>
      <c r="K300" s="4"/>
      <c r="L300" s="4"/>
      <c r="M300" s="4"/>
      <c r="N300" s="4"/>
      <c r="O300" s="4"/>
      <c r="P300" s="4"/>
      <c r="Q300" s="4"/>
      <c r="R300" s="12"/>
      <c r="S300" s="12"/>
      <c r="T300" s="12"/>
      <c r="U300" s="12"/>
      <c r="V300" s="12"/>
      <c r="W300" s="12"/>
      <c r="X300" s="12"/>
      <c r="Y300" s="12"/>
      <c r="Z300" s="12"/>
      <c r="AA300" s="12"/>
      <c r="AB300" s="12"/>
      <c r="AC300" s="12"/>
      <c r="AD300" s="12"/>
    </row>
    <row r="301" spans="1:30" ht="13.5" customHeight="1">
      <c r="A301" s="4"/>
      <c r="B301" s="4"/>
      <c r="C301" s="4"/>
      <c r="D301" s="4"/>
      <c r="E301" s="4"/>
      <c r="F301" s="4"/>
      <c r="G301" s="4"/>
      <c r="H301" s="4"/>
      <c r="I301" s="4"/>
      <c r="J301" s="4"/>
      <c r="K301" s="4"/>
      <c r="L301" s="4"/>
      <c r="M301" s="4"/>
      <c r="N301" s="4"/>
      <c r="O301" s="4"/>
      <c r="P301" s="4"/>
      <c r="Q301" s="4"/>
      <c r="R301" s="12"/>
      <c r="S301" s="12"/>
      <c r="T301" s="12"/>
      <c r="U301" s="12"/>
      <c r="V301" s="12"/>
      <c r="W301" s="12"/>
      <c r="X301" s="12"/>
      <c r="Y301" s="12"/>
      <c r="Z301" s="12"/>
      <c r="AA301" s="12"/>
      <c r="AB301" s="12"/>
      <c r="AC301" s="12"/>
      <c r="AD301" s="12"/>
    </row>
    <row r="302" spans="1:30" ht="13.5" customHeight="1">
      <c r="A302" s="4"/>
      <c r="B302" s="4"/>
      <c r="C302" s="4"/>
      <c r="D302" s="4"/>
      <c r="E302" s="4"/>
      <c r="F302" s="4"/>
      <c r="G302" s="4"/>
      <c r="H302" s="4"/>
      <c r="I302" s="4"/>
      <c r="J302" s="4"/>
      <c r="K302" s="4"/>
      <c r="L302" s="4"/>
      <c r="M302" s="4"/>
      <c r="N302" s="4"/>
      <c r="O302" s="4"/>
      <c r="P302" s="4"/>
      <c r="Q302" s="4"/>
      <c r="R302" s="12"/>
      <c r="S302" s="12"/>
      <c r="T302" s="12"/>
      <c r="U302" s="12"/>
      <c r="V302" s="12"/>
      <c r="W302" s="12"/>
      <c r="X302" s="12"/>
      <c r="Y302" s="12"/>
      <c r="Z302" s="12"/>
      <c r="AA302" s="12"/>
      <c r="AB302" s="12"/>
      <c r="AC302" s="12"/>
      <c r="AD302" s="12"/>
    </row>
    <row r="303" spans="1:30" ht="13.5" customHeight="1">
      <c r="A303" s="4"/>
      <c r="B303" s="4"/>
      <c r="C303" s="4"/>
      <c r="D303" s="4"/>
      <c r="E303" s="4"/>
      <c r="F303" s="4"/>
      <c r="G303" s="4"/>
      <c r="H303" s="4"/>
      <c r="I303" s="4"/>
      <c r="J303" s="4"/>
      <c r="K303" s="4"/>
      <c r="L303" s="4"/>
      <c r="M303" s="4"/>
      <c r="N303" s="4"/>
      <c r="O303" s="4"/>
      <c r="P303" s="4"/>
      <c r="Q303" s="4"/>
      <c r="R303" s="12"/>
      <c r="S303" s="12"/>
      <c r="T303" s="12"/>
      <c r="U303" s="12"/>
      <c r="V303" s="12"/>
      <c r="W303" s="12"/>
      <c r="X303" s="12"/>
      <c r="Y303" s="12"/>
      <c r="Z303" s="12"/>
      <c r="AA303" s="12"/>
      <c r="AB303" s="12"/>
      <c r="AC303" s="12"/>
      <c r="AD303" s="12"/>
    </row>
    <row r="304" spans="1:30" ht="13.5" customHeight="1">
      <c r="A304" s="4"/>
      <c r="B304" s="4"/>
      <c r="C304" s="4"/>
      <c r="D304" s="4"/>
      <c r="E304" s="4"/>
      <c r="F304" s="4"/>
      <c r="G304" s="4"/>
      <c r="H304" s="4"/>
      <c r="I304" s="4"/>
      <c r="J304" s="4"/>
      <c r="K304" s="4"/>
      <c r="L304" s="4"/>
      <c r="M304" s="4"/>
      <c r="N304" s="4"/>
      <c r="O304" s="4"/>
      <c r="P304" s="4"/>
      <c r="Q304" s="4"/>
      <c r="R304" s="12"/>
      <c r="S304" s="12"/>
      <c r="T304" s="12"/>
      <c r="U304" s="12"/>
      <c r="V304" s="12"/>
      <c r="W304" s="12"/>
      <c r="X304" s="12"/>
      <c r="Y304" s="12"/>
      <c r="Z304" s="12"/>
      <c r="AA304" s="12"/>
      <c r="AB304" s="12"/>
      <c r="AC304" s="12"/>
      <c r="AD304" s="12"/>
    </row>
    <row r="305" spans="1:30" ht="13.5" customHeight="1">
      <c r="A305" s="4"/>
      <c r="B305" s="4"/>
      <c r="C305" s="4"/>
      <c r="D305" s="4"/>
      <c r="E305" s="4"/>
      <c r="F305" s="4"/>
      <c r="G305" s="4"/>
      <c r="H305" s="4"/>
      <c r="I305" s="4"/>
      <c r="J305" s="4"/>
      <c r="K305" s="4"/>
      <c r="L305" s="4"/>
      <c r="M305" s="4"/>
      <c r="N305" s="4"/>
      <c r="O305" s="4"/>
      <c r="P305" s="4"/>
      <c r="Q305" s="4"/>
      <c r="R305" s="12"/>
      <c r="S305" s="12"/>
      <c r="T305" s="12"/>
      <c r="U305" s="12"/>
      <c r="V305" s="12"/>
      <c r="W305" s="12"/>
      <c r="X305" s="12"/>
      <c r="Y305" s="12"/>
      <c r="Z305" s="12"/>
      <c r="AA305" s="12"/>
      <c r="AB305" s="12"/>
      <c r="AC305" s="12"/>
      <c r="AD305" s="12"/>
    </row>
    <row r="306" spans="1:30" ht="13.5" customHeight="1">
      <c r="A306" s="4"/>
      <c r="B306" s="4"/>
      <c r="C306" s="4"/>
      <c r="D306" s="4"/>
      <c r="E306" s="4"/>
      <c r="F306" s="4"/>
      <c r="G306" s="4"/>
      <c r="H306" s="4"/>
      <c r="I306" s="4"/>
      <c r="J306" s="4"/>
      <c r="K306" s="4"/>
      <c r="L306" s="4"/>
      <c r="M306" s="4"/>
      <c r="N306" s="4"/>
      <c r="O306" s="4"/>
      <c r="P306" s="4"/>
      <c r="Q306" s="4"/>
      <c r="R306" s="12"/>
      <c r="S306" s="12"/>
      <c r="T306" s="12"/>
      <c r="U306" s="12"/>
      <c r="V306" s="12"/>
      <c r="W306" s="12"/>
      <c r="X306" s="12"/>
      <c r="Y306" s="12"/>
      <c r="Z306" s="12"/>
      <c r="AA306" s="12"/>
      <c r="AB306" s="12"/>
      <c r="AC306" s="12"/>
      <c r="AD306" s="12"/>
    </row>
    <row r="307" spans="1:30" ht="13.5" customHeight="1">
      <c r="A307" s="4"/>
      <c r="B307" s="4"/>
      <c r="C307" s="4"/>
      <c r="D307" s="4"/>
      <c r="E307" s="4"/>
      <c r="F307" s="4"/>
      <c r="G307" s="4"/>
      <c r="H307" s="4"/>
      <c r="I307" s="4"/>
      <c r="J307" s="4"/>
      <c r="K307" s="4"/>
      <c r="L307" s="4"/>
      <c r="M307" s="4"/>
      <c r="N307" s="4"/>
      <c r="O307" s="4"/>
      <c r="P307" s="4"/>
      <c r="Q307" s="4"/>
      <c r="R307" s="12"/>
      <c r="S307" s="12"/>
      <c r="T307" s="12"/>
      <c r="U307" s="12"/>
      <c r="V307" s="12"/>
      <c r="W307" s="12"/>
      <c r="X307" s="12"/>
      <c r="Y307" s="12"/>
      <c r="Z307" s="12"/>
      <c r="AA307" s="12"/>
      <c r="AB307" s="12"/>
      <c r="AC307" s="12"/>
      <c r="AD307" s="12"/>
    </row>
    <row r="308" spans="1:30" ht="13.5" customHeight="1">
      <c r="A308" s="4"/>
      <c r="B308" s="4"/>
      <c r="C308" s="4"/>
      <c r="D308" s="4"/>
      <c r="E308" s="4"/>
      <c r="F308" s="4"/>
      <c r="G308" s="4"/>
      <c r="H308" s="4"/>
      <c r="I308" s="4"/>
      <c r="J308" s="4"/>
      <c r="K308" s="4"/>
      <c r="L308" s="4"/>
      <c r="M308" s="4"/>
      <c r="N308" s="4"/>
      <c r="O308" s="4"/>
      <c r="P308" s="4"/>
      <c r="Q308" s="4"/>
      <c r="R308" s="12"/>
      <c r="S308" s="12"/>
      <c r="T308" s="12"/>
      <c r="U308" s="12"/>
      <c r="V308" s="12"/>
      <c r="W308" s="12"/>
      <c r="X308" s="12"/>
      <c r="Y308" s="12"/>
      <c r="Z308" s="12"/>
      <c r="AA308" s="12"/>
      <c r="AB308" s="12"/>
      <c r="AC308" s="12"/>
      <c r="AD308" s="12"/>
    </row>
    <row r="309" spans="1:30" ht="13.5" customHeight="1">
      <c r="A309" s="4"/>
      <c r="B309" s="4"/>
      <c r="C309" s="4"/>
      <c r="D309" s="4"/>
      <c r="E309" s="4"/>
      <c r="F309" s="4"/>
      <c r="G309" s="4"/>
      <c r="H309" s="4"/>
      <c r="I309" s="4"/>
      <c r="J309" s="4"/>
      <c r="K309" s="4"/>
      <c r="L309" s="4"/>
      <c r="M309" s="4"/>
      <c r="N309" s="4"/>
      <c r="O309" s="4"/>
      <c r="P309" s="4"/>
      <c r="Q309" s="4"/>
      <c r="R309" s="12"/>
      <c r="S309" s="12"/>
      <c r="T309" s="12"/>
      <c r="U309" s="12"/>
      <c r="V309" s="12"/>
      <c r="W309" s="12"/>
      <c r="X309" s="12"/>
      <c r="Y309" s="12"/>
      <c r="Z309" s="12"/>
      <c r="AA309" s="12"/>
      <c r="AB309" s="12"/>
      <c r="AC309" s="12"/>
      <c r="AD309" s="12"/>
    </row>
    <row r="310" spans="1:30" ht="13.5" customHeight="1">
      <c r="A310" s="4"/>
      <c r="B310" s="4"/>
      <c r="C310" s="4"/>
      <c r="D310" s="4"/>
      <c r="E310" s="4"/>
      <c r="F310" s="4"/>
      <c r="G310" s="4"/>
      <c r="H310" s="4"/>
      <c r="I310" s="4"/>
      <c r="J310" s="4"/>
      <c r="K310" s="4"/>
      <c r="L310" s="4"/>
      <c r="M310" s="4"/>
      <c r="N310" s="4"/>
      <c r="O310" s="4"/>
      <c r="P310" s="4"/>
      <c r="Q310" s="4"/>
      <c r="R310" s="12"/>
      <c r="S310" s="12"/>
      <c r="T310" s="12"/>
      <c r="U310" s="12"/>
      <c r="V310" s="12"/>
      <c r="W310" s="12"/>
      <c r="X310" s="12"/>
      <c r="Y310" s="12"/>
      <c r="Z310" s="12"/>
      <c r="AA310" s="12"/>
      <c r="AB310" s="12"/>
      <c r="AC310" s="12"/>
      <c r="AD310" s="12"/>
    </row>
    <row r="311" spans="1:30" ht="13.5" customHeight="1">
      <c r="A311" s="4"/>
      <c r="B311" s="4"/>
      <c r="C311" s="4"/>
      <c r="D311" s="4"/>
      <c r="E311" s="4"/>
      <c r="F311" s="4"/>
      <c r="G311" s="4"/>
      <c r="H311" s="4"/>
      <c r="I311" s="4"/>
      <c r="J311" s="4"/>
      <c r="K311" s="4"/>
      <c r="L311" s="4"/>
      <c r="M311" s="4"/>
      <c r="N311" s="4"/>
      <c r="O311" s="4"/>
      <c r="P311" s="4"/>
      <c r="Q311" s="4"/>
      <c r="R311" s="12"/>
      <c r="S311" s="12"/>
      <c r="T311" s="12"/>
      <c r="U311" s="12"/>
      <c r="V311" s="12"/>
      <c r="W311" s="12"/>
      <c r="X311" s="12"/>
      <c r="Y311" s="12"/>
      <c r="Z311" s="12"/>
      <c r="AA311" s="12"/>
      <c r="AB311" s="12"/>
      <c r="AC311" s="12"/>
      <c r="AD311" s="12"/>
    </row>
    <row r="312" spans="1:30" ht="13.5" customHeight="1">
      <c r="A312" s="4"/>
      <c r="B312" s="4"/>
      <c r="C312" s="4"/>
      <c r="D312" s="4"/>
      <c r="E312" s="4"/>
      <c r="F312" s="4"/>
      <c r="G312" s="4"/>
      <c r="H312" s="4"/>
      <c r="I312" s="4"/>
      <c r="J312" s="4"/>
      <c r="K312" s="4"/>
      <c r="L312" s="4"/>
      <c r="M312" s="4"/>
      <c r="N312" s="4"/>
      <c r="O312" s="4"/>
      <c r="P312" s="4"/>
      <c r="Q312" s="4"/>
      <c r="R312" s="12"/>
      <c r="S312" s="12"/>
      <c r="T312" s="12"/>
      <c r="U312" s="12"/>
      <c r="V312" s="12"/>
      <c r="W312" s="12"/>
      <c r="X312" s="12"/>
      <c r="Y312" s="12"/>
      <c r="Z312" s="12"/>
      <c r="AA312" s="12"/>
      <c r="AB312" s="12"/>
      <c r="AC312" s="12"/>
      <c r="AD312" s="12"/>
    </row>
    <row r="313" spans="1:30" ht="13.5" customHeight="1">
      <c r="A313" s="4"/>
      <c r="B313" s="4"/>
      <c r="C313" s="4"/>
      <c r="D313" s="4"/>
      <c r="E313" s="4"/>
      <c r="F313" s="4"/>
      <c r="G313" s="4"/>
      <c r="H313" s="4"/>
      <c r="I313" s="4"/>
      <c r="J313" s="4"/>
      <c r="K313" s="4"/>
      <c r="L313" s="4"/>
      <c r="M313" s="4"/>
      <c r="N313" s="4"/>
      <c r="O313" s="4"/>
      <c r="P313" s="4"/>
      <c r="Q313" s="4"/>
      <c r="R313" s="12"/>
      <c r="S313" s="12"/>
      <c r="T313" s="12"/>
      <c r="U313" s="12"/>
      <c r="V313" s="12"/>
      <c r="W313" s="12"/>
      <c r="X313" s="12"/>
      <c r="Y313" s="12"/>
      <c r="Z313" s="12"/>
      <c r="AA313" s="12"/>
      <c r="AB313" s="12"/>
      <c r="AC313" s="12"/>
      <c r="AD313" s="12"/>
    </row>
    <row r="314" spans="1:30" ht="13.5" customHeight="1">
      <c r="A314" s="4"/>
      <c r="B314" s="4"/>
      <c r="C314" s="4"/>
      <c r="D314" s="4"/>
      <c r="E314" s="4"/>
      <c r="F314" s="4"/>
      <c r="G314" s="4"/>
      <c r="H314" s="4"/>
      <c r="I314" s="4"/>
      <c r="J314" s="4"/>
      <c r="K314" s="4"/>
      <c r="L314" s="4"/>
      <c r="M314" s="4"/>
      <c r="N314" s="4"/>
      <c r="O314" s="4"/>
      <c r="P314" s="4"/>
      <c r="Q314" s="4"/>
      <c r="R314" s="12"/>
      <c r="S314" s="12"/>
      <c r="T314" s="12"/>
      <c r="U314" s="12"/>
      <c r="V314" s="12"/>
      <c r="W314" s="12"/>
      <c r="X314" s="12"/>
      <c r="Y314" s="12"/>
      <c r="Z314" s="12"/>
      <c r="AA314" s="12"/>
      <c r="AB314" s="12"/>
      <c r="AC314" s="12"/>
      <c r="AD314" s="12"/>
    </row>
    <row r="315" spans="1:30" ht="13.5" customHeight="1">
      <c r="A315" s="4"/>
      <c r="B315" s="4"/>
      <c r="C315" s="4"/>
      <c r="D315" s="4"/>
      <c r="E315" s="4"/>
      <c r="F315" s="4"/>
      <c r="G315" s="4"/>
      <c r="H315" s="4"/>
      <c r="I315" s="4"/>
      <c r="J315" s="4"/>
      <c r="K315" s="4"/>
      <c r="L315" s="4"/>
      <c r="M315" s="4"/>
      <c r="N315" s="4"/>
      <c r="O315" s="4"/>
      <c r="P315" s="4"/>
      <c r="Q315" s="4"/>
      <c r="R315" s="12"/>
      <c r="S315" s="12"/>
      <c r="T315" s="12"/>
      <c r="U315" s="12"/>
      <c r="V315" s="12"/>
      <c r="W315" s="12"/>
      <c r="X315" s="12"/>
      <c r="Y315" s="12"/>
      <c r="Z315" s="12"/>
      <c r="AA315" s="12"/>
      <c r="AB315" s="12"/>
      <c r="AC315" s="12"/>
      <c r="AD315" s="12"/>
    </row>
    <row r="316" spans="1:30" ht="13.5" customHeight="1">
      <c r="A316" s="4"/>
      <c r="B316" s="4"/>
      <c r="C316" s="4"/>
      <c r="D316" s="4"/>
      <c r="E316" s="4"/>
      <c r="F316" s="4"/>
      <c r="G316" s="4"/>
      <c r="H316" s="4"/>
      <c r="I316" s="4"/>
      <c r="J316" s="4"/>
      <c r="K316" s="4"/>
      <c r="L316" s="4"/>
      <c r="M316" s="4"/>
      <c r="N316" s="4"/>
      <c r="O316" s="4"/>
      <c r="P316" s="4"/>
      <c r="Q316" s="4"/>
      <c r="R316" s="12"/>
      <c r="S316" s="12"/>
      <c r="T316" s="12"/>
      <c r="U316" s="12"/>
      <c r="V316" s="12"/>
      <c r="W316" s="12"/>
      <c r="X316" s="12"/>
      <c r="Y316" s="12"/>
      <c r="Z316" s="12"/>
      <c r="AA316" s="12"/>
      <c r="AB316" s="12"/>
      <c r="AC316" s="12"/>
      <c r="AD316" s="12"/>
    </row>
    <row r="317" spans="1:30" ht="13.5" customHeight="1">
      <c r="A317" s="4"/>
      <c r="B317" s="4"/>
      <c r="C317" s="4"/>
      <c r="D317" s="4"/>
      <c r="E317" s="4"/>
      <c r="F317" s="4"/>
      <c r="G317" s="4"/>
      <c r="H317" s="4"/>
      <c r="I317" s="4"/>
      <c r="J317" s="4"/>
      <c r="K317" s="4"/>
      <c r="L317" s="4"/>
      <c r="M317" s="4"/>
      <c r="N317" s="4"/>
      <c r="O317" s="4"/>
      <c r="P317" s="4"/>
      <c r="Q317" s="4"/>
      <c r="R317" s="12"/>
      <c r="S317" s="12"/>
      <c r="T317" s="12"/>
      <c r="U317" s="12"/>
      <c r="V317" s="12"/>
      <c r="W317" s="12"/>
      <c r="X317" s="12"/>
      <c r="Y317" s="12"/>
      <c r="Z317" s="12"/>
      <c r="AA317" s="12"/>
      <c r="AB317" s="12"/>
      <c r="AC317" s="12"/>
      <c r="AD317" s="12"/>
    </row>
    <row r="318" spans="1:30" ht="13.5" customHeight="1">
      <c r="A318" s="4"/>
      <c r="B318" s="4"/>
      <c r="C318" s="4"/>
      <c r="D318" s="4"/>
      <c r="E318" s="4"/>
      <c r="F318" s="4"/>
      <c r="G318" s="4"/>
      <c r="H318" s="4"/>
      <c r="I318" s="4"/>
      <c r="J318" s="4"/>
      <c r="K318" s="4"/>
      <c r="L318" s="4"/>
      <c r="M318" s="4"/>
      <c r="N318" s="4"/>
      <c r="O318" s="4"/>
      <c r="P318" s="4"/>
      <c r="Q318" s="4"/>
      <c r="R318" s="12"/>
      <c r="S318" s="12"/>
      <c r="T318" s="12"/>
      <c r="U318" s="12"/>
      <c r="V318" s="12"/>
      <c r="W318" s="12"/>
      <c r="X318" s="12"/>
      <c r="Y318" s="12"/>
      <c r="Z318" s="12"/>
      <c r="AA318" s="12"/>
      <c r="AB318" s="12"/>
      <c r="AC318" s="12"/>
      <c r="AD318" s="12"/>
    </row>
    <row r="319" spans="1:30" ht="13.5" customHeight="1">
      <c r="A319" s="4"/>
      <c r="B319" s="4"/>
      <c r="C319" s="4"/>
      <c r="D319" s="4"/>
      <c r="E319" s="4"/>
      <c r="F319" s="4"/>
      <c r="G319" s="4"/>
      <c r="H319" s="4"/>
      <c r="I319" s="4"/>
      <c r="J319" s="4"/>
      <c r="K319" s="4"/>
      <c r="L319" s="4"/>
      <c r="M319" s="4"/>
      <c r="N319" s="4"/>
      <c r="O319" s="4"/>
      <c r="P319" s="4"/>
      <c r="Q319" s="4"/>
      <c r="R319" s="12"/>
      <c r="S319" s="12"/>
      <c r="T319" s="12"/>
      <c r="U319" s="12"/>
      <c r="V319" s="12"/>
      <c r="W319" s="12"/>
      <c r="X319" s="12"/>
      <c r="Y319" s="12"/>
      <c r="Z319" s="12"/>
      <c r="AA319" s="12"/>
      <c r="AB319" s="12"/>
      <c r="AC319" s="12"/>
      <c r="AD319" s="12"/>
    </row>
    <row r="320" spans="1:30" ht="13.5" customHeight="1">
      <c r="A320" s="4"/>
      <c r="B320" s="4"/>
      <c r="C320" s="4"/>
      <c r="D320" s="4"/>
      <c r="E320" s="4"/>
      <c r="F320" s="4"/>
      <c r="G320" s="4"/>
      <c r="H320" s="4"/>
      <c r="I320" s="4"/>
      <c r="J320" s="4"/>
      <c r="K320" s="4"/>
      <c r="L320" s="4"/>
      <c r="M320" s="4"/>
      <c r="N320" s="4"/>
      <c r="O320" s="4"/>
      <c r="P320" s="4"/>
      <c r="Q320" s="4"/>
      <c r="R320" s="12"/>
      <c r="S320" s="12"/>
      <c r="T320" s="12"/>
      <c r="U320" s="12"/>
      <c r="V320" s="12"/>
      <c r="W320" s="12"/>
      <c r="X320" s="12"/>
      <c r="Y320" s="12"/>
      <c r="Z320" s="12"/>
      <c r="AA320" s="12"/>
      <c r="AB320" s="12"/>
      <c r="AC320" s="12"/>
      <c r="AD320" s="12"/>
    </row>
    <row r="321" spans="1:30" ht="13.5" customHeight="1">
      <c r="A321" s="4"/>
      <c r="B321" s="4"/>
      <c r="C321" s="4"/>
      <c r="D321" s="4"/>
      <c r="E321" s="4"/>
      <c r="F321" s="4"/>
      <c r="G321" s="4"/>
      <c r="H321" s="4"/>
      <c r="I321" s="4"/>
      <c r="J321" s="4"/>
      <c r="K321" s="4"/>
      <c r="L321" s="4"/>
      <c r="M321" s="4"/>
      <c r="N321" s="4"/>
      <c r="O321" s="4"/>
      <c r="P321" s="4"/>
      <c r="Q321" s="4"/>
      <c r="R321" s="12"/>
      <c r="S321" s="12"/>
      <c r="T321" s="12"/>
      <c r="U321" s="12"/>
      <c r="V321" s="12"/>
      <c r="W321" s="12"/>
      <c r="X321" s="12"/>
      <c r="Y321" s="12"/>
      <c r="Z321" s="12"/>
      <c r="AA321" s="12"/>
      <c r="AB321" s="12"/>
      <c r="AC321" s="12"/>
      <c r="AD321" s="12"/>
    </row>
    <row r="322" spans="1:30" ht="13.5" customHeight="1">
      <c r="A322" s="4"/>
      <c r="B322" s="4"/>
      <c r="C322" s="4"/>
      <c r="D322" s="4"/>
      <c r="E322" s="4"/>
      <c r="F322" s="4"/>
      <c r="G322" s="4"/>
      <c r="H322" s="4"/>
      <c r="I322" s="4"/>
      <c r="J322" s="4"/>
      <c r="K322" s="4"/>
      <c r="L322" s="4"/>
      <c r="M322" s="4"/>
      <c r="N322" s="4"/>
      <c r="O322" s="4"/>
      <c r="P322" s="4"/>
      <c r="Q322" s="4"/>
      <c r="R322" s="12"/>
      <c r="S322" s="12"/>
      <c r="T322" s="12"/>
      <c r="U322" s="12"/>
      <c r="V322" s="12"/>
      <c r="W322" s="12"/>
      <c r="X322" s="12"/>
      <c r="Y322" s="12"/>
      <c r="Z322" s="12"/>
      <c r="AA322" s="12"/>
      <c r="AB322" s="12"/>
      <c r="AC322" s="12"/>
      <c r="AD322" s="12"/>
    </row>
    <row r="323" spans="1:30" ht="13.5" customHeight="1">
      <c r="A323" s="4"/>
      <c r="B323" s="4"/>
      <c r="C323" s="4"/>
      <c r="D323" s="4"/>
      <c r="E323" s="4"/>
      <c r="F323" s="4"/>
      <c r="G323" s="4"/>
      <c r="H323" s="4"/>
      <c r="I323" s="4"/>
      <c r="J323" s="4"/>
      <c r="K323" s="4"/>
      <c r="L323" s="4"/>
      <c r="M323" s="4"/>
      <c r="N323" s="4"/>
      <c r="O323" s="4"/>
      <c r="P323" s="4"/>
      <c r="Q323" s="4"/>
      <c r="R323" s="12"/>
      <c r="S323" s="12"/>
      <c r="T323" s="12"/>
      <c r="U323" s="12"/>
      <c r="V323" s="12"/>
      <c r="W323" s="12"/>
      <c r="X323" s="12"/>
      <c r="Y323" s="12"/>
      <c r="Z323" s="12"/>
      <c r="AA323" s="12"/>
      <c r="AB323" s="12"/>
      <c r="AC323" s="12"/>
      <c r="AD323" s="12"/>
    </row>
    <row r="324" spans="1:30" ht="13.5" customHeight="1">
      <c r="A324" s="4"/>
      <c r="B324" s="4"/>
      <c r="C324" s="4"/>
      <c r="D324" s="4"/>
      <c r="E324" s="4"/>
      <c r="F324" s="4"/>
      <c r="G324" s="4"/>
      <c r="H324" s="4"/>
      <c r="I324" s="4"/>
      <c r="J324" s="4"/>
      <c r="K324" s="4"/>
      <c r="L324" s="4"/>
      <c r="M324" s="4"/>
      <c r="N324" s="4"/>
      <c r="O324" s="4"/>
      <c r="P324" s="4"/>
      <c r="Q324" s="4"/>
      <c r="R324" s="12"/>
      <c r="S324" s="12"/>
      <c r="T324" s="12"/>
      <c r="U324" s="12"/>
      <c r="V324" s="12"/>
      <c r="W324" s="12"/>
      <c r="X324" s="12"/>
      <c r="Y324" s="12"/>
      <c r="Z324" s="12"/>
      <c r="AA324" s="12"/>
      <c r="AB324" s="12"/>
      <c r="AC324" s="12"/>
      <c r="AD324" s="12"/>
    </row>
    <row r="325" spans="1:30" ht="13.5" customHeight="1">
      <c r="A325" s="4"/>
      <c r="B325" s="4"/>
      <c r="C325" s="4"/>
      <c r="D325" s="4"/>
      <c r="E325" s="4"/>
      <c r="F325" s="4"/>
      <c r="G325" s="4"/>
      <c r="H325" s="4"/>
      <c r="I325" s="4"/>
      <c r="J325" s="4"/>
      <c r="K325" s="4"/>
      <c r="L325" s="4"/>
      <c r="M325" s="4"/>
      <c r="N325" s="4"/>
      <c r="O325" s="4"/>
      <c r="P325" s="4"/>
      <c r="Q325" s="4"/>
      <c r="R325" s="12"/>
      <c r="S325" s="12"/>
      <c r="T325" s="12"/>
      <c r="U325" s="12"/>
      <c r="V325" s="12"/>
      <c r="W325" s="12"/>
      <c r="X325" s="12"/>
      <c r="Y325" s="12"/>
      <c r="Z325" s="12"/>
      <c r="AA325" s="12"/>
      <c r="AB325" s="12"/>
      <c r="AC325" s="12"/>
      <c r="AD325" s="12"/>
    </row>
    <row r="326" spans="1:30" ht="13.5" customHeight="1">
      <c r="A326" s="4"/>
      <c r="B326" s="4"/>
      <c r="C326" s="4"/>
      <c r="D326" s="4"/>
      <c r="E326" s="4"/>
      <c r="F326" s="4"/>
      <c r="G326" s="4"/>
      <c r="H326" s="4"/>
      <c r="I326" s="4"/>
      <c r="J326" s="4"/>
      <c r="K326" s="4"/>
      <c r="L326" s="4"/>
      <c r="M326" s="4"/>
      <c r="N326" s="4"/>
      <c r="O326" s="4"/>
      <c r="P326" s="4"/>
      <c r="Q326" s="4"/>
      <c r="R326" s="12"/>
      <c r="S326" s="12"/>
      <c r="T326" s="12"/>
      <c r="U326" s="12"/>
      <c r="V326" s="12"/>
      <c r="W326" s="12"/>
      <c r="X326" s="12"/>
      <c r="Y326" s="12"/>
      <c r="Z326" s="12"/>
      <c r="AA326" s="12"/>
      <c r="AB326" s="12"/>
      <c r="AC326" s="12"/>
      <c r="AD326" s="12"/>
    </row>
    <row r="327" spans="1:30" ht="13.5" customHeight="1">
      <c r="A327" s="4"/>
      <c r="B327" s="4"/>
      <c r="C327" s="4"/>
      <c r="D327" s="4"/>
      <c r="E327" s="4"/>
      <c r="F327" s="4"/>
      <c r="G327" s="4"/>
      <c r="H327" s="4"/>
      <c r="I327" s="4"/>
      <c r="J327" s="4"/>
      <c r="K327" s="4"/>
      <c r="L327" s="4"/>
      <c r="M327" s="4"/>
      <c r="N327" s="4"/>
      <c r="O327" s="4"/>
      <c r="P327" s="4"/>
      <c r="Q327" s="4"/>
      <c r="R327" s="12"/>
      <c r="S327" s="12"/>
      <c r="T327" s="12"/>
      <c r="U327" s="12"/>
      <c r="V327" s="12"/>
      <c r="W327" s="12"/>
      <c r="X327" s="12"/>
      <c r="Y327" s="12"/>
      <c r="Z327" s="12"/>
      <c r="AA327" s="12"/>
      <c r="AB327" s="12"/>
      <c r="AC327" s="12"/>
      <c r="AD327" s="12"/>
    </row>
    <row r="328" spans="1:30" ht="13.5" customHeight="1">
      <c r="A328" s="4"/>
      <c r="B328" s="4"/>
      <c r="C328" s="4"/>
      <c r="D328" s="4"/>
      <c r="E328" s="4"/>
      <c r="F328" s="4"/>
      <c r="G328" s="4"/>
      <c r="H328" s="4"/>
      <c r="I328" s="4"/>
      <c r="J328" s="4"/>
      <c r="K328" s="4"/>
      <c r="L328" s="4"/>
      <c r="M328" s="4"/>
      <c r="N328" s="4"/>
      <c r="O328" s="4"/>
      <c r="P328" s="4"/>
      <c r="Q328" s="4"/>
      <c r="R328" s="12"/>
      <c r="S328" s="12"/>
      <c r="T328" s="12"/>
      <c r="U328" s="12"/>
      <c r="V328" s="12"/>
      <c r="W328" s="12"/>
      <c r="X328" s="12"/>
      <c r="Y328" s="12"/>
      <c r="Z328" s="12"/>
      <c r="AA328" s="12"/>
      <c r="AB328" s="12"/>
      <c r="AC328" s="12"/>
      <c r="AD328" s="12"/>
    </row>
    <row r="329" spans="1:30" ht="13.5" customHeight="1">
      <c r="A329" s="4"/>
      <c r="B329" s="4"/>
      <c r="C329" s="4"/>
      <c r="D329" s="4"/>
      <c r="E329" s="4"/>
      <c r="F329" s="4"/>
      <c r="G329" s="4"/>
      <c r="H329" s="4"/>
      <c r="I329" s="4"/>
      <c r="J329" s="4"/>
      <c r="K329" s="4"/>
      <c r="L329" s="4"/>
      <c r="M329" s="4"/>
      <c r="N329" s="4"/>
      <c r="O329" s="4"/>
      <c r="P329" s="4"/>
      <c r="Q329" s="4"/>
      <c r="R329" s="12"/>
      <c r="S329" s="12"/>
      <c r="T329" s="12"/>
      <c r="U329" s="12"/>
      <c r="V329" s="12"/>
      <c r="W329" s="12"/>
      <c r="X329" s="12"/>
      <c r="Y329" s="12"/>
      <c r="Z329" s="12"/>
      <c r="AA329" s="12"/>
      <c r="AB329" s="12"/>
      <c r="AC329" s="12"/>
      <c r="AD329" s="12"/>
    </row>
    <row r="330" spans="1:30" ht="13.5" customHeight="1">
      <c r="A330" s="4"/>
      <c r="B330" s="4"/>
      <c r="C330" s="4"/>
      <c r="D330" s="4"/>
      <c r="E330" s="4"/>
      <c r="F330" s="4"/>
      <c r="G330" s="4"/>
      <c r="H330" s="4"/>
      <c r="I330" s="4"/>
      <c r="J330" s="4"/>
      <c r="K330" s="4"/>
      <c r="L330" s="4"/>
      <c r="M330" s="4"/>
      <c r="N330" s="4"/>
      <c r="O330" s="4"/>
      <c r="P330" s="4"/>
      <c r="Q330" s="4"/>
      <c r="R330" s="12"/>
      <c r="S330" s="12"/>
      <c r="T330" s="12"/>
      <c r="U330" s="12"/>
      <c r="V330" s="12"/>
      <c r="W330" s="12"/>
      <c r="X330" s="12"/>
      <c r="Y330" s="12"/>
      <c r="Z330" s="12"/>
      <c r="AA330" s="12"/>
      <c r="AB330" s="12"/>
      <c r="AC330" s="12"/>
      <c r="AD330" s="12"/>
    </row>
    <row r="331" spans="1:30" ht="13.5" customHeight="1">
      <c r="A331" s="4"/>
      <c r="B331" s="4"/>
      <c r="C331" s="4"/>
      <c r="D331" s="4"/>
      <c r="E331" s="4"/>
      <c r="F331" s="4"/>
      <c r="G331" s="4"/>
      <c r="H331" s="4"/>
      <c r="I331" s="4"/>
      <c r="J331" s="4"/>
      <c r="K331" s="4"/>
      <c r="L331" s="4"/>
      <c r="M331" s="4"/>
      <c r="N331" s="4"/>
      <c r="O331" s="4"/>
      <c r="P331" s="4"/>
      <c r="Q331" s="4"/>
      <c r="R331" s="12"/>
      <c r="S331" s="12"/>
      <c r="T331" s="12"/>
      <c r="U331" s="12"/>
      <c r="V331" s="12"/>
      <c r="W331" s="12"/>
      <c r="X331" s="12"/>
      <c r="Y331" s="12"/>
      <c r="Z331" s="12"/>
      <c r="AA331" s="12"/>
      <c r="AB331" s="12"/>
      <c r="AC331" s="12"/>
      <c r="AD331" s="12"/>
    </row>
    <row r="332" spans="1:30" ht="13.5" customHeight="1">
      <c r="A332" s="4"/>
      <c r="B332" s="4"/>
      <c r="C332" s="4"/>
      <c r="D332" s="4"/>
      <c r="E332" s="4"/>
      <c r="F332" s="4"/>
      <c r="G332" s="4"/>
      <c r="H332" s="4"/>
      <c r="I332" s="4"/>
      <c r="J332" s="4"/>
      <c r="K332" s="4"/>
      <c r="L332" s="4"/>
      <c r="M332" s="4"/>
      <c r="N332" s="4"/>
      <c r="O332" s="4"/>
      <c r="P332" s="4"/>
      <c r="Q332" s="4"/>
      <c r="R332" s="12"/>
      <c r="S332" s="12"/>
      <c r="T332" s="12"/>
      <c r="U332" s="12"/>
      <c r="V332" s="12"/>
      <c r="W332" s="12"/>
      <c r="X332" s="12"/>
      <c r="Y332" s="12"/>
      <c r="Z332" s="12"/>
      <c r="AA332" s="12"/>
      <c r="AB332" s="12"/>
      <c r="AC332" s="12"/>
      <c r="AD332" s="12"/>
    </row>
    <row r="333" spans="1:30" ht="13.5" customHeight="1">
      <c r="A333" s="4"/>
      <c r="B333" s="4"/>
      <c r="C333" s="4"/>
      <c r="D333" s="4"/>
      <c r="E333" s="4"/>
      <c r="F333" s="4"/>
      <c r="G333" s="4"/>
      <c r="H333" s="4"/>
      <c r="I333" s="4"/>
      <c r="J333" s="4"/>
      <c r="K333" s="4"/>
      <c r="L333" s="4"/>
      <c r="M333" s="4"/>
      <c r="N333" s="4"/>
      <c r="O333" s="4"/>
      <c r="P333" s="4"/>
      <c r="Q333" s="4"/>
      <c r="R333" s="12"/>
      <c r="S333" s="12"/>
      <c r="T333" s="12"/>
      <c r="U333" s="12"/>
      <c r="V333" s="12"/>
      <c r="W333" s="12"/>
      <c r="X333" s="12"/>
      <c r="Y333" s="12"/>
      <c r="Z333" s="12"/>
      <c r="AA333" s="12"/>
      <c r="AB333" s="12"/>
      <c r="AC333" s="12"/>
      <c r="AD333" s="12"/>
    </row>
    <row r="334" spans="1:30" ht="13.5" customHeight="1">
      <c r="A334" s="4"/>
      <c r="B334" s="4"/>
      <c r="C334" s="4"/>
      <c r="D334" s="4"/>
      <c r="E334" s="4"/>
      <c r="F334" s="4"/>
      <c r="G334" s="4"/>
      <c r="H334" s="4"/>
      <c r="I334" s="4"/>
      <c r="J334" s="4"/>
      <c r="K334" s="4"/>
      <c r="L334" s="4"/>
      <c r="M334" s="4"/>
      <c r="N334" s="4"/>
      <c r="O334" s="4"/>
      <c r="P334" s="4"/>
      <c r="Q334" s="4"/>
      <c r="R334" s="12"/>
      <c r="S334" s="12"/>
      <c r="T334" s="12"/>
      <c r="U334" s="12"/>
      <c r="V334" s="12"/>
      <c r="W334" s="12"/>
      <c r="X334" s="12"/>
      <c r="Y334" s="12"/>
      <c r="Z334" s="12"/>
      <c r="AA334" s="12"/>
      <c r="AB334" s="12"/>
      <c r="AC334" s="12"/>
      <c r="AD334" s="12"/>
    </row>
    <row r="335" spans="1:30" ht="13.5" customHeight="1">
      <c r="A335" s="4"/>
      <c r="B335" s="4"/>
      <c r="C335" s="4"/>
      <c r="D335" s="4"/>
      <c r="E335" s="4"/>
      <c r="F335" s="4"/>
      <c r="G335" s="4"/>
      <c r="H335" s="4"/>
      <c r="I335" s="4"/>
      <c r="J335" s="4"/>
      <c r="K335" s="4"/>
      <c r="L335" s="4"/>
      <c r="M335" s="4"/>
      <c r="N335" s="4"/>
      <c r="O335" s="4"/>
      <c r="P335" s="4"/>
      <c r="Q335" s="4"/>
      <c r="R335" s="12"/>
      <c r="S335" s="12"/>
      <c r="T335" s="12"/>
      <c r="U335" s="12"/>
      <c r="V335" s="12"/>
      <c r="W335" s="12"/>
      <c r="X335" s="12"/>
      <c r="Y335" s="12"/>
      <c r="Z335" s="12"/>
      <c r="AA335" s="12"/>
      <c r="AB335" s="12"/>
      <c r="AC335" s="12"/>
      <c r="AD335" s="12"/>
    </row>
    <row r="336" spans="1:30" ht="13.5" customHeight="1">
      <c r="A336" s="4"/>
      <c r="B336" s="4"/>
      <c r="C336" s="4"/>
      <c r="D336" s="4"/>
      <c r="E336" s="4"/>
      <c r="F336" s="4"/>
      <c r="G336" s="4"/>
      <c r="H336" s="4"/>
      <c r="I336" s="4"/>
      <c r="J336" s="4"/>
      <c r="K336" s="4"/>
      <c r="L336" s="4"/>
      <c r="M336" s="4"/>
      <c r="N336" s="4"/>
      <c r="O336" s="4"/>
      <c r="P336" s="4"/>
      <c r="Q336" s="4"/>
      <c r="R336" s="12"/>
      <c r="S336" s="12"/>
      <c r="T336" s="12"/>
      <c r="U336" s="12"/>
      <c r="V336" s="12"/>
      <c r="W336" s="12"/>
      <c r="X336" s="12"/>
      <c r="Y336" s="12"/>
      <c r="Z336" s="12"/>
      <c r="AA336" s="12"/>
      <c r="AB336" s="12"/>
      <c r="AC336" s="12"/>
      <c r="AD336" s="12"/>
    </row>
    <row r="337" spans="1:30" ht="13.5" customHeight="1">
      <c r="A337" s="4"/>
      <c r="B337" s="4"/>
      <c r="C337" s="4"/>
      <c r="D337" s="4"/>
      <c r="E337" s="4"/>
      <c r="F337" s="4"/>
      <c r="G337" s="4"/>
      <c r="H337" s="4"/>
      <c r="I337" s="4"/>
      <c r="J337" s="4"/>
      <c r="K337" s="4"/>
      <c r="L337" s="4"/>
      <c r="M337" s="4"/>
      <c r="N337" s="4"/>
      <c r="O337" s="4"/>
      <c r="P337" s="4"/>
      <c r="Q337" s="4"/>
      <c r="R337" s="12"/>
      <c r="S337" s="12"/>
      <c r="T337" s="12"/>
      <c r="U337" s="12"/>
      <c r="V337" s="12"/>
      <c r="W337" s="12"/>
      <c r="X337" s="12"/>
      <c r="Y337" s="12"/>
      <c r="Z337" s="12"/>
      <c r="AA337" s="12"/>
      <c r="AB337" s="12"/>
      <c r="AC337" s="12"/>
      <c r="AD337" s="12"/>
    </row>
    <row r="338" spans="1:30" ht="13.5" customHeight="1">
      <c r="A338" s="4"/>
      <c r="B338" s="4"/>
      <c r="C338" s="4"/>
      <c r="D338" s="4"/>
      <c r="E338" s="4"/>
      <c r="F338" s="4"/>
      <c r="G338" s="4"/>
      <c r="H338" s="4"/>
      <c r="I338" s="4"/>
      <c r="J338" s="4"/>
      <c r="K338" s="4"/>
      <c r="L338" s="4"/>
      <c r="M338" s="4"/>
      <c r="N338" s="4"/>
      <c r="O338" s="4"/>
      <c r="P338" s="4"/>
      <c r="Q338" s="4"/>
      <c r="R338" s="12"/>
      <c r="S338" s="12"/>
      <c r="T338" s="12"/>
      <c r="U338" s="12"/>
      <c r="V338" s="12"/>
      <c r="W338" s="12"/>
      <c r="X338" s="12"/>
      <c r="Y338" s="12"/>
      <c r="Z338" s="12"/>
      <c r="AA338" s="12"/>
      <c r="AB338" s="12"/>
      <c r="AC338" s="12"/>
      <c r="AD338" s="12"/>
    </row>
    <row r="339" spans="1:30" ht="13.5" customHeight="1">
      <c r="A339" s="4"/>
      <c r="B339" s="4"/>
      <c r="C339" s="4"/>
      <c r="D339" s="4"/>
      <c r="E339" s="4"/>
      <c r="F339" s="4"/>
      <c r="G339" s="4"/>
      <c r="H339" s="4"/>
      <c r="I339" s="4"/>
      <c r="J339" s="4"/>
      <c r="K339" s="4"/>
      <c r="L339" s="4"/>
      <c r="M339" s="4"/>
      <c r="N339" s="4"/>
      <c r="O339" s="4"/>
      <c r="P339" s="4"/>
      <c r="Q339" s="4"/>
      <c r="R339" s="12"/>
      <c r="S339" s="12"/>
      <c r="T339" s="12"/>
      <c r="U339" s="12"/>
      <c r="V339" s="12"/>
      <c r="W339" s="12"/>
      <c r="X339" s="12"/>
      <c r="Y339" s="12"/>
      <c r="Z339" s="12"/>
      <c r="AA339" s="12"/>
      <c r="AB339" s="12"/>
      <c r="AC339" s="12"/>
      <c r="AD339" s="12"/>
    </row>
    <row r="340" spans="1:30" ht="13.5" customHeight="1">
      <c r="A340" s="4"/>
      <c r="B340" s="4"/>
      <c r="C340" s="4"/>
      <c r="D340" s="4"/>
      <c r="E340" s="4"/>
      <c r="F340" s="4"/>
      <c r="G340" s="4"/>
      <c r="H340" s="4"/>
      <c r="I340" s="4"/>
      <c r="J340" s="4"/>
      <c r="K340" s="4"/>
      <c r="L340" s="4"/>
      <c r="M340" s="4"/>
      <c r="N340" s="4"/>
      <c r="O340" s="4"/>
      <c r="P340" s="4"/>
      <c r="Q340" s="4"/>
      <c r="R340" s="12"/>
      <c r="S340" s="12"/>
      <c r="T340" s="12"/>
      <c r="U340" s="12"/>
      <c r="V340" s="12"/>
      <c r="W340" s="12"/>
      <c r="X340" s="12"/>
      <c r="Y340" s="12"/>
      <c r="Z340" s="12"/>
      <c r="AA340" s="12"/>
      <c r="AB340" s="12"/>
      <c r="AC340" s="12"/>
      <c r="AD340" s="12"/>
    </row>
    <row r="341" spans="1:30" ht="13.5" customHeight="1">
      <c r="A341" s="4"/>
      <c r="B341" s="4"/>
      <c r="C341" s="4"/>
      <c r="D341" s="4"/>
      <c r="E341" s="4"/>
      <c r="F341" s="4"/>
      <c r="G341" s="4"/>
      <c r="H341" s="4"/>
      <c r="I341" s="4"/>
      <c r="J341" s="4"/>
      <c r="K341" s="4"/>
      <c r="L341" s="4"/>
      <c r="M341" s="4"/>
      <c r="N341" s="4"/>
      <c r="O341" s="4"/>
      <c r="P341" s="4"/>
      <c r="Q341" s="4"/>
      <c r="R341" s="12"/>
      <c r="S341" s="12"/>
      <c r="T341" s="12"/>
      <c r="U341" s="12"/>
      <c r="V341" s="12"/>
      <c r="W341" s="12"/>
      <c r="X341" s="12"/>
      <c r="Y341" s="12"/>
      <c r="Z341" s="12"/>
      <c r="AA341" s="12"/>
      <c r="AB341" s="12"/>
      <c r="AC341" s="12"/>
      <c r="AD341" s="12"/>
    </row>
    <row r="342" spans="1:30" ht="13.5" customHeight="1">
      <c r="A342" s="4"/>
      <c r="B342" s="4"/>
      <c r="C342" s="4"/>
      <c r="D342" s="4"/>
      <c r="E342" s="4"/>
      <c r="F342" s="4"/>
      <c r="G342" s="4"/>
      <c r="H342" s="4"/>
      <c r="I342" s="4"/>
      <c r="J342" s="4"/>
      <c r="K342" s="4"/>
      <c r="L342" s="4"/>
      <c r="M342" s="4"/>
      <c r="N342" s="4"/>
      <c r="O342" s="4"/>
      <c r="P342" s="4"/>
      <c r="Q342" s="4"/>
      <c r="R342" s="12"/>
      <c r="S342" s="12"/>
      <c r="T342" s="12"/>
      <c r="U342" s="12"/>
      <c r="V342" s="12"/>
      <c r="W342" s="12"/>
      <c r="X342" s="12"/>
      <c r="Y342" s="12"/>
      <c r="Z342" s="12"/>
      <c r="AA342" s="12"/>
      <c r="AB342" s="12"/>
      <c r="AC342" s="12"/>
      <c r="AD342" s="12"/>
    </row>
    <row r="343" spans="1:30" ht="13.5" customHeight="1">
      <c r="A343" s="4"/>
      <c r="B343" s="4"/>
      <c r="C343" s="4"/>
      <c r="D343" s="4"/>
      <c r="E343" s="4"/>
      <c r="F343" s="4"/>
      <c r="G343" s="4"/>
      <c r="H343" s="4"/>
      <c r="I343" s="4"/>
      <c r="J343" s="4"/>
      <c r="K343" s="4"/>
      <c r="L343" s="4"/>
      <c r="M343" s="4"/>
      <c r="N343" s="4"/>
      <c r="O343" s="4"/>
      <c r="P343" s="4"/>
      <c r="Q343" s="4"/>
      <c r="R343" s="12"/>
      <c r="S343" s="12"/>
      <c r="T343" s="12"/>
      <c r="U343" s="12"/>
      <c r="V343" s="12"/>
      <c r="W343" s="12"/>
      <c r="X343" s="12"/>
      <c r="Y343" s="12"/>
      <c r="Z343" s="12"/>
      <c r="AA343" s="12"/>
      <c r="AB343" s="12"/>
      <c r="AC343" s="12"/>
      <c r="AD343" s="12"/>
    </row>
    <row r="344" spans="1:30" ht="13.5" customHeight="1">
      <c r="A344" s="4"/>
      <c r="B344" s="4"/>
      <c r="C344" s="4"/>
      <c r="D344" s="4"/>
      <c r="E344" s="4"/>
      <c r="F344" s="4"/>
      <c r="G344" s="4"/>
      <c r="H344" s="4"/>
      <c r="I344" s="4"/>
      <c r="J344" s="4"/>
      <c r="K344" s="4"/>
      <c r="L344" s="4"/>
      <c r="M344" s="4"/>
      <c r="N344" s="4"/>
      <c r="O344" s="4"/>
      <c r="P344" s="4"/>
      <c r="Q344" s="4"/>
      <c r="R344" s="12"/>
      <c r="S344" s="12"/>
      <c r="T344" s="12"/>
      <c r="U344" s="12"/>
      <c r="V344" s="12"/>
      <c r="W344" s="12"/>
      <c r="X344" s="12"/>
      <c r="Y344" s="12"/>
      <c r="Z344" s="12"/>
      <c r="AA344" s="12"/>
      <c r="AB344" s="12"/>
      <c r="AC344" s="12"/>
      <c r="AD344" s="12"/>
    </row>
    <row r="345" spans="1:30" ht="13.5" customHeight="1">
      <c r="A345" s="4"/>
      <c r="B345" s="4"/>
      <c r="C345" s="4"/>
      <c r="D345" s="4"/>
      <c r="E345" s="4"/>
      <c r="F345" s="4"/>
      <c r="G345" s="4"/>
      <c r="H345" s="4"/>
      <c r="I345" s="4"/>
      <c r="J345" s="4"/>
      <c r="K345" s="4"/>
      <c r="L345" s="4"/>
      <c r="M345" s="4"/>
      <c r="N345" s="4"/>
      <c r="O345" s="4"/>
      <c r="P345" s="4"/>
      <c r="Q345" s="4"/>
      <c r="R345" s="12"/>
      <c r="S345" s="12"/>
      <c r="T345" s="12"/>
      <c r="U345" s="12"/>
      <c r="V345" s="12"/>
      <c r="W345" s="12"/>
      <c r="X345" s="12"/>
      <c r="Y345" s="12"/>
      <c r="Z345" s="12"/>
      <c r="AA345" s="12"/>
      <c r="AB345" s="12"/>
      <c r="AC345" s="12"/>
      <c r="AD345" s="12"/>
    </row>
    <row r="346" spans="1:30" ht="13.5" customHeight="1">
      <c r="A346" s="4"/>
      <c r="B346" s="4"/>
      <c r="C346" s="4"/>
      <c r="D346" s="4"/>
      <c r="E346" s="4"/>
      <c r="F346" s="4"/>
      <c r="G346" s="4"/>
      <c r="H346" s="4"/>
      <c r="I346" s="4"/>
      <c r="J346" s="4"/>
      <c r="K346" s="4"/>
      <c r="L346" s="4"/>
      <c r="M346" s="4"/>
      <c r="N346" s="4"/>
      <c r="O346" s="4"/>
      <c r="P346" s="4"/>
      <c r="Q346" s="4"/>
      <c r="R346" s="12"/>
      <c r="S346" s="12"/>
      <c r="T346" s="12"/>
      <c r="U346" s="12"/>
      <c r="V346" s="12"/>
      <c r="W346" s="12"/>
      <c r="X346" s="12"/>
      <c r="Y346" s="12"/>
      <c r="Z346" s="12"/>
      <c r="AA346" s="12"/>
      <c r="AB346" s="12"/>
      <c r="AC346" s="12"/>
      <c r="AD346" s="12"/>
    </row>
    <row r="347" spans="1:30" ht="13.5" customHeight="1">
      <c r="A347" s="4"/>
      <c r="B347" s="4"/>
      <c r="C347" s="4"/>
      <c r="D347" s="4"/>
      <c r="E347" s="4"/>
      <c r="F347" s="4"/>
      <c r="G347" s="4"/>
      <c r="H347" s="4"/>
      <c r="I347" s="4"/>
      <c r="J347" s="4"/>
      <c r="K347" s="4"/>
      <c r="L347" s="4"/>
      <c r="M347" s="4"/>
      <c r="N347" s="4"/>
      <c r="O347" s="4"/>
      <c r="P347" s="4"/>
      <c r="Q347" s="4"/>
      <c r="R347" s="12"/>
      <c r="S347" s="12"/>
      <c r="T347" s="12"/>
      <c r="U347" s="12"/>
      <c r="V347" s="12"/>
      <c r="W347" s="12"/>
      <c r="X347" s="12"/>
      <c r="Y347" s="12"/>
      <c r="Z347" s="12"/>
      <c r="AA347" s="12"/>
      <c r="AB347" s="12"/>
      <c r="AC347" s="12"/>
      <c r="AD347" s="12"/>
    </row>
    <row r="348" spans="1:30" ht="13.5" customHeight="1">
      <c r="A348" s="4"/>
      <c r="B348" s="4"/>
      <c r="C348" s="4"/>
      <c r="D348" s="4"/>
      <c r="E348" s="4"/>
      <c r="F348" s="4"/>
      <c r="G348" s="4"/>
      <c r="H348" s="4"/>
      <c r="I348" s="4"/>
      <c r="J348" s="4"/>
      <c r="K348" s="4"/>
      <c r="L348" s="4"/>
      <c r="M348" s="4"/>
      <c r="N348" s="4"/>
      <c r="O348" s="4"/>
      <c r="P348" s="4"/>
      <c r="Q348" s="4"/>
      <c r="R348" s="12"/>
      <c r="S348" s="12"/>
      <c r="T348" s="12"/>
      <c r="U348" s="12"/>
      <c r="V348" s="12"/>
      <c r="W348" s="12"/>
      <c r="X348" s="12"/>
      <c r="Y348" s="12"/>
      <c r="Z348" s="12"/>
      <c r="AA348" s="12"/>
      <c r="AB348" s="12"/>
      <c r="AC348" s="12"/>
      <c r="AD348" s="12"/>
    </row>
    <row r="349" spans="1:30" ht="13.5" customHeight="1">
      <c r="A349" s="4"/>
      <c r="B349" s="4"/>
      <c r="C349" s="4"/>
      <c r="D349" s="4"/>
      <c r="E349" s="4"/>
      <c r="F349" s="4"/>
      <c r="G349" s="4"/>
      <c r="H349" s="4"/>
      <c r="I349" s="4"/>
      <c r="J349" s="4"/>
      <c r="K349" s="4"/>
      <c r="L349" s="4"/>
      <c r="M349" s="4"/>
      <c r="N349" s="4"/>
      <c r="O349" s="4"/>
      <c r="P349" s="4"/>
      <c r="Q349" s="4"/>
      <c r="R349" s="12"/>
      <c r="S349" s="12"/>
      <c r="T349" s="12"/>
      <c r="U349" s="12"/>
      <c r="V349" s="12"/>
      <c r="W349" s="12"/>
      <c r="X349" s="12"/>
      <c r="Y349" s="12"/>
      <c r="Z349" s="12"/>
      <c r="AA349" s="12"/>
      <c r="AB349" s="12"/>
      <c r="AC349" s="12"/>
      <c r="AD349" s="12"/>
    </row>
    <row r="350" spans="1:30" ht="13.5" customHeight="1">
      <c r="A350" s="4"/>
      <c r="B350" s="4"/>
      <c r="C350" s="4"/>
      <c r="D350" s="4"/>
      <c r="E350" s="4"/>
      <c r="F350" s="4"/>
      <c r="G350" s="4"/>
      <c r="H350" s="4"/>
      <c r="I350" s="4"/>
      <c r="J350" s="4"/>
      <c r="K350" s="4"/>
      <c r="L350" s="4"/>
      <c r="M350" s="4"/>
      <c r="N350" s="4"/>
      <c r="O350" s="4"/>
      <c r="P350" s="4"/>
      <c r="Q350" s="4"/>
      <c r="R350" s="12"/>
      <c r="S350" s="12"/>
      <c r="T350" s="12"/>
      <c r="U350" s="12"/>
      <c r="V350" s="12"/>
      <c r="W350" s="12"/>
      <c r="X350" s="12"/>
      <c r="Y350" s="12"/>
      <c r="Z350" s="12"/>
      <c r="AA350" s="12"/>
      <c r="AB350" s="12"/>
      <c r="AC350" s="12"/>
      <c r="AD350" s="12"/>
    </row>
    <row r="351" spans="1:30" ht="13.5" customHeight="1">
      <c r="A351" s="4"/>
      <c r="B351" s="4"/>
      <c r="C351" s="4"/>
      <c r="D351" s="4"/>
      <c r="E351" s="4"/>
      <c r="F351" s="4"/>
      <c r="G351" s="4"/>
      <c r="H351" s="4"/>
      <c r="I351" s="4"/>
      <c r="J351" s="4"/>
      <c r="K351" s="4"/>
      <c r="L351" s="4"/>
      <c r="M351" s="4"/>
      <c r="N351" s="4"/>
      <c r="O351" s="4"/>
      <c r="P351" s="4"/>
      <c r="Q351" s="4"/>
      <c r="R351" s="12"/>
      <c r="S351" s="12"/>
      <c r="T351" s="12"/>
      <c r="U351" s="12"/>
      <c r="V351" s="12"/>
      <c r="W351" s="12"/>
      <c r="X351" s="12"/>
      <c r="Y351" s="12"/>
      <c r="Z351" s="12"/>
      <c r="AA351" s="12"/>
      <c r="AB351" s="12"/>
      <c r="AC351" s="12"/>
      <c r="AD351" s="12"/>
    </row>
    <row r="352" spans="1:30" ht="13.5" customHeight="1">
      <c r="A352" s="4"/>
      <c r="B352" s="4"/>
      <c r="C352" s="4"/>
      <c r="D352" s="4"/>
      <c r="E352" s="4"/>
      <c r="F352" s="4"/>
      <c r="G352" s="4"/>
      <c r="H352" s="4"/>
      <c r="I352" s="4"/>
      <c r="J352" s="4"/>
      <c r="K352" s="4"/>
      <c r="L352" s="4"/>
      <c r="M352" s="4"/>
      <c r="N352" s="4"/>
      <c r="O352" s="4"/>
      <c r="P352" s="4"/>
      <c r="Q352" s="4"/>
      <c r="R352" s="12"/>
      <c r="S352" s="12"/>
      <c r="T352" s="12"/>
      <c r="U352" s="12"/>
      <c r="V352" s="12"/>
      <c r="W352" s="12"/>
      <c r="X352" s="12"/>
      <c r="Y352" s="12"/>
      <c r="Z352" s="12"/>
      <c r="AA352" s="12"/>
      <c r="AB352" s="12"/>
      <c r="AC352" s="12"/>
      <c r="AD352" s="12"/>
    </row>
    <row r="353" spans="1:30" ht="13.5" customHeight="1">
      <c r="A353" s="4"/>
      <c r="B353" s="4"/>
      <c r="C353" s="4"/>
      <c r="D353" s="4"/>
      <c r="E353" s="4"/>
      <c r="F353" s="4"/>
      <c r="G353" s="4"/>
      <c r="H353" s="4"/>
      <c r="I353" s="4"/>
      <c r="J353" s="4"/>
      <c r="K353" s="4"/>
      <c r="L353" s="4"/>
      <c r="M353" s="4"/>
      <c r="N353" s="4"/>
      <c r="O353" s="4"/>
      <c r="P353" s="4"/>
      <c r="Q353" s="4"/>
      <c r="R353" s="12"/>
      <c r="S353" s="12"/>
      <c r="T353" s="12"/>
      <c r="U353" s="12"/>
      <c r="V353" s="12"/>
      <c r="W353" s="12"/>
      <c r="X353" s="12"/>
      <c r="Y353" s="12"/>
      <c r="Z353" s="12"/>
      <c r="AA353" s="12"/>
      <c r="AB353" s="12"/>
      <c r="AC353" s="12"/>
      <c r="AD353" s="12"/>
    </row>
    <row r="354" spans="1:30" ht="13.5" customHeight="1">
      <c r="A354" s="4"/>
      <c r="B354" s="4"/>
      <c r="C354" s="4"/>
      <c r="D354" s="4"/>
      <c r="E354" s="4"/>
      <c r="F354" s="4"/>
      <c r="G354" s="4"/>
      <c r="H354" s="4"/>
      <c r="I354" s="4"/>
      <c r="J354" s="4"/>
      <c r="K354" s="4"/>
      <c r="L354" s="4"/>
      <c r="M354" s="4"/>
      <c r="N354" s="4"/>
      <c r="O354" s="4"/>
      <c r="P354" s="4"/>
      <c r="Q354" s="4"/>
      <c r="R354" s="12"/>
      <c r="S354" s="12"/>
      <c r="T354" s="12"/>
      <c r="U354" s="12"/>
      <c r="V354" s="12"/>
      <c r="W354" s="12"/>
      <c r="X354" s="12"/>
      <c r="Y354" s="12"/>
      <c r="Z354" s="12"/>
      <c r="AA354" s="12"/>
      <c r="AB354" s="12"/>
      <c r="AC354" s="12"/>
      <c r="AD354" s="12"/>
    </row>
    <row r="355" spans="1:30" ht="13.5" customHeight="1">
      <c r="A355" s="4"/>
      <c r="B355" s="4"/>
      <c r="C355" s="4"/>
      <c r="D355" s="4"/>
      <c r="E355" s="4"/>
      <c r="F355" s="4"/>
      <c r="G355" s="4"/>
      <c r="H355" s="4"/>
      <c r="I355" s="4"/>
      <c r="J355" s="4"/>
      <c r="K355" s="4"/>
      <c r="L355" s="4"/>
      <c r="M355" s="4"/>
      <c r="N355" s="4"/>
      <c r="O355" s="4"/>
      <c r="P355" s="4"/>
      <c r="Q355" s="4"/>
      <c r="R355" s="12"/>
      <c r="S355" s="12"/>
      <c r="T355" s="12"/>
      <c r="U355" s="12"/>
      <c r="V355" s="12"/>
      <c r="W355" s="12"/>
      <c r="X355" s="12"/>
      <c r="Y355" s="12"/>
      <c r="Z355" s="12"/>
      <c r="AA355" s="12"/>
      <c r="AB355" s="12"/>
      <c r="AC355" s="12"/>
      <c r="AD355" s="12"/>
    </row>
    <row r="356" spans="1:30" ht="13.5" customHeight="1">
      <c r="A356" s="4"/>
      <c r="B356" s="4"/>
      <c r="C356" s="4"/>
      <c r="D356" s="4"/>
      <c r="E356" s="4"/>
      <c r="F356" s="4"/>
      <c r="G356" s="4"/>
      <c r="H356" s="4"/>
      <c r="I356" s="4"/>
      <c r="J356" s="4"/>
      <c r="K356" s="4"/>
      <c r="L356" s="4"/>
      <c r="M356" s="4"/>
      <c r="N356" s="4"/>
      <c r="O356" s="4"/>
      <c r="P356" s="4"/>
      <c r="Q356" s="4"/>
      <c r="R356" s="12"/>
      <c r="S356" s="12"/>
      <c r="T356" s="12"/>
      <c r="U356" s="12"/>
      <c r="V356" s="12"/>
      <c r="W356" s="12"/>
      <c r="X356" s="12"/>
      <c r="Y356" s="12"/>
      <c r="Z356" s="12"/>
      <c r="AA356" s="12"/>
      <c r="AB356" s="12"/>
      <c r="AC356" s="12"/>
      <c r="AD356" s="12"/>
    </row>
    <row r="357" spans="1:30" ht="13.5" customHeight="1">
      <c r="A357" s="4"/>
      <c r="B357" s="4"/>
      <c r="C357" s="4"/>
      <c r="D357" s="4"/>
      <c r="E357" s="4"/>
      <c r="F357" s="4"/>
      <c r="G357" s="4"/>
      <c r="H357" s="4"/>
      <c r="I357" s="4"/>
      <c r="J357" s="4"/>
      <c r="K357" s="4"/>
      <c r="L357" s="4"/>
      <c r="M357" s="4"/>
      <c r="N357" s="4"/>
      <c r="O357" s="4"/>
      <c r="P357" s="4"/>
      <c r="Q357" s="4"/>
      <c r="R357" s="12"/>
      <c r="S357" s="12"/>
      <c r="T357" s="12"/>
      <c r="U357" s="12"/>
      <c r="V357" s="12"/>
      <c r="W357" s="12"/>
      <c r="X357" s="12"/>
      <c r="Y357" s="12"/>
      <c r="Z357" s="12"/>
      <c r="AA357" s="12"/>
      <c r="AB357" s="12"/>
      <c r="AC357" s="12"/>
      <c r="AD357" s="12"/>
    </row>
    <row r="358" spans="1:30" ht="13.5" customHeight="1">
      <c r="A358" s="4"/>
      <c r="B358" s="4"/>
      <c r="C358" s="4"/>
      <c r="D358" s="4"/>
      <c r="E358" s="4"/>
      <c r="F358" s="4"/>
      <c r="G358" s="4"/>
      <c r="H358" s="4"/>
      <c r="I358" s="4"/>
      <c r="J358" s="4"/>
      <c r="K358" s="4"/>
      <c r="L358" s="4"/>
      <c r="M358" s="4"/>
      <c r="N358" s="4"/>
      <c r="O358" s="4"/>
      <c r="P358" s="4"/>
      <c r="Q358" s="4"/>
      <c r="R358" s="12"/>
      <c r="S358" s="12"/>
      <c r="T358" s="12"/>
      <c r="U358" s="12"/>
      <c r="V358" s="12"/>
      <c r="W358" s="12"/>
      <c r="X358" s="12"/>
      <c r="Y358" s="12"/>
      <c r="Z358" s="12"/>
      <c r="AA358" s="12"/>
      <c r="AB358" s="12"/>
      <c r="AC358" s="12"/>
      <c r="AD358" s="12"/>
    </row>
    <row r="359" spans="1:30" ht="13.5" customHeight="1">
      <c r="A359" s="4"/>
      <c r="B359" s="4"/>
      <c r="C359" s="4"/>
      <c r="D359" s="4"/>
      <c r="E359" s="4"/>
      <c r="F359" s="4"/>
      <c r="G359" s="4"/>
      <c r="H359" s="4"/>
      <c r="I359" s="4"/>
      <c r="J359" s="4"/>
      <c r="K359" s="4"/>
      <c r="L359" s="4"/>
      <c r="M359" s="4"/>
      <c r="N359" s="4"/>
      <c r="O359" s="4"/>
      <c r="P359" s="4"/>
      <c r="Q359" s="4"/>
      <c r="R359" s="12"/>
      <c r="S359" s="12"/>
      <c r="T359" s="12"/>
      <c r="U359" s="12"/>
      <c r="V359" s="12"/>
      <c r="W359" s="12"/>
      <c r="X359" s="12"/>
      <c r="Y359" s="12"/>
      <c r="Z359" s="12"/>
      <c r="AA359" s="12"/>
      <c r="AB359" s="12"/>
      <c r="AC359" s="12"/>
      <c r="AD359" s="12"/>
    </row>
    <row r="360" spans="1:30" ht="13.5" customHeight="1">
      <c r="A360" s="4"/>
      <c r="B360" s="4"/>
      <c r="C360" s="4"/>
      <c r="D360" s="4"/>
      <c r="E360" s="4"/>
      <c r="F360" s="4"/>
      <c r="G360" s="4"/>
      <c r="H360" s="4"/>
      <c r="I360" s="4"/>
      <c r="J360" s="4"/>
      <c r="K360" s="4"/>
      <c r="L360" s="4"/>
      <c r="M360" s="4"/>
      <c r="N360" s="4"/>
      <c r="O360" s="4"/>
      <c r="P360" s="4"/>
      <c r="Q360" s="4"/>
      <c r="R360" s="12"/>
      <c r="S360" s="12"/>
      <c r="T360" s="12"/>
      <c r="U360" s="12"/>
      <c r="V360" s="12"/>
      <c r="W360" s="12"/>
      <c r="X360" s="12"/>
      <c r="Y360" s="12"/>
      <c r="Z360" s="12"/>
      <c r="AA360" s="12"/>
      <c r="AB360" s="12"/>
      <c r="AC360" s="12"/>
      <c r="AD360" s="12"/>
    </row>
    <row r="361" spans="1:30" ht="13.5" customHeight="1">
      <c r="A361" s="4"/>
      <c r="B361" s="4"/>
      <c r="C361" s="4"/>
      <c r="D361" s="4"/>
      <c r="E361" s="4"/>
      <c r="F361" s="4"/>
      <c r="G361" s="4"/>
      <c r="H361" s="4"/>
      <c r="I361" s="4"/>
      <c r="J361" s="4"/>
      <c r="K361" s="4"/>
      <c r="L361" s="4"/>
      <c r="M361" s="4"/>
      <c r="N361" s="4"/>
      <c r="O361" s="4"/>
      <c r="P361" s="4"/>
      <c r="Q361" s="4"/>
      <c r="R361" s="12"/>
      <c r="S361" s="12"/>
      <c r="T361" s="12"/>
      <c r="U361" s="12"/>
      <c r="V361" s="12"/>
      <c r="W361" s="12"/>
      <c r="X361" s="12"/>
      <c r="Y361" s="12"/>
      <c r="Z361" s="12"/>
      <c r="AA361" s="12"/>
      <c r="AB361" s="12"/>
      <c r="AC361" s="12"/>
      <c r="AD361" s="12"/>
    </row>
    <row r="362" spans="1:30" ht="13.5" customHeight="1">
      <c r="A362" s="4"/>
      <c r="B362" s="4"/>
      <c r="C362" s="4"/>
      <c r="D362" s="4"/>
      <c r="E362" s="4"/>
      <c r="F362" s="4"/>
      <c r="G362" s="4"/>
      <c r="H362" s="4"/>
      <c r="I362" s="4"/>
      <c r="J362" s="4"/>
      <c r="K362" s="4"/>
      <c r="L362" s="4"/>
      <c r="M362" s="4"/>
      <c r="N362" s="4"/>
      <c r="O362" s="4"/>
      <c r="P362" s="4"/>
      <c r="Q362" s="4"/>
      <c r="R362" s="12"/>
      <c r="S362" s="12"/>
      <c r="T362" s="12"/>
      <c r="U362" s="12"/>
      <c r="V362" s="12"/>
      <c r="W362" s="12"/>
      <c r="X362" s="12"/>
      <c r="Y362" s="12"/>
      <c r="Z362" s="12"/>
      <c r="AA362" s="12"/>
      <c r="AB362" s="12"/>
      <c r="AC362" s="12"/>
      <c r="AD362" s="12"/>
    </row>
    <row r="363" spans="1:30" ht="13.5" customHeight="1">
      <c r="A363" s="4"/>
      <c r="B363" s="4"/>
      <c r="C363" s="4"/>
      <c r="D363" s="4"/>
      <c r="E363" s="4"/>
      <c r="F363" s="4"/>
      <c r="G363" s="4"/>
      <c r="H363" s="4"/>
      <c r="I363" s="4"/>
      <c r="J363" s="4"/>
      <c r="K363" s="4"/>
      <c r="L363" s="4"/>
      <c r="M363" s="4"/>
      <c r="N363" s="4"/>
      <c r="O363" s="4"/>
      <c r="P363" s="4"/>
      <c r="Q363" s="4"/>
      <c r="R363" s="12"/>
      <c r="S363" s="12"/>
      <c r="T363" s="12"/>
      <c r="U363" s="12"/>
      <c r="V363" s="12"/>
      <c r="W363" s="12"/>
      <c r="X363" s="12"/>
      <c r="Y363" s="12"/>
      <c r="Z363" s="12"/>
      <c r="AA363" s="12"/>
      <c r="AB363" s="12"/>
      <c r="AC363" s="12"/>
      <c r="AD363" s="12"/>
    </row>
    <row r="364" spans="1:30" ht="13.5" customHeight="1">
      <c r="A364" s="4"/>
      <c r="B364" s="4"/>
      <c r="C364" s="4"/>
      <c r="D364" s="4"/>
      <c r="E364" s="4"/>
      <c r="F364" s="4"/>
      <c r="G364" s="4"/>
      <c r="H364" s="4"/>
      <c r="I364" s="4"/>
      <c r="J364" s="4"/>
      <c r="K364" s="4"/>
      <c r="L364" s="4"/>
      <c r="M364" s="4"/>
      <c r="N364" s="4"/>
      <c r="O364" s="4"/>
      <c r="P364" s="4"/>
      <c r="Q364" s="4"/>
      <c r="R364" s="12"/>
      <c r="S364" s="12"/>
      <c r="T364" s="12"/>
      <c r="U364" s="12"/>
      <c r="V364" s="12"/>
      <c r="W364" s="12"/>
      <c r="X364" s="12"/>
      <c r="Y364" s="12"/>
      <c r="Z364" s="12"/>
      <c r="AA364" s="12"/>
      <c r="AB364" s="12"/>
      <c r="AC364" s="12"/>
      <c r="AD364" s="12"/>
    </row>
    <row r="365" spans="1:30" ht="13.5" customHeight="1">
      <c r="A365" s="4"/>
      <c r="B365" s="4"/>
      <c r="C365" s="4"/>
      <c r="D365" s="4"/>
      <c r="E365" s="4"/>
      <c r="F365" s="4"/>
      <c r="G365" s="4"/>
      <c r="H365" s="4"/>
      <c r="I365" s="4"/>
      <c r="J365" s="4"/>
      <c r="K365" s="4"/>
      <c r="L365" s="4"/>
      <c r="M365" s="4"/>
      <c r="N365" s="4"/>
      <c r="O365" s="4"/>
      <c r="P365" s="4"/>
      <c r="Q365" s="4"/>
      <c r="R365" s="12"/>
      <c r="S365" s="12"/>
      <c r="T365" s="12"/>
      <c r="U365" s="12"/>
      <c r="V365" s="12"/>
      <c r="W365" s="12"/>
      <c r="X365" s="12"/>
      <c r="Y365" s="12"/>
      <c r="Z365" s="12"/>
      <c r="AA365" s="12"/>
      <c r="AB365" s="12"/>
      <c r="AC365" s="12"/>
      <c r="AD365" s="12"/>
    </row>
    <row r="366" spans="1:30" ht="13.5" customHeight="1">
      <c r="A366" s="4"/>
      <c r="B366" s="4"/>
      <c r="C366" s="4"/>
      <c r="D366" s="4"/>
      <c r="E366" s="4"/>
      <c r="F366" s="4"/>
      <c r="G366" s="4"/>
      <c r="H366" s="4"/>
      <c r="I366" s="4"/>
      <c r="J366" s="4"/>
      <c r="K366" s="4"/>
      <c r="L366" s="4"/>
      <c r="M366" s="4"/>
      <c r="N366" s="4"/>
      <c r="O366" s="4"/>
      <c r="P366" s="4"/>
      <c r="Q366" s="4"/>
      <c r="R366" s="12"/>
      <c r="S366" s="12"/>
      <c r="T366" s="12"/>
      <c r="U366" s="12"/>
      <c r="V366" s="12"/>
      <c r="W366" s="12"/>
      <c r="X366" s="12"/>
      <c r="Y366" s="12"/>
      <c r="Z366" s="12"/>
      <c r="AA366" s="12"/>
      <c r="AB366" s="12"/>
      <c r="AC366" s="12"/>
      <c r="AD366" s="12"/>
    </row>
    <row r="367" spans="1:30" ht="13.5" customHeight="1">
      <c r="A367" s="4"/>
      <c r="B367" s="4"/>
      <c r="C367" s="4"/>
      <c r="D367" s="4"/>
      <c r="E367" s="4"/>
      <c r="F367" s="4"/>
      <c r="G367" s="4"/>
      <c r="H367" s="4"/>
      <c r="I367" s="4"/>
      <c r="J367" s="4"/>
      <c r="K367" s="4"/>
      <c r="L367" s="4"/>
      <c r="M367" s="4"/>
      <c r="N367" s="4"/>
      <c r="O367" s="4"/>
      <c r="P367" s="4"/>
      <c r="Q367" s="4"/>
      <c r="R367" s="12"/>
      <c r="S367" s="12"/>
      <c r="T367" s="12"/>
      <c r="U367" s="12"/>
      <c r="V367" s="12"/>
      <c r="W367" s="12"/>
      <c r="X367" s="12"/>
      <c r="Y367" s="12"/>
      <c r="Z367" s="12"/>
      <c r="AA367" s="12"/>
      <c r="AB367" s="12"/>
      <c r="AC367" s="12"/>
      <c r="AD367" s="12"/>
    </row>
    <row r="368" spans="1:30" ht="13.5" customHeight="1">
      <c r="A368" s="4"/>
      <c r="B368" s="4"/>
      <c r="C368" s="4"/>
      <c r="D368" s="4"/>
      <c r="E368" s="4"/>
      <c r="F368" s="4"/>
      <c r="G368" s="4"/>
      <c r="H368" s="4"/>
      <c r="I368" s="4"/>
      <c r="J368" s="4"/>
      <c r="K368" s="4"/>
      <c r="L368" s="4"/>
      <c r="M368" s="4"/>
      <c r="N368" s="4"/>
      <c r="O368" s="4"/>
      <c r="P368" s="4"/>
      <c r="Q368" s="4"/>
      <c r="R368" s="12"/>
      <c r="S368" s="12"/>
      <c r="T368" s="12"/>
      <c r="U368" s="12"/>
      <c r="V368" s="12"/>
      <c r="W368" s="12"/>
      <c r="X368" s="12"/>
      <c r="Y368" s="12"/>
      <c r="Z368" s="12"/>
      <c r="AA368" s="12"/>
      <c r="AB368" s="12"/>
      <c r="AC368" s="12"/>
      <c r="AD368" s="12"/>
    </row>
    <row r="369" spans="1:30" ht="13.5" customHeight="1">
      <c r="A369" s="4"/>
      <c r="B369" s="4"/>
      <c r="C369" s="4"/>
      <c r="D369" s="4"/>
      <c r="E369" s="4"/>
      <c r="F369" s="4"/>
      <c r="G369" s="4"/>
      <c r="H369" s="4"/>
      <c r="I369" s="4"/>
      <c r="J369" s="4"/>
      <c r="K369" s="4"/>
      <c r="L369" s="4"/>
      <c r="M369" s="4"/>
      <c r="N369" s="4"/>
      <c r="O369" s="4"/>
      <c r="P369" s="4"/>
      <c r="Q369" s="4"/>
      <c r="R369" s="12"/>
      <c r="S369" s="12"/>
      <c r="T369" s="12"/>
      <c r="U369" s="12"/>
      <c r="V369" s="12"/>
      <c r="W369" s="12"/>
      <c r="X369" s="12"/>
      <c r="Y369" s="12"/>
      <c r="Z369" s="12"/>
      <c r="AA369" s="12"/>
      <c r="AB369" s="12"/>
      <c r="AC369" s="12"/>
      <c r="AD369" s="12"/>
    </row>
    <row r="370" spans="1:30" ht="13.5" customHeight="1">
      <c r="A370" s="4"/>
      <c r="B370" s="4"/>
      <c r="C370" s="4"/>
      <c r="D370" s="4"/>
      <c r="E370" s="4"/>
      <c r="F370" s="4"/>
      <c r="G370" s="4"/>
      <c r="H370" s="4"/>
      <c r="I370" s="4"/>
      <c r="J370" s="4"/>
      <c r="K370" s="4"/>
      <c r="L370" s="4"/>
      <c r="M370" s="4"/>
      <c r="N370" s="4"/>
      <c r="O370" s="4"/>
      <c r="P370" s="4"/>
      <c r="Q370" s="4"/>
      <c r="R370" s="12"/>
      <c r="S370" s="12"/>
      <c r="T370" s="12"/>
      <c r="U370" s="12"/>
      <c r="V370" s="12"/>
      <c r="W370" s="12"/>
      <c r="X370" s="12"/>
      <c r="Y370" s="12"/>
      <c r="Z370" s="12"/>
      <c r="AA370" s="12"/>
      <c r="AB370" s="12"/>
      <c r="AC370" s="12"/>
      <c r="AD370" s="12"/>
    </row>
    <row r="371" spans="1:30" ht="13.5" customHeight="1">
      <c r="A371" s="4"/>
      <c r="B371" s="4"/>
      <c r="C371" s="4"/>
      <c r="D371" s="4"/>
      <c r="E371" s="4"/>
      <c r="F371" s="4"/>
      <c r="G371" s="4"/>
      <c r="H371" s="4"/>
      <c r="I371" s="4"/>
      <c r="J371" s="4"/>
      <c r="K371" s="4"/>
      <c r="L371" s="4"/>
      <c r="M371" s="4"/>
      <c r="N371" s="4"/>
      <c r="O371" s="4"/>
      <c r="P371" s="4"/>
      <c r="Q371" s="4"/>
      <c r="R371" s="12"/>
      <c r="S371" s="12"/>
      <c r="T371" s="12"/>
      <c r="U371" s="12"/>
      <c r="V371" s="12"/>
      <c r="W371" s="12"/>
      <c r="X371" s="12"/>
      <c r="Y371" s="12"/>
      <c r="Z371" s="12"/>
      <c r="AA371" s="12"/>
      <c r="AB371" s="12"/>
      <c r="AC371" s="12"/>
      <c r="AD371" s="12"/>
    </row>
    <row r="372" spans="1:30" ht="13.5" customHeight="1">
      <c r="A372" s="4"/>
      <c r="B372" s="4"/>
      <c r="C372" s="4"/>
      <c r="D372" s="4"/>
      <c r="E372" s="4"/>
      <c r="F372" s="4"/>
      <c r="G372" s="4"/>
      <c r="H372" s="4"/>
      <c r="I372" s="4"/>
      <c r="J372" s="4"/>
      <c r="K372" s="4"/>
      <c r="L372" s="4"/>
      <c r="M372" s="4"/>
      <c r="N372" s="4"/>
      <c r="O372" s="4"/>
      <c r="P372" s="4"/>
      <c r="Q372" s="4"/>
      <c r="R372" s="12"/>
      <c r="S372" s="12"/>
      <c r="T372" s="12"/>
      <c r="U372" s="12"/>
      <c r="V372" s="12"/>
      <c r="W372" s="12"/>
      <c r="X372" s="12"/>
      <c r="Y372" s="12"/>
      <c r="Z372" s="12"/>
      <c r="AA372" s="12"/>
      <c r="AB372" s="12"/>
      <c r="AC372" s="12"/>
      <c r="AD372" s="12"/>
    </row>
    <row r="373" spans="1:30" ht="13.5" customHeight="1">
      <c r="A373" s="4"/>
      <c r="B373" s="4"/>
      <c r="C373" s="4"/>
      <c r="D373" s="4"/>
      <c r="E373" s="4"/>
      <c r="F373" s="4"/>
      <c r="G373" s="4"/>
      <c r="H373" s="4"/>
      <c r="I373" s="4"/>
      <c r="J373" s="4"/>
      <c r="K373" s="4"/>
      <c r="L373" s="4"/>
      <c r="M373" s="4"/>
      <c r="N373" s="4"/>
      <c r="O373" s="4"/>
      <c r="P373" s="4"/>
      <c r="Q373" s="4"/>
      <c r="R373" s="12"/>
      <c r="S373" s="12"/>
      <c r="T373" s="12"/>
      <c r="U373" s="12"/>
      <c r="V373" s="12"/>
      <c r="W373" s="12"/>
      <c r="X373" s="12"/>
      <c r="Y373" s="12"/>
      <c r="Z373" s="12"/>
      <c r="AA373" s="12"/>
      <c r="AB373" s="12"/>
      <c r="AC373" s="12"/>
      <c r="AD373" s="12"/>
    </row>
    <row r="374" spans="1:30" ht="13.5" customHeight="1">
      <c r="A374" s="4"/>
      <c r="B374" s="4"/>
      <c r="C374" s="4"/>
      <c r="D374" s="4"/>
      <c r="E374" s="4"/>
      <c r="F374" s="4"/>
      <c r="G374" s="4"/>
      <c r="H374" s="4"/>
      <c r="I374" s="4"/>
      <c r="J374" s="4"/>
      <c r="K374" s="4"/>
      <c r="L374" s="4"/>
      <c r="M374" s="4"/>
      <c r="N374" s="4"/>
      <c r="O374" s="4"/>
      <c r="P374" s="4"/>
      <c r="Q374" s="4"/>
      <c r="R374" s="12"/>
      <c r="S374" s="12"/>
      <c r="T374" s="12"/>
      <c r="U374" s="12"/>
      <c r="V374" s="12"/>
      <c r="W374" s="12"/>
      <c r="X374" s="12"/>
      <c r="Y374" s="12"/>
      <c r="Z374" s="12"/>
      <c r="AA374" s="12"/>
      <c r="AB374" s="12"/>
      <c r="AC374" s="12"/>
      <c r="AD374" s="12"/>
    </row>
    <row r="375" spans="1:30" ht="13.5" customHeight="1">
      <c r="A375" s="4"/>
      <c r="B375" s="4"/>
      <c r="C375" s="4"/>
      <c r="D375" s="4"/>
      <c r="E375" s="4"/>
      <c r="F375" s="4"/>
      <c r="G375" s="4"/>
      <c r="H375" s="4"/>
      <c r="I375" s="4"/>
      <c r="J375" s="4"/>
      <c r="K375" s="4"/>
      <c r="L375" s="4"/>
      <c r="M375" s="4"/>
      <c r="N375" s="4"/>
      <c r="O375" s="4"/>
      <c r="P375" s="4"/>
      <c r="Q375" s="4"/>
      <c r="R375" s="12"/>
      <c r="S375" s="12"/>
      <c r="T375" s="12"/>
      <c r="U375" s="12"/>
      <c r="V375" s="12"/>
      <c r="W375" s="12"/>
      <c r="X375" s="12"/>
      <c r="Y375" s="12"/>
      <c r="Z375" s="12"/>
      <c r="AA375" s="12"/>
      <c r="AB375" s="12"/>
      <c r="AC375" s="12"/>
      <c r="AD375" s="12"/>
    </row>
    <row r="376" spans="1:30" ht="13.5" customHeight="1">
      <c r="A376" s="4"/>
      <c r="B376" s="4"/>
      <c r="C376" s="4"/>
      <c r="D376" s="4"/>
      <c r="E376" s="4"/>
      <c r="F376" s="4"/>
      <c r="G376" s="4"/>
      <c r="H376" s="4"/>
      <c r="I376" s="4"/>
      <c r="J376" s="4"/>
      <c r="K376" s="4"/>
      <c r="L376" s="4"/>
      <c r="M376" s="4"/>
      <c r="N376" s="4"/>
      <c r="O376" s="4"/>
      <c r="P376" s="4"/>
      <c r="Q376" s="4"/>
      <c r="R376" s="12"/>
      <c r="S376" s="12"/>
      <c r="T376" s="12"/>
      <c r="U376" s="12"/>
      <c r="V376" s="12"/>
      <c r="W376" s="12"/>
      <c r="X376" s="12"/>
      <c r="Y376" s="12"/>
      <c r="Z376" s="12"/>
      <c r="AA376" s="12"/>
      <c r="AB376" s="12"/>
      <c r="AC376" s="12"/>
      <c r="AD376" s="12"/>
    </row>
    <row r="377" spans="1:30" ht="13.5" customHeight="1">
      <c r="A377" s="4"/>
      <c r="B377" s="4"/>
      <c r="C377" s="4"/>
      <c r="D377" s="4"/>
      <c r="E377" s="4"/>
      <c r="F377" s="4"/>
      <c r="G377" s="4"/>
      <c r="H377" s="4"/>
      <c r="I377" s="4"/>
      <c r="J377" s="4"/>
      <c r="K377" s="4"/>
      <c r="L377" s="4"/>
      <c r="M377" s="4"/>
      <c r="N377" s="4"/>
      <c r="O377" s="4"/>
      <c r="P377" s="4"/>
      <c r="Q377" s="4"/>
      <c r="R377" s="12"/>
      <c r="S377" s="12"/>
      <c r="T377" s="12"/>
      <c r="U377" s="12"/>
      <c r="V377" s="12"/>
      <c r="W377" s="12"/>
      <c r="X377" s="12"/>
      <c r="Y377" s="12"/>
      <c r="Z377" s="12"/>
      <c r="AA377" s="12"/>
      <c r="AB377" s="12"/>
      <c r="AC377" s="12"/>
      <c r="AD377" s="12"/>
    </row>
    <row r="378" spans="1:30" ht="13.5" customHeight="1">
      <c r="A378" s="4"/>
      <c r="B378" s="4"/>
      <c r="C378" s="4"/>
      <c r="D378" s="4"/>
      <c r="E378" s="4"/>
      <c r="F378" s="4"/>
      <c r="G378" s="4"/>
      <c r="H378" s="4"/>
      <c r="I378" s="4"/>
      <c r="J378" s="4"/>
      <c r="K378" s="4"/>
      <c r="L378" s="4"/>
      <c r="M378" s="4"/>
      <c r="N378" s="4"/>
      <c r="O378" s="4"/>
      <c r="P378" s="4"/>
      <c r="Q378" s="4"/>
      <c r="R378" s="12"/>
      <c r="S378" s="12"/>
      <c r="T378" s="12"/>
      <c r="U378" s="12"/>
      <c r="V378" s="12"/>
      <c r="W378" s="12"/>
      <c r="X378" s="12"/>
      <c r="Y378" s="12"/>
      <c r="Z378" s="12"/>
      <c r="AA378" s="12"/>
      <c r="AB378" s="12"/>
      <c r="AC378" s="12"/>
      <c r="AD378" s="12"/>
    </row>
    <row r="379" spans="1:30" ht="13.5" customHeight="1">
      <c r="A379" s="4"/>
      <c r="B379" s="4"/>
      <c r="C379" s="4"/>
      <c r="D379" s="4"/>
      <c r="E379" s="4"/>
      <c r="F379" s="4"/>
      <c r="G379" s="4"/>
      <c r="H379" s="4"/>
      <c r="I379" s="4"/>
      <c r="J379" s="4"/>
      <c r="K379" s="4"/>
      <c r="L379" s="4"/>
      <c r="M379" s="4"/>
      <c r="N379" s="4"/>
      <c r="O379" s="4"/>
      <c r="P379" s="4"/>
      <c r="Q379" s="4"/>
      <c r="R379" s="12"/>
      <c r="S379" s="12"/>
      <c r="T379" s="12"/>
      <c r="U379" s="12"/>
      <c r="V379" s="12"/>
      <c r="W379" s="12"/>
      <c r="X379" s="12"/>
      <c r="Y379" s="12"/>
      <c r="Z379" s="12"/>
      <c r="AA379" s="12"/>
      <c r="AB379" s="12"/>
      <c r="AC379" s="12"/>
      <c r="AD379" s="12"/>
    </row>
    <row r="380" spans="1:30" ht="13.5" customHeight="1">
      <c r="A380" s="4"/>
      <c r="B380" s="4"/>
      <c r="C380" s="4"/>
      <c r="D380" s="4"/>
      <c r="E380" s="4"/>
      <c r="F380" s="4"/>
      <c r="G380" s="4"/>
      <c r="H380" s="4"/>
      <c r="I380" s="4"/>
      <c r="J380" s="4"/>
      <c r="K380" s="4"/>
      <c r="L380" s="4"/>
      <c r="M380" s="4"/>
      <c r="N380" s="4"/>
      <c r="O380" s="4"/>
      <c r="P380" s="4"/>
      <c r="Q380" s="4"/>
      <c r="R380" s="12"/>
      <c r="S380" s="12"/>
      <c r="T380" s="12"/>
      <c r="U380" s="12"/>
      <c r="V380" s="12"/>
      <c r="W380" s="12"/>
      <c r="X380" s="12"/>
      <c r="Y380" s="12"/>
      <c r="Z380" s="12"/>
      <c r="AA380" s="12"/>
      <c r="AB380" s="12"/>
      <c r="AC380" s="12"/>
      <c r="AD380" s="12"/>
    </row>
    <row r="381" spans="1:30" ht="13.5" customHeight="1">
      <c r="A381" s="4"/>
      <c r="B381" s="4"/>
      <c r="C381" s="4"/>
      <c r="D381" s="4"/>
      <c r="E381" s="4"/>
      <c r="F381" s="4"/>
      <c r="G381" s="4"/>
      <c r="H381" s="4"/>
      <c r="I381" s="4"/>
      <c r="J381" s="4"/>
      <c r="K381" s="4"/>
      <c r="L381" s="4"/>
      <c r="M381" s="4"/>
      <c r="N381" s="4"/>
      <c r="O381" s="4"/>
      <c r="P381" s="4"/>
      <c r="Q381" s="4"/>
      <c r="R381" s="12"/>
      <c r="S381" s="12"/>
      <c r="T381" s="12"/>
      <c r="U381" s="12"/>
      <c r="V381" s="12"/>
      <c r="W381" s="12"/>
      <c r="X381" s="12"/>
      <c r="Y381" s="12"/>
      <c r="Z381" s="12"/>
      <c r="AA381" s="12"/>
      <c r="AB381" s="12"/>
      <c r="AC381" s="12"/>
      <c r="AD381" s="12"/>
    </row>
    <row r="382" spans="1:30" ht="13.5" customHeight="1">
      <c r="A382" s="4"/>
      <c r="B382" s="4"/>
      <c r="C382" s="4"/>
      <c r="D382" s="4"/>
      <c r="E382" s="4"/>
      <c r="F382" s="4"/>
      <c r="G382" s="4"/>
      <c r="H382" s="4"/>
      <c r="I382" s="4"/>
      <c r="J382" s="4"/>
      <c r="K382" s="4"/>
      <c r="L382" s="4"/>
      <c r="M382" s="4"/>
      <c r="N382" s="4"/>
      <c r="O382" s="4"/>
      <c r="P382" s="4"/>
      <c r="Q382" s="4"/>
      <c r="R382" s="12"/>
      <c r="S382" s="12"/>
      <c r="T382" s="12"/>
      <c r="U382" s="12"/>
      <c r="V382" s="12"/>
      <c r="W382" s="12"/>
      <c r="X382" s="12"/>
      <c r="Y382" s="12"/>
      <c r="Z382" s="12"/>
      <c r="AA382" s="12"/>
      <c r="AB382" s="12"/>
      <c r="AC382" s="12"/>
      <c r="AD382" s="12"/>
    </row>
    <row r="383" spans="1:30" ht="13.5" customHeight="1">
      <c r="A383" s="4"/>
      <c r="B383" s="4"/>
      <c r="C383" s="4"/>
      <c r="D383" s="4"/>
      <c r="E383" s="4"/>
      <c r="F383" s="4"/>
      <c r="G383" s="4"/>
      <c r="H383" s="4"/>
      <c r="I383" s="4"/>
      <c r="J383" s="4"/>
      <c r="K383" s="4"/>
      <c r="L383" s="4"/>
      <c r="M383" s="4"/>
      <c r="N383" s="4"/>
      <c r="O383" s="4"/>
      <c r="P383" s="4"/>
      <c r="Q383" s="4"/>
      <c r="R383" s="12"/>
      <c r="S383" s="12"/>
      <c r="T383" s="12"/>
      <c r="U383" s="12"/>
      <c r="V383" s="12"/>
      <c r="W383" s="12"/>
      <c r="X383" s="12"/>
      <c r="Y383" s="12"/>
      <c r="Z383" s="12"/>
      <c r="AA383" s="12"/>
      <c r="AB383" s="12"/>
      <c r="AC383" s="12"/>
      <c r="AD383" s="12"/>
    </row>
    <row r="384" spans="1:30" ht="13.5" customHeight="1">
      <c r="A384" s="4"/>
      <c r="B384" s="4"/>
      <c r="C384" s="4"/>
      <c r="D384" s="4"/>
      <c r="E384" s="4"/>
      <c r="F384" s="4"/>
      <c r="G384" s="4"/>
      <c r="H384" s="4"/>
      <c r="I384" s="4"/>
      <c r="J384" s="4"/>
      <c r="K384" s="4"/>
      <c r="L384" s="4"/>
      <c r="M384" s="4"/>
      <c r="N384" s="4"/>
      <c r="O384" s="4"/>
      <c r="P384" s="4"/>
      <c r="Q384" s="4"/>
      <c r="R384" s="12"/>
      <c r="S384" s="12"/>
      <c r="T384" s="12"/>
      <c r="U384" s="12"/>
      <c r="V384" s="12"/>
      <c r="W384" s="12"/>
      <c r="X384" s="12"/>
      <c r="Y384" s="12"/>
      <c r="Z384" s="12"/>
      <c r="AA384" s="12"/>
      <c r="AB384" s="12"/>
      <c r="AC384" s="12"/>
      <c r="AD384" s="12"/>
    </row>
    <row r="385" spans="1:30" ht="13.5" customHeight="1">
      <c r="A385" s="4"/>
      <c r="B385" s="4"/>
      <c r="C385" s="4"/>
      <c r="D385" s="4"/>
      <c r="E385" s="4"/>
      <c r="F385" s="4"/>
      <c r="G385" s="4"/>
      <c r="H385" s="4"/>
      <c r="I385" s="4"/>
      <c r="J385" s="4"/>
      <c r="K385" s="4"/>
      <c r="L385" s="4"/>
      <c r="M385" s="4"/>
      <c r="N385" s="4"/>
      <c r="O385" s="4"/>
      <c r="P385" s="4"/>
      <c r="Q385" s="4"/>
      <c r="R385" s="12"/>
      <c r="S385" s="12"/>
      <c r="T385" s="12"/>
      <c r="U385" s="12"/>
      <c r="V385" s="12"/>
      <c r="W385" s="12"/>
      <c r="X385" s="12"/>
      <c r="Y385" s="12"/>
      <c r="Z385" s="12"/>
      <c r="AA385" s="12"/>
      <c r="AB385" s="12"/>
      <c r="AC385" s="12"/>
      <c r="AD385" s="12"/>
    </row>
    <row r="386" spans="1:30" ht="13.5" customHeight="1">
      <c r="A386" s="4"/>
      <c r="B386" s="4"/>
      <c r="C386" s="4"/>
      <c r="D386" s="4"/>
      <c r="E386" s="4"/>
      <c r="F386" s="4"/>
      <c r="G386" s="4"/>
      <c r="H386" s="4"/>
      <c r="I386" s="4"/>
      <c r="J386" s="4"/>
      <c r="K386" s="4"/>
      <c r="L386" s="4"/>
      <c r="M386" s="4"/>
      <c r="N386" s="4"/>
      <c r="O386" s="4"/>
      <c r="P386" s="4"/>
      <c r="Q386" s="4"/>
      <c r="R386" s="12"/>
      <c r="S386" s="12"/>
      <c r="T386" s="12"/>
      <c r="U386" s="12"/>
      <c r="V386" s="12"/>
      <c r="W386" s="12"/>
      <c r="X386" s="12"/>
      <c r="Y386" s="12"/>
      <c r="Z386" s="12"/>
      <c r="AA386" s="12"/>
      <c r="AB386" s="12"/>
      <c r="AC386" s="12"/>
      <c r="AD386" s="12"/>
    </row>
    <row r="387" spans="1:30" ht="13.5" customHeight="1">
      <c r="A387" s="4"/>
      <c r="B387" s="4"/>
      <c r="C387" s="4"/>
      <c r="D387" s="4"/>
      <c r="E387" s="4"/>
      <c r="F387" s="4"/>
      <c r="G387" s="4"/>
      <c r="H387" s="4"/>
      <c r="I387" s="4"/>
      <c r="J387" s="4"/>
      <c r="K387" s="4"/>
      <c r="L387" s="4"/>
      <c r="M387" s="4"/>
      <c r="N387" s="4"/>
      <c r="O387" s="4"/>
      <c r="P387" s="4"/>
      <c r="Q387" s="4"/>
      <c r="R387" s="12"/>
      <c r="S387" s="12"/>
      <c r="T387" s="12"/>
      <c r="U387" s="12"/>
      <c r="V387" s="12"/>
      <c r="W387" s="12"/>
      <c r="X387" s="12"/>
      <c r="Y387" s="12"/>
      <c r="Z387" s="12"/>
      <c r="AA387" s="12"/>
      <c r="AB387" s="12"/>
      <c r="AC387" s="12"/>
      <c r="AD387" s="12"/>
    </row>
    <row r="388" spans="1:30" ht="13.5" customHeight="1">
      <c r="A388" s="4"/>
      <c r="B388" s="4"/>
      <c r="C388" s="4"/>
      <c r="D388" s="4"/>
      <c r="E388" s="4"/>
      <c r="F388" s="4"/>
      <c r="G388" s="4"/>
      <c r="H388" s="4"/>
      <c r="I388" s="4"/>
      <c r="J388" s="4"/>
      <c r="K388" s="4"/>
      <c r="L388" s="4"/>
      <c r="M388" s="4"/>
      <c r="N388" s="4"/>
      <c r="O388" s="4"/>
      <c r="P388" s="4"/>
      <c r="Q388" s="4"/>
      <c r="R388" s="12"/>
      <c r="S388" s="12"/>
      <c r="T388" s="12"/>
      <c r="U388" s="12"/>
      <c r="V388" s="12"/>
      <c r="W388" s="12"/>
      <c r="X388" s="12"/>
      <c r="Y388" s="12"/>
      <c r="Z388" s="12"/>
      <c r="AA388" s="12"/>
      <c r="AB388" s="12"/>
      <c r="AC388" s="12"/>
      <c r="AD388" s="12"/>
    </row>
    <row r="389" spans="1:30" ht="13.5" customHeight="1">
      <c r="A389" s="4"/>
      <c r="B389" s="4"/>
      <c r="C389" s="4"/>
      <c r="D389" s="4"/>
      <c r="E389" s="4"/>
      <c r="F389" s="4"/>
      <c r="G389" s="4"/>
      <c r="H389" s="4"/>
      <c r="I389" s="4"/>
      <c r="J389" s="4"/>
      <c r="K389" s="4"/>
      <c r="L389" s="4"/>
      <c r="M389" s="4"/>
      <c r="N389" s="4"/>
      <c r="O389" s="4"/>
      <c r="P389" s="4"/>
      <c r="Q389" s="4"/>
      <c r="R389" s="12"/>
      <c r="S389" s="12"/>
      <c r="T389" s="12"/>
      <c r="U389" s="12"/>
      <c r="V389" s="12"/>
      <c r="W389" s="12"/>
      <c r="X389" s="12"/>
      <c r="Y389" s="12"/>
      <c r="Z389" s="12"/>
      <c r="AA389" s="12"/>
      <c r="AB389" s="12"/>
      <c r="AC389" s="12"/>
      <c r="AD389" s="12"/>
    </row>
    <row r="390" spans="1:30" ht="13.5" customHeight="1">
      <c r="A390" s="4"/>
      <c r="B390" s="4"/>
      <c r="C390" s="4"/>
      <c r="D390" s="4"/>
      <c r="E390" s="4"/>
      <c r="F390" s="4"/>
      <c r="G390" s="4"/>
      <c r="H390" s="4"/>
      <c r="I390" s="4"/>
      <c r="J390" s="4"/>
      <c r="K390" s="4"/>
      <c r="L390" s="4"/>
      <c r="M390" s="4"/>
      <c r="N390" s="4"/>
      <c r="O390" s="4"/>
      <c r="P390" s="4"/>
      <c r="Q390" s="4"/>
      <c r="R390" s="12"/>
      <c r="S390" s="12"/>
      <c r="T390" s="12"/>
      <c r="U390" s="12"/>
      <c r="V390" s="12"/>
      <c r="W390" s="12"/>
      <c r="X390" s="12"/>
      <c r="Y390" s="12"/>
      <c r="Z390" s="12"/>
      <c r="AA390" s="12"/>
      <c r="AB390" s="12"/>
      <c r="AC390" s="12"/>
      <c r="AD390" s="12"/>
    </row>
    <row r="391" spans="1:30" ht="13.5" customHeight="1">
      <c r="A391" s="4"/>
      <c r="B391" s="4"/>
      <c r="C391" s="4"/>
      <c r="D391" s="4"/>
      <c r="E391" s="4"/>
      <c r="F391" s="4"/>
      <c r="G391" s="4"/>
      <c r="H391" s="4"/>
      <c r="I391" s="4"/>
      <c r="J391" s="4"/>
      <c r="K391" s="4"/>
      <c r="L391" s="4"/>
      <c r="M391" s="4"/>
      <c r="N391" s="4"/>
      <c r="O391" s="4"/>
      <c r="P391" s="4"/>
      <c r="Q391" s="4"/>
      <c r="R391" s="12"/>
      <c r="S391" s="12"/>
      <c r="T391" s="12"/>
      <c r="U391" s="12"/>
      <c r="V391" s="12"/>
      <c r="W391" s="12"/>
      <c r="X391" s="12"/>
      <c r="Y391" s="12"/>
      <c r="Z391" s="12"/>
      <c r="AA391" s="12"/>
      <c r="AB391" s="12"/>
      <c r="AC391" s="12"/>
      <c r="AD391" s="12"/>
    </row>
    <row r="392" spans="1:30" ht="13.5" customHeight="1">
      <c r="A392" s="4"/>
      <c r="B392" s="4"/>
      <c r="C392" s="4"/>
      <c r="D392" s="4"/>
      <c r="E392" s="4"/>
      <c r="F392" s="4"/>
      <c r="G392" s="4"/>
      <c r="H392" s="4"/>
      <c r="I392" s="4"/>
      <c r="J392" s="4"/>
      <c r="K392" s="4"/>
      <c r="L392" s="4"/>
      <c r="M392" s="4"/>
      <c r="N392" s="4"/>
      <c r="O392" s="4"/>
      <c r="P392" s="4"/>
      <c r="Q392" s="4"/>
      <c r="R392" s="12"/>
      <c r="S392" s="12"/>
      <c r="T392" s="12"/>
      <c r="U392" s="12"/>
      <c r="V392" s="12"/>
      <c r="W392" s="12"/>
      <c r="X392" s="12"/>
      <c r="Y392" s="12"/>
      <c r="Z392" s="12"/>
      <c r="AA392" s="12"/>
      <c r="AB392" s="12"/>
      <c r="AC392" s="12"/>
      <c r="AD392" s="12"/>
    </row>
    <row r="393" spans="1:30" ht="13.5" customHeight="1">
      <c r="A393" s="4"/>
      <c r="B393" s="4"/>
      <c r="C393" s="4"/>
      <c r="D393" s="4"/>
      <c r="E393" s="4"/>
      <c r="F393" s="4"/>
      <c r="G393" s="4"/>
      <c r="H393" s="4"/>
      <c r="I393" s="4"/>
      <c r="J393" s="4"/>
      <c r="K393" s="4"/>
      <c r="L393" s="4"/>
      <c r="M393" s="4"/>
      <c r="N393" s="4"/>
      <c r="O393" s="4"/>
      <c r="P393" s="4"/>
      <c r="Q393" s="4"/>
      <c r="R393" s="12"/>
      <c r="S393" s="12"/>
      <c r="T393" s="12"/>
      <c r="U393" s="12"/>
      <c r="V393" s="12"/>
      <c r="W393" s="12"/>
      <c r="X393" s="12"/>
      <c r="Y393" s="12"/>
      <c r="Z393" s="12"/>
      <c r="AA393" s="12"/>
      <c r="AB393" s="12"/>
      <c r="AC393" s="12"/>
      <c r="AD393" s="12"/>
    </row>
    <row r="394" spans="1:30" ht="13.5" customHeight="1">
      <c r="A394" s="4"/>
      <c r="B394" s="4"/>
      <c r="C394" s="4"/>
      <c r="D394" s="4"/>
      <c r="E394" s="4"/>
      <c r="F394" s="4"/>
      <c r="G394" s="4"/>
      <c r="H394" s="4"/>
      <c r="I394" s="4"/>
      <c r="J394" s="4"/>
      <c r="K394" s="4"/>
      <c r="L394" s="4"/>
      <c r="M394" s="4"/>
      <c r="N394" s="4"/>
      <c r="O394" s="4"/>
      <c r="P394" s="4"/>
      <c r="Q394" s="4"/>
      <c r="R394" s="12"/>
      <c r="S394" s="12"/>
      <c r="T394" s="12"/>
      <c r="U394" s="12"/>
      <c r="V394" s="12"/>
      <c r="W394" s="12"/>
      <c r="X394" s="12"/>
      <c r="Y394" s="12"/>
      <c r="Z394" s="12"/>
      <c r="AA394" s="12"/>
      <c r="AB394" s="12"/>
      <c r="AC394" s="12"/>
      <c r="AD394" s="12"/>
    </row>
    <row r="395" spans="1:30" ht="13.5" customHeight="1">
      <c r="A395" s="4"/>
      <c r="B395" s="4"/>
      <c r="C395" s="4"/>
      <c r="D395" s="4"/>
      <c r="E395" s="4"/>
      <c r="F395" s="4"/>
      <c r="G395" s="4"/>
      <c r="H395" s="4"/>
      <c r="I395" s="4"/>
      <c r="J395" s="4"/>
      <c r="K395" s="4"/>
      <c r="L395" s="4"/>
      <c r="M395" s="4"/>
      <c r="N395" s="4"/>
      <c r="O395" s="4"/>
      <c r="P395" s="4"/>
      <c r="Q395" s="4"/>
      <c r="R395" s="12"/>
      <c r="S395" s="12"/>
      <c r="T395" s="12"/>
      <c r="U395" s="12"/>
      <c r="V395" s="12"/>
      <c r="W395" s="12"/>
      <c r="X395" s="12"/>
      <c r="Y395" s="12"/>
      <c r="Z395" s="12"/>
      <c r="AA395" s="12"/>
      <c r="AB395" s="12"/>
      <c r="AC395" s="12"/>
      <c r="AD395" s="12"/>
    </row>
    <row r="396" spans="1:30" ht="13.5" customHeight="1">
      <c r="A396" s="4"/>
      <c r="B396" s="4"/>
      <c r="C396" s="4"/>
      <c r="D396" s="4"/>
      <c r="E396" s="4"/>
      <c r="F396" s="4"/>
      <c r="G396" s="4"/>
      <c r="H396" s="4"/>
      <c r="I396" s="4"/>
      <c r="J396" s="4"/>
      <c r="K396" s="4"/>
      <c r="L396" s="4"/>
      <c r="M396" s="4"/>
      <c r="N396" s="4"/>
      <c r="O396" s="4"/>
      <c r="P396" s="4"/>
      <c r="Q396" s="4"/>
      <c r="R396" s="12"/>
      <c r="S396" s="12"/>
      <c r="T396" s="12"/>
      <c r="U396" s="12"/>
      <c r="V396" s="12"/>
      <c r="W396" s="12"/>
      <c r="X396" s="12"/>
      <c r="Y396" s="12"/>
      <c r="Z396" s="12"/>
      <c r="AA396" s="12"/>
      <c r="AB396" s="12"/>
      <c r="AC396" s="12"/>
      <c r="AD396" s="12"/>
    </row>
    <row r="397" spans="1:30" ht="13.5" customHeight="1">
      <c r="A397" s="4"/>
      <c r="B397" s="4"/>
      <c r="C397" s="4"/>
      <c r="D397" s="4"/>
      <c r="E397" s="4"/>
      <c r="F397" s="4"/>
      <c r="G397" s="4"/>
      <c r="H397" s="4"/>
      <c r="I397" s="4"/>
      <c r="J397" s="4"/>
      <c r="K397" s="4"/>
      <c r="L397" s="4"/>
      <c r="M397" s="4"/>
      <c r="N397" s="4"/>
      <c r="O397" s="4"/>
      <c r="P397" s="4"/>
      <c r="Q397" s="4"/>
      <c r="R397" s="12"/>
      <c r="S397" s="12"/>
      <c r="T397" s="12"/>
      <c r="U397" s="12"/>
      <c r="V397" s="12"/>
      <c r="W397" s="12"/>
      <c r="X397" s="12"/>
      <c r="Y397" s="12"/>
      <c r="Z397" s="12"/>
      <c r="AA397" s="12"/>
      <c r="AB397" s="12"/>
      <c r="AC397" s="12"/>
      <c r="AD397" s="12"/>
    </row>
    <row r="398" spans="1:30" ht="13.5" customHeight="1">
      <c r="A398" s="4"/>
      <c r="B398" s="4"/>
      <c r="C398" s="4"/>
      <c r="D398" s="4"/>
      <c r="E398" s="4"/>
      <c r="F398" s="4"/>
      <c r="G398" s="4"/>
      <c r="H398" s="4"/>
      <c r="I398" s="4"/>
      <c r="J398" s="4"/>
      <c r="K398" s="4"/>
      <c r="L398" s="4"/>
      <c r="M398" s="4"/>
      <c r="N398" s="4"/>
      <c r="O398" s="4"/>
      <c r="P398" s="4"/>
      <c r="Q398" s="4"/>
      <c r="R398" s="12"/>
      <c r="S398" s="12"/>
      <c r="T398" s="12"/>
      <c r="U398" s="12"/>
      <c r="V398" s="12"/>
      <c r="W398" s="12"/>
      <c r="X398" s="12"/>
      <c r="Y398" s="12"/>
      <c r="Z398" s="12"/>
      <c r="AA398" s="12"/>
      <c r="AB398" s="12"/>
      <c r="AC398" s="12"/>
      <c r="AD398" s="12"/>
    </row>
    <row r="399" spans="1:30" ht="13.5" customHeight="1">
      <c r="A399" s="4"/>
      <c r="B399" s="4"/>
      <c r="C399" s="4"/>
      <c r="D399" s="4"/>
      <c r="E399" s="4"/>
      <c r="F399" s="4"/>
      <c r="G399" s="4"/>
      <c r="H399" s="4"/>
      <c r="I399" s="4"/>
      <c r="J399" s="4"/>
      <c r="K399" s="4"/>
      <c r="L399" s="4"/>
      <c r="M399" s="4"/>
      <c r="N399" s="4"/>
      <c r="O399" s="4"/>
      <c r="P399" s="4"/>
      <c r="Q399" s="4"/>
      <c r="R399" s="12"/>
      <c r="S399" s="12"/>
      <c r="T399" s="12"/>
      <c r="U399" s="12"/>
      <c r="V399" s="12"/>
      <c r="W399" s="12"/>
      <c r="X399" s="12"/>
      <c r="Y399" s="12"/>
      <c r="Z399" s="12"/>
      <c r="AA399" s="12"/>
      <c r="AB399" s="12"/>
      <c r="AC399" s="12"/>
      <c r="AD399" s="12"/>
    </row>
    <row r="400" spans="1:30" ht="13.5" customHeight="1">
      <c r="A400" s="4"/>
      <c r="B400" s="4"/>
      <c r="C400" s="4"/>
      <c r="D400" s="4"/>
      <c r="E400" s="4"/>
      <c r="F400" s="4"/>
      <c r="G400" s="4"/>
      <c r="H400" s="4"/>
      <c r="I400" s="4"/>
      <c r="J400" s="4"/>
      <c r="K400" s="4"/>
      <c r="L400" s="4"/>
      <c r="M400" s="4"/>
      <c r="N400" s="4"/>
      <c r="O400" s="4"/>
      <c r="P400" s="4"/>
      <c r="Q400" s="4"/>
      <c r="R400" s="12"/>
      <c r="S400" s="12"/>
      <c r="T400" s="12"/>
      <c r="U400" s="12"/>
      <c r="V400" s="12"/>
      <c r="W400" s="12"/>
      <c r="X400" s="12"/>
      <c r="Y400" s="12"/>
      <c r="Z400" s="12"/>
      <c r="AA400" s="12"/>
      <c r="AB400" s="12"/>
      <c r="AC400" s="12"/>
      <c r="AD400" s="12"/>
    </row>
    <row r="401" spans="1:30" ht="13.5" customHeight="1">
      <c r="A401" s="4"/>
      <c r="B401" s="4"/>
      <c r="C401" s="4"/>
      <c r="D401" s="4"/>
      <c r="E401" s="4"/>
      <c r="F401" s="4"/>
      <c r="G401" s="4"/>
      <c r="H401" s="4"/>
      <c r="I401" s="4"/>
      <c r="J401" s="4"/>
      <c r="K401" s="4"/>
      <c r="L401" s="4"/>
      <c r="M401" s="4"/>
      <c r="N401" s="4"/>
      <c r="O401" s="4"/>
      <c r="P401" s="4"/>
      <c r="Q401" s="4"/>
      <c r="R401" s="12"/>
      <c r="S401" s="12"/>
      <c r="T401" s="12"/>
      <c r="U401" s="12"/>
      <c r="V401" s="12"/>
      <c r="W401" s="12"/>
      <c r="X401" s="12"/>
      <c r="Y401" s="12"/>
      <c r="Z401" s="12"/>
      <c r="AA401" s="12"/>
      <c r="AB401" s="12"/>
      <c r="AC401" s="12"/>
      <c r="AD401" s="12"/>
    </row>
    <row r="402" spans="1:30" ht="13.5" customHeight="1">
      <c r="A402" s="4"/>
      <c r="B402" s="4"/>
      <c r="C402" s="4"/>
      <c r="D402" s="4"/>
      <c r="E402" s="4"/>
      <c r="F402" s="4"/>
      <c r="G402" s="4"/>
      <c r="H402" s="4"/>
      <c r="I402" s="4"/>
      <c r="J402" s="4"/>
      <c r="K402" s="4"/>
      <c r="L402" s="4"/>
      <c r="M402" s="4"/>
      <c r="N402" s="4"/>
      <c r="O402" s="4"/>
      <c r="P402" s="4"/>
      <c r="Q402" s="4"/>
      <c r="R402" s="12"/>
      <c r="S402" s="12"/>
      <c r="T402" s="12"/>
      <c r="U402" s="12"/>
      <c r="V402" s="12"/>
      <c r="W402" s="12"/>
      <c r="X402" s="12"/>
      <c r="Y402" s="12"/>
      <c r="Z402" s="12"/>
      <c r="AA402" s="12"/>
      <c r="AB402" s="12"/>
      <c r="AC402" s="12"/>
      <c r="AD402" s="12"/>
    </row>
    <row r="403" spans="1:30" ht="13.5" customHeight="1">
      <c r="A403" s="4"/>
      <c r="B403" s="4"/>
      <c r="C403" s="4"/>
      <c r="D403" s="4"/>
      <c r="E403" s="4"/>
      <c r="F403" s="4"/>
      <c r="G403" s="4"/>
      <c r="H403" s="4"/>
      <c r="I403" s="4"/>
      <c r="J403" s="4"/>
      <c r="K403" s="4"/>
      <c r="L403" s="4"/>
      <c r="M403" s="4"/>
      <c r="N403" s="4"/>
      <c r="O403" s="4"/>
      <c r="P403" s="4"/>
      <c r="Q403" s="4"/>
      <c r="R403" s="12"/>
      <c r="S403" s="12"/>
      <c r="T403" s="12"/>
      <c r="U403" s="12"/>
      <c r="V403" s="12"/>
      <c r="W403" s="12"/>
      <c r="X403" s="12"/>
      <c r="Y403" s="12"/>
      <c r="Z403" s="12"/>
      <c r="AA403" s="12"/>
      <c r="AB403" s="12"/>
      <c r="AC403" s="12"/>
      <c r="AD403" s="12"/>
    </row>
    <row r="404" spans="1:30" ht="13.5" customHeight="1">
      <c r="A404" s="4"/>
      <c r="B404" s="4"/>
      <c r="C404" s="4"/>
      <c r="D404" s="4"/>
      <c r="E404" s="4"/>
      <c r="F404" s="4"/>
      <c r="G404" s="4"/>
      <c r="H404" s="4"/>
      <c r="I404" s="4"/>
      <c r="J404" s="4"/>
      <c r="K404" s="4"/>
      <c r="L404" s="4"/>
      <c r="M404" s="4"/>
      <c r="N404" s="4"/>
      <c r="O404" s="4"/>
      <c r="P404" s="4"/>
      <c r="Q404" s="4"/>
      <c r="R404" s="12"/>
      <c r="S404" s="12"/>
      <c r="T404" s="12"/>
      <c r="U404" s="12"/>
      <c r="V404" s="12"/>
      <c r="W404" s="12"/>
      <c r="X404" s="12"/>
      <c r="Y404" s="12"/>
      <c r="Z404" s="12"/>
      <c r="AA404" s="12"/>
      <c r="AB404" s="12"/>
      <c r="AC404" s="12"/>
      <c r="AD404" s="12"/>
    </row>
    <row r="405" spans="1:30" ht="13.5" customHeight="1">
      <c r="A405" s="4"/>
      <c r="B405" s="4"/>
      <c r="C405" s="4"/>
      <c r="D405" s="4"/>
      <c r="E405" s="4"/>
      <c r="F405" s="4"/>
      <c r="G405" s="4"/>
      <c r="H405" s="4"/>
      <c r="I405" s="4"/>
      <c r="J405" s="4"/>
      <c r="K405" s="4"/>
      <c r="L405" s="4"/>
      <c r="M405" s="4"/>
      <c r="N405" s="4"/>
      <c r="O405" s="4"/>
      <c r="P405" s="4"/>
      <c r="Q405" s="4"/>
      <c r="R405" s="12"/>
      <c r="S405" s="12"/>
      <c r="T405" s="12"/>
      <c r="U405" s="12"/>
      <c r="V405" s="12"/>
      <c r="W405" s="12"/>
      <c r="X405" s="12"/>
      <c r="Y405" s="12"/>
      <c r="Z405" s="12"/>
      <c r="AA405" s="12"/>
      <c r="AB405" s="12"/>
      <c r="AC405" s="12"/>
      <c r="AD405" s="12"/>
    </row>
    <row r="406" spans="1:30" ht="13.5" customHeight="1">
      <c r="A406" s="4"/>
      <c r="B406" s="4"/>
      <c r="C406" s="4"/>
      <c r="D406" s="4"/>
      <c r="E406" s="4"/>
      <c r="F406" s="4"/>
      <c r="G406" s="4"/>
      <c r="H406" s="4"/>
      <c r="I406" s="4"/>
      <c r="J406" s="4"/>
      <c r="K406" s="4"/>
      <c r="L406" s="4"/>
      <c r="M406" s="4"/>
      <c r="N406" s="4"/>
      <c r="O406" s="4"/>
      <c r="P406" s="4"/>
      <c r="Q406" s="4"/>
      <c r="R406" s="12"/>
      <c r="S406" s="12"/>
      <c r="T406" s="12"/>
      <c r="U406" s="12"/>
      <c r="V406" s="12"/>
      <c r="W406" s="12"/>
      <c r="X406" s="12"/>
      <c r="Y406" s="12"/>
      <c r="Z406" s="12"/>
      <c r="AA406" s="12"/>
      <c r="AB406" s="12"/>
      <c r="AC406" s="12"/>
      <c r="AD406" s="12"/>
    </row>
    <row r="407" spans="1:30" ht="13.5" customHeight="1">
      <c r="A407" s="4"/>
      <c r="B407" s="4"/>
      <c r="C407" s="4"/>
      <c r="D407" s="4"/>
      <c r="E407" s="4"/>
      <c r="F407" s="4"/>
      <c r="G407" s="4"/>
      <c r="H407" s="4"/>
      <c r="I407" s="4"/>
      <c r="J407" s="4"/>
      <c r="K407" s="4"/>
      <c r="L407" s="4"/>
      <c r="M407" s="4"/>
      <c r="N407" s="4"/>
      <c r="O407" s="4"/>
      <c r="P407" s="4"/>
      <c r="Q407" s="4"/>
      <c r="R407" s="12"/>
      <c r="S407" s="12"/>
      <c r="T407" s="12"/>
      <c r="U407" s="12"/>
      <c r="V407" s="12"/>
      <c r="W407" s="12"/>
      <c r="X407" s="12"/>
      <c r="Y407" s="12"/>
      <c r="Z407" s="12"/>
      <c r="AA407" s="12"/>
      <c r="AB407" s="12"/>
      <c r="AC407" s="12"/>
      <c r="AD407" s="12"/>
    </row>
    <row r="408" spans="1:30" ht="13.5" customHeight="1">
      <c r="A408" s="4"/>
      <c r="B408" s="4"/>
      <c r="C408" s="4"/>
      <c r="D408" s="4"/>
      <c r="E408" s="4"/>
      <c r="F408" s="4"/>
      <c r="G408" s="4"/>
      <c r="H408" s="4"/>
      <c r="I408" s="4"/>
      <c r="J408" s="4"/>
      <c r="K408" s="4"/>
      <c r="L408" s="4"/>
      <c r="M408" s="4"/>
      <c r="N408" s="4"/>
      <c r="O408" s="4"/>
      <c r="P408" s="4"/>
      <c r="Q408" s="4"/>
      <c r="R408" s="12"/>
      <c r="S408" s="12"/>
      <c r="T408" s="12"/>
      <c r="U408" s="12"/>
      <c r="V408" s="12"/>
      <c r="W408" s="12"/>
      <c r="X408" s="12"/>
      <c r="Y408" s="12"/>
      <c r="Z408" s="12"/>
      <c r="AA408" s="12"/>
      <c r="AB408" s="12"/>
      <c r="AC408" s="12"/>
      <c r="AD408" s="12"/>
    </row>
    <row r="409" spans="1:30" ht="13.5" customHeight="1">
      <c r="A409" s="4"/>
      <c r="B409" s="4"/>
      <c r="C409" s="4"/>
      <c r="D409" s="4"/>
      <c r="E409" s="4"/>
      <c r="F409" s="4"/>
      <c r="G409" s="4"/>
      <c r="H409" s="4"/>
      <c r="I409" s="4"/>
      <c r="J409" s="4"/>
      <c r="K409" s="4"/>
      <c r="L409" s="4"/>
      <c r="M409" s="4"/>
      <c r="N409" s="4"/>
      <c r="O409" s="4"/>
      <c r="P409" s="4"/>
      <c r="Q409" s="4"/>
      <c r="R409" s="12"/>
      <c r="S409" s="12"/>
      <c r="T409" s="12"/>
      <c r="U409" s="12"/>
      <c r="V409" s="12"/>
      <c r="W409" s="12"/>
      <c r="X409" s="12"/>
      <c r="Y409" s="12"/>
      <c r="Z409" s="12"/>
      <c r="AA409" s="12"/>
      <c r="AB409" s="12"/>
      <c r="AC409" s="12"/>
      <c r="AD409" s="12"/>
    </row>
    <row r="410" spans="1:30" ht="13.5" customHeight="1">
      <c r="A410" s="4"/>
      <c r="B410" s="4"/>
      <c r="C410" s="4"/>
      <c r="D410" s="4"/>
      <c r="E410" s="4"/>
      <c r="F410" s="4"/>
      <c r="G410" s="4"/>
      <c r="H410" s="4"/>
      <c r="I410" s="4"/>
      <c r="J410" s="4"/>
      <c r="K410" s="4"/>
      <c r="L410" s="4"/>
      <c r="M410" s="4"/>
      <c r="N410" s="4"/>
      <c r="O410" s="4"/>
      <c r="P410" s="4"/>
      <c r="Q410" s="4"/>
      <c r="R410" s="12"/>
      <c r="S410" s="12"/>
      <c r="T410" s="12"/>
      <c r="U410" s="12"/>
      <c r="V410" s="12"/>
      <c r="W410" s="12"/>
      <c r="X410" s="12"/>
      <c r="Y410" s="12"/>
      <c r="Z410" s="12"/>
      <c r="AA410" s="12"/>
      <c r="AB410" s="12"/>
      <c r="AC410" s="12"/>
      <c r="AD410" s="12"/>
    </row>
    <row r="411" spans="1:30" ht="13.5" customHeight="1">
      <c r="A411" s="4"/>
      <c r="B411" s="4"/>
      <c r="C411" s="4"/>
      <c r="D411" s="4"/>
      <c r="E411" s="4"/>
      <c r="F411" s="4"/>
      <c r="G411" s="4"/>
      <c r="H411" s="4"/>
      <c r="I411" s="4"/>
      <c r="J411" s="4"/>
      <c r="K411" s="4"/>
      <c r="L411" s="4"/>
      <c r="M411" s="4"/>
      <c r="N411" s="4"/>
      <c r="O411" s="4"/>
      <c r="P411" s="4"/>
      <c r="Q411" s="4"/>
      <c r="R411" s="12"/>
      <c r="S411" s="12"/>
      <c r="T411" s="12"/>
      <c r="U411" s="12"/>
      <c r="V411" s="12"/>
      <c r="W411" s="12"/>
      <c r="X411" s="12"/>
      <c r="Y411" s="12"/>
      <c r="Z411" s="12"/>
      <c r="AA411" s="12"/>
      <c r="AB411" s="12"/>
      <c r="AC411" s="12"/>
      <c r="AD411" s="12"/>
    </row>
    <row r="412" spans="1:30" ht="13.5" customHeight="1">
      <c r="A412" s="4"/>
      <c r="B412" s="4"/>
      <c r="C412" s="4"/>
      <c r="D412" s="4"/>
      <c r="E412" s="4"/>
      <c r="F412" s="4"/>
      <c r="G412" s="4"/>
      <c r="H412" s="4"/>
      <c r="I412" s="4"/>
      <c r="J412" s="4"/>
      <c r="K412" s="4"/>
      <c r="L412" s="4"/>
      <c r="M412" s="4"/>
      <c r="N412" s="4"/>
      <c r="O412" s="4"/>
      <c r="P412" s="4"/>
      <c r="Q412" s="4"/>
      <c r="R412" s="12"/>
      <c r="S412" s="12"/>
      <c r="T412" s="12"/>
      <c r="U412" s="12"/>
      <c r="V412" s="12"/>
      <c r="W412" s="12"/>
      <c r="X412" s="12"/>
      <c r="Y412" s="12"/>
      <c r="Z412" s="12"/>
      <c r="AA412" s="12"/>
      <c r="AB412" s="12"/>
      <c r="AC412" s="12"/>
      <c r="AD412" s="12"/>
    </row>
    <row r="413" spans="1:30" ht="13.5" customHeight="1">
      <c r="A413" s="4"/>
      <c r="B413" s="4"/>
      <c r="C413" s="4"/>
      <c r="D413" s="4"/>
      <c r="E413" s="4"/>
      <c r="F413" s="4"/>
      <c r="G413" s="4"/>
      <c r="H413" s="4"/>
      <c r="I413" s="4"/>
      <c r="J413" s="4"/>
      <c r="K413" s="4"/>
      <c r="L413" s="4"/>
      <c r="M413" s="4"/>
      <c r="N413" s="4"/>
      <c r="O413" s="4"/>
      <c r="P413" s="4"/>
      <c r="Q413" s="4"/>
      <c r="R413" s="12"/>
      <c r="S413" s="12"/>
      <c r="T413" s="12"/>
      <c r="U413" s="12"/>
      <c r="V413" s="12"/>
      <c r="W413" s="12"/>
      <c r="X413" s="12"/>
      <c r="Y413" s="12"/>
      <c r="Z413" s="12"/>
      <c r="AA413" s="12"/>
      <c r="AB413" s="12"/>
      <c r="AC413" s="12"/>
      <c r="AD413" s="12"/>
    </row>
    <row r="414" spans="1:30" ht="13.5" customHeight="1">
      <c r="A414" s="4"/>
      <c r="B414" s="4"/>
      <c r="C414" s="4"/>
      <c r="D414" s="4"/>
      <c r="E414" s="4"/>
      <c r="F414" s="4"/>
      <c r="G414" s="4"/>
      <c r="H414" s="4"/>
      <c r="I414" s="4"/>
      <c r="J414" s="4"/>
      <c r="K414" s="4"/>
      <c r="L414" s="4"/>
      <c r="M414" s="4"/>
      <c r="N414" s="4"/>
      <c r="O414" s="4"/>
      <c r="P414" s="4"/>
      <c r="Q414" s="4"/>
      <c r="R414" s="12"/>
      <c r="S414" s="12"/>
      <c r="T414" s="12"/>
      <c r="U414" s="12"/>
      <c r="V414" s="12"/>
      <c r="W414" s="12"/>
      <c r="X414" s="12"/>
      <c r="Y414" s="12"/>
      <c r="Z414" s="12"/>
      <c r="AA414" s="12"/>
      <c r="AB414" s="12"/>
      <c r="AC414" s="12"/>
      <c r="AD414" s="12"/>
    </row>
    <row r="415" spans="1:30" ht="13.5" customHeight="1">
      <c r="A415" s="4"/>
      <c r="B415" s="4"/>
      <c r="C415" s="4"/>
      <c r="D415" s="4"/>
      <c r="E415" s="4"/>
      <c r="F415" s="4"/>
      <c r="G415" s="4"/>
      <c r="H415" s="4"/>
      <c r="I415" s="4"/>
      <c r="J415" s="4"/>
      <c r="K415" s="4"/>
      <c r="L415" s="4"/>
      <c r="M415" s="4"/>
      <c r="N415" s="4"/>
      <c r="O415" s="4"/>
      <c r="P415" s="4"/>
      <c r="Q415" s="4"/>
      <c r="R415" s="12"/>
      <c r="S415" s="12"/>
      <c r="T415" s="12"/>
      <c r="U415" s="12"/>
      <c r="V415" s="12"/>
      <c r="W415" s="12"/>
      <c r="X415" s="12"/>
      <c r="Y415" s="12"/>
      <c r="Z415" s="12"/>
      <c r="AA415" s="12"/>
      <c r="AB415" s="12"/>
      <c r="AC415" s="12"/>
      <c r="AD415" s="12"/>
    </row>
    <row r="416" spans="1:30" ht="13.5" customHeight="1">
      <c r="A416" s="4"/>
      <c r="B416" s="4"/>
      <c r="C416" s="4"/>
      <c r="D416" s="4"/>
      <c r="E416" s="4"/>
      <c r="F416" s="4"/>
      <c r="G416" s="4"/>
      <c r="H416" s="4"/>
      <c r="I416" s="4"/>
      <c r="J416" s="4"/>
      <c r="K416" s="4"/>
      <c r="L416" s="4"/>
      <c r="M416" s="4"/>
      <c r="N416" s="4"/>
      <c r="O416" s="4"/>
      <c r="P416" s="4"/>
      <c r="Q416" s="4"/>
      <c r="R416" s="12"/>
      <c r="S416" s="12"/>
      <c r="T416" s="12"/>
      <c r="U416" s="12"/>
      <c r="V416" s="12"/>
      <c r="W416" s="12"/>
      <c r="X416" s="12"/>
      <c r="Y416" s="12"/>
      <c r="Z416" s="12"/>
      <c r="AA416" s="12"/>
      <c r="AB416" s="12"/>
      <c r="AC416" s="12"/>
      <c r="AD416" s="12"/>
    </row>
    <row r="417" spans="1:30" ht="13.5" customHeight="1">
      <c r="A417" s="4"/>
      <c r="B417" s="4"/>
      <c r="C417" s="4"/>
      <c r="D417" s="4"/>
      <c r="E417" s="4"/>
      <c r="F417" s="4"/>
      <c r="G417" s="4"/>
      <c r="H417" s="4"/>
      <c r="I417" s="4"/>
      <c r="J417" s="4"/>
      <c r="K417" s="4"/>
      <c r="L417" s="4"/>
      <c r="M417" s="4"/>
      <c r="N417" s="4"/>
      <c r="O417" s="4"/>
      <c r="P417" s="4"/>
      <c r="Q417" s="4"/>
      <c r="R417" s="12"/>
      <c r="S417" s="12"/>
      <c r="T417" s="12"/>
      <c r="U417" s="12"/>
      <c r="V417" s="12"/>
      <c r="W417" s="12"/>
      <c r="X417" s="12"/>
      <c r="Y417" s="12"/>
      <c r="Z417" s="12"/>
      <c r="AA417" s="12"/>
      <c r="AB417" s="12"/>
      <c r="AC417" s="12"/>
      <c r="AD417" s="12"/>
    </row>
    <row r="418" spans="1:30" ht="13.5" customHeight="1">
      <c r="A418" s="4"/>
      <c r="B418" s="4"/>
      <c r="C418" s="4"/>
      <c r="D418" s="4"/>
      <c r="E418" s="4"/>
      <c r="F418" s="4"/>
      <c r="G418" s="4"/>
      <c r="H418" s="4"/>
      <c r="I418" s="4"/>
      <c r="J418" s="4"/>
      <c r="K418" s="4"/>
      <c r="L418" s="4"/>
      <c r="M418" s="4"/>
      <c r="N418" s="4"/>
      <c r="O418" s="4"/>
      <c r="P418" s="4"/>
      <c r="Q418" s="4"/>
      <c r="R418" s="12"/>
      <c r="S418" s="12"/>
      <c r="T418" s="12"/>
      <c r="U418" s="12"/>
      <c r="V418" s="12"/>
      <c r="W418" s="12"/>
      <c r="X418" s="12"/>
      <c r="Y418" s="12"/>
      <c r="Z418" s="12"/>
      <c r="AA418" s="12"/>
      <c r="AB418" s="12"/>
      <c r="AC418" s="12"/>
      <c r="AD418" s="12"/>
    </row>
    <row r="419" spans="1:30" ht="13.5" customHeight="1">
      <c r="A419" s="4"/>
      <c r="B419" s="4"/>
      <c r="C419" s="4"/>
      <c r="D419" s="4"/>
      <c r="E419" s="4"/>
      <c r="F419" s="4"/>
      <c r="G419" s="4"/>
      <c r="H419" s="4"/>
      <c r="I419" s="4"/>
      <c r="J419" s="4"/>
      <c r="K419" s="4"/>
      <c r="L419" s="4"/>
      <c r="M419" s="4"/>
      <c r="N419" s="4"/>
      <c r="O419" s="4"/>
      <c r="P419" s="4"/>
      <c r="Q419" s="4"/>
      <c r="R419" s="12"/>
      <c r="S419" s="12"/>
      <c r="T419" s="12"/>
      <c r="U419" s="12"/>
      <c r="V419" s="12"/>
      <c r="W419" s="12"/>
      <c r="X419" s="12"/>
      <c r="Y419" s="12"/>
      <c r="Z419" s="12"/>
      <c r="AA419" s="12"/>
      <c r="AB419" s="12"/>
      <c r="AC419" s="12"/>
      <c r="AD419" s="12"/>
    </row>
    <row r="420" spans="1:30" ht="13.5" customHeight="1">
      <c r="A420" s="4"/>
      <c r="B420" s="4"/>
      <c r="C420" s="4"/>
      <c r="D420" s="4"/>
      <c r="E420" s="4"/>
      <c r="F420" s="4"/>
      <c r="G420" s="4"/>
      <c r="H420" s="4"/>
      <c r="I420" s="4"/>
      <c r="J420" s="4"/>
      <c r="K420" s="4"/>
      <c r="L420" s="4"/>
      <c r="M420" s="4"/>
      <c r="N420" s="4"/>
      <c r="O420" s="4"/>
      <c r="P420" s="4"/>
      <c r="Q420" s="4"/>
      <c r="R420" s="12"/>
      <c r="S420" s="12"/>
      <c r="T420" s="12"/>
      <c r="U420" s="12"/>
      <c r="V420" s="12"/>
      <c r="W420" s="12"/>
      <c r="X420" s="12"/>
      <c r="Y420" s="12"/>
      <c r="Z420" s="12"/>
      <c r="AA420" s="12"/>
      <c r="AB420" s="12"/>
      <c r="AC420" s="12"/>
      <c r="AD420" s="12"/>
    </row>
    <row r="421" spans="1:30" ht="13.5" customHeight="1">
      <c r="A421" s="4"/>
      <c r="B421" s="4"/>
      <c r="C421" s="4"/>
      <c r="D421" s="4"/>
      <c r="E421" s="4"/>
      <c r="F421" s="4"/>
      <c r="G421" s="4"/>
      <c r="H421" s="4"/>
      <c r="I421" s="4"/>
      <c r="J421" s="4"/>
      <c r="K421" s="4"/>
      <c r="L421" s="4"/>
      <c r="M421" s="4"/>
      <c r="N421" s="4"/>
      <c r="O421" s="4"/>
      <c r="P421" s="4"/>
      <c r="Q421" s="4"/>
      <c r="R421" s="12"/>
      <c r="S421" s="12"/>
      <c r="T421" s="12"/>
      <c r="U421" s="12"/>
      <c r="V421" s="12"/>
      <c r="W421" s="12"/>
      <c r="X421" s="12"/>
      <c r="Y421" s="12"/>
      <c r="Z421" s="12"/>
      <c r="AA421" s="12"/>
      <c r="AB421" s="12"/>
      <c r="AC421" s="12"/>
      <c r="AD421" s="12"/>
    </row>
    <row r="422" spans="1:30" ht="13.5" customHeight="1">
      <c r="A422" s="4"/>
      <c r="B422" s="4"/>
      <c r="C422" s="4"/>
      <c r="D422" s="4"/>
      <c r="E422" s="4"/>
      <c r="F422" s="4"/>
      <c r="G422" s="4"/>
      <c r="H422" s="4"/>
      <c r="I422" s="4"/>
      <c r="J422" s="4"/>
      <c r="K422" s="4"/>
      <c r="L422" s="4"/>
      <c r="M422" s="4"/>
      <c r="N422" s="4"/>
      <c r="O422" s="4"/>
      <c r="P422" s="4"/>
      <c r="Q422" s="4"/>
      <c r="R422" s="12"/>
      <c r="S422" s="12"/>
      <c r="T422" s="12"/>
      <c r="U422" s="12"/>
      <c r="V422" s="12"/>
      <c r="W422" s="12"/>
      <c r="X422" s="12"/>
      <c r="Y422" s="12"/>
      <c r="Z422" s="12"/>
      <c r="AA422" s="12"/>
      <c r="AB422" s="12"/>
      <c r="AC422" s="12"/>
      <c r="AD422" s="12"/>
    </row>
    <row r="423" spans="1:30" ht="13.5" customHeight="1">
      <c r="A423" s="4"/>
      <c r="B423" s="4"/>
      <c r="C423" s="4"/>
      <c r="D423" s="4"/>
      <c r="E423" s="4"/>
      <c r="F423" s="4"/>
      <c r="G423" s="4"/>
      <c r="H423" s="4"/>
      <c r="I423" s="4"/>
      <c r="J423" s="4"/>
      <c r="K423" s="4"/>
      <c r="L423" s="4"/>
      <c r="M423" s="4"/>
      <c r="N423" s="4"/>
      <c r="O423" s="4"/>
      <c r="P423" s="4"/>
      <c r="Q423" s="4"/>
      <c r="R423" s="12"/>
      <c r="S423" s="12"/>
      <c r="T423" s="12"/>
      <c r="U423" s="12"/>
      <c r="V423" s="12"/>
      <c r="W423" s="12"/>
      <c r="X423" s="12"/>
      <c r="Y423" s="12"/>
      <c r="Z423" s="12"/>
      <c r="AA423" s="12"/>
      <c r="AB423" s="12"/>
      <c r="AC423" s="12"/>
      <c r="AD423" s="12"/>
    </row>
    <row r="424" spans="1:30" ht="13.5" customHeight="1">
      <c r="A424" s="4"/>
      <c r="B424" s="4"/>
      <c r="C424" s="4"/>
      <c r="D424" s="4"/>
      <c r="E424" s="4"/>
      <c r="F424" s="4"/>
      <c r="G424" s="4"/>
      <c r="H424" s="4"/>
      <c r="I424" s="4"/>
      <c r="J424" s="4"/>
      <c r="K424" s="4"/>
      <c r="L424" s="4"/>
      <c r="M424" s="4"/>
      <c r="N424" s="4"/>
      <c r="O424" s="4"/>
      <c r="P424" s="4"/>
      <c r="Q424" s="4"/>
      <c r="R424" s="12"/>
      <c r="S424" s="12"/>
      <c r="T424" s="12"/>
      <c r="U424" s="12"/>
      <c r="V424" s="12"/>
      <c r="W424" s="12"/>
      <c r="X424" s="12"/>
      <c r="Y424" s="12"/>
      <c r="Z424" s="12"/>
      <c r="AA424" s="12"/>
      <c r="AB424" s="12"/>
      <c r="AC424" s="12"/>
      <c r="AD424" s="12"/>
    </row>
    <row r="425" spans="1:30" ht="13.5" customHeight="1">
      <c r="A425" s="4"/>
      <c r="B425" s="4"/>
      <c r="C425" s="4"/>
      <c r="D425" s="4"/>
      <c r="E425" s="4"/>
      <c r="F425" s="4"/>
      <c r="G425" s="4"/>
      <c r="H425" s="4"/>
      <c r="I425" s="4"/>
      <c r="J425" s="4"/>
      <c r="K425" s="4"/>
      <c r="L425" s="4"/>
      <c r="M425" s="4"/>
      <c r="N425" s="4"/>
      <c r="O425" s="4"/>
      <c r="P425" s="4"/>
      <c r="Q425" s="4"/>
      <c r="R425" s="12"/>
      <c r="S425" s="12"/>
      <c r="T425" s="12"/>
      <c r="U425" s="12"/>
      <c r="V425" s="12"/>
      <c r="W425" s="12"/>
      <c r="X425" s="12"/>
      <c r="Y425" s="12"/>
      <c r="Z425" s="12"/>
      <c r="AA425" s="12"/>
      <c r="AB425" s="12"/>
      <c r="AC425" s="12"/>
      <c r="AD425" s="12"/>
    </row>
    <row r="426" spans="1:30" ht="13.5" customHeight="1">
      <c r="A426" s="4"/>
      <c r="B426" s="4"/>
      <c r="C426" s="4"/>
      <c r="D426" s="4"/>
      <c r="E426" s="4"/>
      <c r="F426" s="4"/>
      <c r="G426" s="4"/>
      <c r="H426" s="4"/>
      <c r="I426" s="4"/>
      <c r="J426" s="4"/>
      <c r="K426" s="4"/>
      <c r="L426" s="4"/>
      <c r="M426" s="4"/>
      <c r="N426" s="4"/>
      <c r="O426" s="4"/>
      <c r="P426" s="4"/>
      <c r="Q426" s="4"/>
      <c r="R426" s="12"/>
      <c r="S426" s="12"/>
      <c r="T426" s="12"/>
      <c r="U426" s="12"/>
      <c r="V426" s="12"/>
      <c r="W426" s="12"/>
      <c r="X426" s="12"/>
      <c r="Y426" s="12"/>
      <c r="Z426" s="12"/>
      <c r="AA426" s="12"/>
      <c r="AB426" s="12"/>
      <c r="AC426" s="12"/>
      <c r="AD426" s="12"/>
    </row>
    <row r="427" spans="1:30" ht="13.5" customHeight="1">
      <c r="A427" s="4"/>
      <c r="B427" s="4"/>
      <c r="C427" s="4"/>
      <c r="D427" s="4"/>
      <c r="E427" s="4"/>
      <c r="F427" s="4"/>
      <c r="G427" s="4"/>
      <c r="H427" s="4"/>
      <c r="I427" s="4"/>
      <c r="J427" s="4"/>
      <c r="K427" s="4"/>
      <c r="L427" s="4"/>
      <c r="M427" s="4"/>
      <c r="N427" s="4"/>
      <c r="O427" s="4"/>
      <c r="P427" s="4"/>
      <c r="Q427" s="4"/>
      <c r="R427" s="12"/>
      <c r="S427" s="12"/>
      <c r="T427" s="12"/>
      <c r="U427" s="12"/>
      <c r="V427" s="12"/>
      <c r="W427" s="12"/>
      <c r="X427" s="12"/>
      <c r="Y427" s="12"/>
      <c r="Z427" s="12"/>
      <c r="AA427" s="12"/>
      <c r="AB427" s="12"/>
      <c r="AC427" s="12"/>
      <c r="AD427" s="12"/>
    </row>
    <row r="428" spans="1:30" ht="13.5" customHeight="1">
      <c r="A428" s="4"/>
      <c r="B428" s="4"/>
      <c r="C428" s="4"/>
      <c r="D428" s="4"/>
      <c r="E428" s="4"/>
      <c r="F428" s="4"/>
      <c r="G428" s="4"/>
      <c r="H428" s="4"/>
      <c r="I428" s="4"/>
      <c r="J428" s="4"/>
      <c r="K428" s="4"/>
      <c r="L428" s="4"/>
      <c r="M428" s="4"/>
      <c r="N428" s="4"/>
      <c r="O428" s="4"/>
      <c r="P428" s="4"/>
      <c r="Q428" s="4"/>
      <c r="R428" s="12"/>
      <c r="S428" s="12"/>
      <c r="T428" s="12"/>
      <c r="U428" s="12"/>
      <c r="V428" s="12"/>
      <c r="W428" s="12"/>
      <c r="X428" s="12"/>
      <c r="Y428" s="12"/>
      <c r="Z428" s="12"/>
      <c r="AA428" s="12"/>
      <c r="AB428" s="12"/>
      <c r="AC428" s="12"/>
      <c r="AD428" s="12"/>
    </row>
    <row r="429" spans="1:30" ht="13.5" customHeight="1">
      <c r="A429" s="4"/>
      <c r="B429" s="4"/>
      <c r="C429" s="4"/>
      <c r="D429" s="4"/>
      <c r="E429" s="4"/>
      <c r="F429" s="4"/>
      <c r="G429" s="4"/>
      <c r="H429" s="4"/>
      <c r="I429" s="4"/>
      <c r="J429" s="4"/>
      <c r="K429" s="4"/>
      <c r="L429" s="4"/>
      <c r="M429" s="4"/>
      <c r="N429" s="4"/>
      <c r="O429" s="4"/>
      <c r="P429" s="4"/>
      <c r="Q429" s="4"/>
      <c r="R429" s="12"/>
      <c r="S429" s="12"/>
      <c r="T429" s="12"/>
      <c r="U429" s="12"/>
      <c r="V429" s="12"/>
      <c r="W429" s="12"/>
      <c r="X429" s="12"/>
      <c r="Y429" s="12"/>
      <c r="Z429" s="12"/>
      <c r="AA429" s="12"/>
      <c r="AB429" s="12"/>
      <c r="AC429" s="12"/>
      <c r="AD429" s="12"/>
    </row>
    <row r="430" spans="1:30" ht="13.5" customHeight="1">
      <c r="A430" s="4"/>
      <c r="B430" s="4"/>
      <c r="C430" s="4"/>
      <c r="D430" s="4"/>
      <c r="E430" s="4"/>
      <c r="F430" s="4"/>
      <c r="G430" s="4"/>
      <c r="H430" s="4"/>
      <c r="I430" s="4"/>
      <c r="J430" s="4"/>
      <c r="K430" s="4"/>
      <c r="L430" s="4"/>
      <c r="M430" s="4"/>
      <c r="N430" s="4"/>
      <c r="O430" s="4"/>
      <c r="P430" s="4"/>
      <c r="Q430" s="4"/>
      <c r="R430" s="12"/>
      <c r="S430" s="12"/>
      <c r="T430" s="12"/>
      <c r="U430" s="12"/>
      <c r="V430" s="12"/>
      <c r="W430" s="12"/>
      <c r="X430" s="12"/>
      <c r="Y430" s="12"/>
      <c r="Z430" s="12"/>
      <c r="AA430" s="12"/>
      <c r="AB430" s="12"/>
      <c r="AC430" s="12"/>
      <c r="AD430" s="12"/>
    </row>
    <row r="431" spans="1:30" ht="13.5" customHeight="1">
      <c r="A431" s="4"/>
      <c r="B431" s="4"/>
      <c r="C431" s="4"/>
      <c r="D431" s="4"/>
      <c r="E431" s="4"/>
      <c r="F431" s="4"/>
      <c r="G431" s="4"/>
      <c r="H431" s="4"/>
      <c r="I431" s="4"/>
      <c r="J431" s="4"/>
      <c r="K431" s="4"/>
      <c r="L431" s="4"/>
      <c r="M431" s="4"/>
      <c r="N431" s="4"/>
      <c r="O431" s="4"/>
      <c r="P431" s="4"/>
      <c r="Q431" s="4"/>
      <c r="R431" s="12"/>
      <c r="S431" s="12"/>
      <c r="T431" s="12"/>
      <c r="U431" s="12"/>
      <c r="V431" s="12"/>
      <c r="W431" s="12"/>
      <c r="X431" s="12"/>
      <c r="Y431" s="12"/>
      <c r="Z431" s="12"/>
      <c r="AA431" s="12"/>
      <c r="AB431" s="12"/>
      <c r="AC431" s="12"/>
      <c r="AD431" s="12"/>
    </row>
    <row r="432" spans="1:30" ht="13.5" customHeight="1">
      <c r="A432" s="4"/>
      <c r="B432" s="4"/>
      <c r="C432" s="4"/>
      <c r="D432" s="4"/>
      <c r="E432" s="4"/>
      <c r="F432" s="4"/>
      <c r="G432" s="4"/>
      <c r="H432" s="4"/>
      <c r="I432" s="4"/>
      <c r="J432" s="4"/>
      <c r="K432" s="4"/>
      <c r="L432" s="4"/>
      <c r="M432" s="4"/>
      <c r="N432" s="4"/>
      <c r="O432" s="4"/>
      <c r="P432" s="4"/>
      <c r="Q432" s="4"/>
      <c r="R432" s="12"/>
      <c r="S432" s="12"/>
      <c r="T432" s="12"/>
      <c r="U432" s="12"/>
      <c r="V432" s="12"/>
      <c r="W432" s="12"/>
      <c r="X432" s="12"/>
      <c r="Y432" s="12"/>
      <c r="Z432" s="12"/>
      <c r="AA432" s="12"/>
      <c r="AB432" s="12"/>
      <c r="AC432" s="12"/>
      <c r="AD432" s="12"/>
    </row>
    <row r="433" spans="1:30" ht="13.5" customHeight="1">
      <c r="A433" s="4"/>
      <c r="B433" s="4"/>
      <c r="C433" s="4"/>
      <c r="D433" s="4"/>
      <c r="E433" s="4"/>
      <c r="F433" s="4"/>
      <c r="G433" s="4"/>
      <c r="H433" s="4"/>
      <c r="I433" s="4"/>
      <c r="J433" s="4"/>
      <c r="K433" s="4"/>
      <c r="L433" s="4"/>
      <c r="M433" s="4"/>
      <c r="N433" s="4"/>
      <c r="O433" s="4"/>
      <c r="P433" s="4"/>
      <c r="Q433" s="4"/>
      <c r="R433" s="12"/>
      <c r="S433" s="12"/>
      <c r="T433" s="12"/>
      <c r="U433" s="12"/>
      <c r="V433" s="12"/>
      <c r="W433" s="12"/>
      <c r="X433" s="12"/>
      <c r="Y433" s="12"/>
      <c r="Z433" s="12"/>
      <c r="AA433" s="12"/>
      <c r="AB433" s="12"/>
      <c r="AC433" s="12"/>
      <c r="AD433" s="12"/>
    </row>
    <row r="434" spans="1:30" ht="13.5" customHeight="1">
      <c r="A434" s="4"/>
      <c r="B434" s="4"/>
      <c r="C434" s="4"/>
      <c r="D434" s="4"/>
      <c r="E434" s="4"/>
      <c r="F434" s="4"/>
      <c r="G434" s="4"/>
      <c r="H434" s="4"/>
      <c r="I434" s="4"/>
      <c r="J434" s="4"/>
      <c r="K434" s="4"/>
      <c r="L434" s="4"/>
      <c r="M434" s="4"/>
      <c r="N434" s="4"/>
      <c r="O434" s="4"/>
      <c r="P434" s="4"/>
      <c r="Q434" s="4"/>
      <c r="R434" s="12"/>
      <c r="S434" s="12"/>
      <c r="T434" s="12"/>
      <c r="U434" s="12"/>
      <c r="V434" s="12"/>
      <c r="W434" s="12"/>
      <c r="X434" s="12"/>
      <c r="Y434" s="12"/>
      <c r="Z434" s="12"/>
      <c r="AA434" s="12"/>
      <c r="AB434" s="12"/>
      <c r="AC434" s="12"/>
      <c r="AD434" s="12"/>
    </row>
    <row r="435" spans="1:30" ht="13.5" customHeight="1">
      <c r="A435" s="4"/>
      <c r="B435" s="4"/>
      <c r="C435" s="4"/>
      <c r="D435" s="4"/>
      <c r="E435" s="4"/>
      <c r="F435" s="4"/>
      <c r="G435" s="4"/>
      <c r="H435" s="4"/>
      <c r="I435" s="4"/>
      <c r="J435" s="4"/>
      <c r="K435" s="4"/>
      <c r="L435" s="4"/>
      <c r="M435" s="4"/>
      <c r="N435" s="4"/>
      <c r="O435" s="4"/>
      <c r="P435" s="4"/>
      <c r="Q435" s="4"/>
      <c r="R435" s="12"/>
      <c r="S435" s="12"/>
      <c r="T435" s="12"/>
      <c r="U435" s="12"/>
      <c r="V435" s="12"/>
      <c r="W435" s="12"/>
      <c r="X435" s="12"/>
      <c r="Y435" s="12"/>
      <c r="Z435" s="12"/>
      <c r="AA435" s="12"/>
      <c r="AB435" s="12"/>
      <c r="AC435" s="12"/>
      <c r="AD435" s="12"/>
    </row>
    <row r="436" spans="1:30" ht="13.5" customHeight="1">
      <c r="A436" s="4"/>
      <c r="B436" s="4"/>
      <c r="C436" s="4"/>
      <c r="D436" s="4"/>
      <c r="E436" s="4"/>
      <c r="F436" s="4"/>
      <c r="G436" s="4"/>
      <c r="H436" s="4"/>
      <c r="I436" s="4"/>
      <c r="J436" s="4"/>
      <c r="K436" s="4"/>
      <c r="L436" s="4"/>
      <c r="M436" s="4"/>
      <c r="N436" s="4"/>
      <c r="O436" s="4"/>
      <c r="P436" s="4"/>
      <c r="Q436" s="4"/>
      <c r="R436" s="12"/>
      <c r="S436" s="12"/>
      <c r="T436" s="12"/>
      <c r="U436" s="12"/>
      <c r="V436" s="12"/>
      <c r="W436" s="12"/>
      <c r="X436" s="12"/>
      <c r="Y436" s="12"/>
      <c r="Z436" s="12"/>
      <c r="AA436" s="12"/>
      <c r="AB436" s="12"/>
      <c r="AC436" s="12"/>
      <c r="AD436" s="12"/>
    </row>
    <row r="437" spans="1:30" ht="13.5" customHeight="1">
      <c r="A437" s="4"/>
      <c r="B437" s="4"/>
      <c r="C437" s="4"/>
      <c r="D437" s="4"/>
      <c r="E437" s="4"/>
      <c r="F437" s="4"/>
      <c r="G437" s="4"/>
      <c r="H437" s="4"/>
      <c r="I437" s="4"/>
      <c r="J437" s="4"/>
      <c r="K437" s="4"/>
      <c r="L437" s="4"/>
      <c r="M437" s="4"/>
      <c r="N437" s="4"/>
      <c r="O437" s="4"/>
      <c r="P437" s="4"/>
      <c r="Q437" s="4"/>
      <c r="R437" s="12"/>
      <c r="S437" s="12"/>
      <c r="T437" s="12"/>
      <c r="U437" s="12"/>
      <c r="V437" s="12"/>
      <c r="W437" s="12"/>
      <c r="X437" s="12"/>
      <c r="Y437" s="12"/>
      <c r="Z437" s="12"/>
      <c r="AA437" s="12"/>
      <c r="AB437" s="12"/>
      <c r="AC437" s="12"/>
      <c r="AD437" s="12"/>
    </row>
    <row r="438" spans="1:30" ht="13.5" customHeight="1">
      <c r="A438" s="4"/>
      <c r="B438" s="4"/>
      <c r="C438" s="4"/>
      <c r="D438" s="4"/>
      <c r="E438" s="4"/>
      <c r="F438" s="4"/>
      <c r="G438" s="4"/>
      <c r="H438" s="4"/>
      <c r="I438" s="4"/>
      <c r="J438" s="4"/>
      <c r="K438" s="4"/>
      <c r="L438" s="4"/>
      <c r="M438" s="4"/>
      <c r="N438" s="4"/>
      <c r="O438" s="4"/>
      <c r="P438" s="4"/>
      <c r="Q438" s="4"/>
      <c r="R438" s="12"/>
      <c r="S438" s="12"/>
      <c r="T438" s="12"/>
      <c r="U438" s="12"/>
      <c r="V438" s="12"/>
      <c r="W438" s="12"/>
      <c r="X438" s="12"/>
      <c r="Y438" s="12"/>
      <c r="Z438" s="12"/>
      <c r="AA438" s="12"/>
      <c r="AB438" s="12"/>
      <c r="AC438" s="12"/>
      <c r="AD438" s="12"/>
    </row>
    <row r="439" spans="1:30" ht="13.5" customHeight="1">
      <c r="A439" s="4"/>
      <c r="B439" s="4"/>
      <c r="C439" s="4"/>
      <c r="D439" s="4"/>
      <c r="E439" s="4"/>
      <c r="F439" s="4"/>
      <c r="G439" s="4"/>
      <c r="H439" s="4"/>
      <c r="I439" s="4"/>
      <c r="J439" s="4"/>
      <c r="K439" s="4"/>
      <c r="L439" s="4"/>
      <c r="M439" s="4"/>
      <c r="N439" s="4"/>
      <c r="O439" s="4"/>
      <c r="P439" s="4"/>
      <c r="Q439" s="4"/>
      <c r="R439" s="12"/>
      <c r="S439" s="12"/>
      <c r="T439" s="12"/>
      <c r="U439" s="12"/>
      <c r="V439" s="12"/>
      <c r="W439" s="12"/>
      <c r="X439" s="12"/>
      <c r="Y439" s="12"/>
      <c r="Z439" s="12"/>
      <c r="AA439" s="12"/>
      <c r="AB439" s="12"/>
      <c r="AC439" s="12"/>
      <c r="AD439" s="12"/>
    </row>
    <row r="440" spans="1:30" ht="13.5" customHeight="1">
      <c r="A440" s="4"/>
      <c r="B440" s="4"/>
      <c r="C440" s="4"/>
      <c r="D440" s="4"/>
      <c r="E440" s="4"/>
      <c r="F440" s="4"/>
      <c r="G440" s="4"/>
      <c r="H440" s="4"/>
      <c r="I440" s="4"/>
      <c r="J440" s="4"/>
      <c r="K440" s="4"/>
      <c r="L440" s="4"/>
      <c r="M440" s="4"/>
      <c r="N440" s="4"/>
      <c r="O440" s="4"/>
      <c r="P440" s="4"/>
      <c r="Q440" s="4"/>
      <c r="R440" s="12"/>
      <c r="S440" s="12"/>
      <c r="T440" s="12"/>
      <c r="U440" s="12"/>
      <c r="V440" s="12"/>
      <c r="W440" s="12"/>
      <c r="X440" s="12"/>
      <c r="Y440" s="12"/>
      <c r="Z440" s="12"/>
      <c r="AA440" s="12"/>
      <c r="AB440" s="12"/>
      <c r="AC440" s="12"/>
      <c r="AD440" s="12"/>
    </row>
    <row r="441" spans="1:30" ht="13.5" customHeight="1">
      <c r="A441" s="4"/>
      <c r="B441" s="4"/>
      <c r="C441" s="4"/>
      <c r="D441" s="4"/>
      <c r="E441" s="4"/>
      <c r="F441" s="4"/>
      <c r="G441" s="4"/>
      <c r="H441" s="4"/>
      <c r="I441" s="4"/>
      <c r="J441" s="4"/>
      <c r="K441" s="4"/>
      <c r="L441" s="4"/>
      <c r="M441" s="4"/>
      <c r="N441" s="4"/>
      <c r="O441" s="4"/>
      <c r="P441" s="4"/>
      <c r="Q441" s="4"/>
      <c r="R441" s="12"/>
      <c r="S441" s="12"/>
      <c r="T441" s="12"/>
      <c r="U441" s="12"/>
      <c r="V441" s="12"/>
      <c r="W441" s="12"/>
      <c r="X441" s="12"/>
      <c r="Y441" s="12"/>
      <c r="Z441" s="12"/>
      <c r="AA441" s="12"/>
      <c r="AB441" s="12"/>
      <c r="AC441" s="12"/>
      <c r="AD441" s="12"/>
    </row>
    <row r="442" spans="1:30" ht="13.5" customHeight="1">
      <c r="A442" s="4"/>
      <c r="B442" s="4"/>
      <c r="C442" s="4"/>
      <c r="D442" s="4"/>
      <c r="E442" s="4"/>
      <c r="F442" s="4"/>
      <c r="G442" s="4"/>
      <c r="H442" s="4"/>
      <c r="I442" s="4"/>
      <c r="J442" s="4"/>
      <c r="K442" s="4"/>
      <c r="L442" s="4"/>
      <c r="M442" s="4"/>
      <c r="N442" s="4"/>
      <c r="O442" s="4"/>
      <c r="P442" s="4"/>
      <c r="Q442" s="4"/>
      <c r="R442" s="12"/>
      <c r="S442" s="12"/>
      <c r="T442" s="12"/>
      <c r="U442" s="12"/>
      <c r="V442" s="12"/>
      <c r="W442" s="12"/>
      <c r="X442" s="12"/>
      <c r="Y442" s="12"/>
      <c r="Z442" s="12"/>
      <c r="AA442" s="12"/>
      <c r="AB442" s="12"/>
      <c r="AC442" s="12"/>
      <c r="AD442" s="12"/>
    </row>
    <row r="443" spans="1:30" ht="13.5" customHeight="1">
      <c r="A443" s="4"/>
      <c r="B443" s="4"/>
      <c r="C443" s="4"/>
      <c r="D443" s="4"/>
      <c r="E443" s="4"/>
      <c r="F443" s="4"/>
      <c r="G443" s="4"/>
      <c r="H443" s="4"/>
      <c r="I443" s="4"/>
      <c r="J443" s="4"/>
      <c r="K443" s="4"/>
      <c r="L443" s="4"/>
      <c r="M443" s="4"/>
      <c r="N443" s="4"/>
      <c r="O443" s="4"/>
      <c r="P443" s="4"/>
      <c r="Q443" s="4"/>
      <c r="R443" s="12"/>
      <c r="S443" s="12"/>
      <c r="T443" s="12"/>
      <c r="U443" s="12"/>
      <c r="V443" s="12"/>
      <c r="W443" s="12"/>
      <c r="X443" s="12"/>
      <c r="Y443" s="12"/>
      <c r="Z443" s="12"/>
      <c r="AA443" s="12"/>
      <c r="AB443" s="12"/>
      <c r="AC443" s="12"/>
      <c r="AD443" s="12"/>
    </row>
    <row r="444" spans="1:30" ht="13.5" customHeight="1">
      <c r="A444" s="4"/>
      <c r="B444" s="4"/>
      <c r="C444" s="4"/>
      <c r="D444" s="4"/>
      <c r="E444" s="4"/>
      <c r="F444" s="4"/>
      <c r="G444" s="4"/>
      <c r="H444" s="4"/>
      <c r="I444" s="4"/>
      <c r="J444" s="4"/>
      <c r="K444" s="4"/>
      <c r="L444" s="4"/>
      <c r="M444" s="4"/>
      <c r="N444" s="4"/>
      <c r="O444" s="4"/>
      <c r="P444" s="4"/>
      <c r="Q444" s="4"/>
      <c r="R444" s="12"/>
      <c r="S444" s="12"/>
      <c r="T444" s="12"/>
      <c r="U444" s="12"/>
      <c r="V444" s="12"/>
      <c r="W444" s="12"/>
      <c r="X444" s="12"/>
      <c r="Y444" s="12"/>
      <c r="Z444" s="12"/>
      <c r="AA444" s="12"/>
      <c r="AB444" s="12"/>
      <c r="AC444" s="12"/>
      <c r="AD444" s="12"/>
    </row>
    <row r="445" spans="1:30" ht="13.5" customHeight="1">
      <c r="A445" s="4"/>
      <c r="B445" s="4"/>
      <c r="C445" s="4"/>
      <c r="D445" s="4"/>
      <c r="E445" s="4"/>
      <c r="F445" s="4"/>
      <c r="G445" s="4"/>
      <c r="H445" s="4"/>
      <c r="I445" s="4"/>
      <c r="J445" s="4"/>
      <c r="K445" s="4"/>
      <c r="L445" s="4"/>
      <c r="M445" s="4"/>
      <c r="N445" s="4"/>
      <c r="O445" s="4"/>
      <c r="P445" s="4"/>
      <c r="Q445" s="4"/>
      <c r="R445" s="12"/>
      <c r="S445" s="12"/>
      <c r="T445" s="12"/>
      <c r="U445" s="12"/>
      <c r="V445" s="12"/>
      <c r="W445" s="12"/>
      <c r="X445" s="12"/>
      <c r="Y445" s="12"/>
      <c r="Z445" s="12"/>
      <c r="AA445" s="12"/>
      <c r="AB445" s="12"/>
      <c r="AC445" s="12"/>
      <c r="AD445" s="12"/>
    </row>
    <row r="446" spans="1:30" ht="13.5" customHeight="1">
      <c r="A446" s="4"/>
      <c r="B446" s="4"/>
      <c r="C446" s="4"/>
      <c r="D446" s="4"/>
      <c r="E446" s="4"/>
      <c r="F446" s="4"/>
      <c r="G446" s="4"/>
      <c r="H446" s="4"/>
      <c r="I446" s="4"/>
      <c r="J446" s="4"/>
      <c r="K446" s="4"/>
      <c r="L446" s="4"/>
      <c r="M446" s="4"/>
      <c r="N446" s="4"/>
      <c r="O446" s="4"/>
      <c r="P446" s="4"/>
      <c r="Q446" s="4"/>
      <c r="R446" s="12"/>
      <c r="S446" s="12"/>
      <c r="T446" s="12"/>
      <c r="U446" s="12"/>
      <c r="V446" s="12"/>
      <c r="W446" s="12"/>
      <c r="X446" s="12"/>
      <c r="Y446" s="12"/>
      <c r="Z446" s="12"/>
      <c r="AA446" s="12"/>
      <c r="AB446" s="12"/>
      <c r="AC446" s="12"/>
      <c r="AD446" s="12"/>
    </row>
    <row r="447" spans="1:30" ht="13.5" customHeight="1">
      <c r="A447" s="4"/>
      <c r="B447" s="4"/>
      <c r="C447" s="4"/>
      <c r="D447" s="4"/>
      <c r="E447" s="4"/>
      <c r="F447" s="4"/>
      <c r="G447" s="4"/>
      <c r="H447" s="4"/>
      <c r="I447" s="4"/>
      <c r="J447" s="4"/>
      <c r="K447" s="4"/>
      <c r="L447" s="4"/>
      <c r="M447" s="4"/>
      <c r="N447" s="4"/>
      <c r="O447" s="4"/>
      <c r="P447" s="4"/>
      <c r="Q447" s="4"/>
      <c r="R447" s="12"/>
      <c r="S447" s="12"/>
      <c r="T447" s="12"/>
      <c r="U447" s="12"/>
      <c r="V447" s="12"/>
      <c r="W447" s="12"/>
      <c r="X447" s="12"/>
      <c r="Y447" s="12"/>
      <c r="Z447" s="12"/>
      <c r="AA447" s="12"/>
      <c r="AB447" s="12"/>
      <c r="AC447" s="12"/>
      <c r="AD447" s="12"/>
    </row>
    <row r="448" spans="1:30" ht="13.5" customHeight="1">
      <c r="A448" s="4"/>
      <c r="B448" s="4"/>
      <c r="C448" s="4"/>
      <c r="D448" s="4"/>
      <c r="E448" s="4"/>
      <c r="F448" s="4"/>
      <c r="G448" s="4"/>
      <c r="H448" s="4"/>
      <c r="I448" s="4"/>
      <c r="J448" s="4"/>
      <c r="K448" s="4"/>
      <c r="L448" s="4"/>
      <c r="M448" s="4"/>
      <c r="N448" s="4"/>
      <c r="O448" s="4"/>
      <c r="P448" s="4"/>
      <c r="Q448" s="4"/>
      <c r="R448" s="12"/>
      <c r="S448" s="12"/>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12"/>
      <c r="S449" s="12"/>
      <c r="T449" s="12"/>
      <c r="U449" s="12"/>
      <c r="V449" s="12"/>
      <c r="W449" s="12"/>
      <c r="X449" s="12"/>
      <c r="Y449" s="12"/>
      <c r="Z449" s="12"/>
      <c r="AA449" s="12"/>
      <c r="AB449" s="12"/>
      <c r="AC449" s="12"/>
      <c r="AD449" s="12"/>
    </row>
    <row r="450" spans="1:30" ht="13.5" customHeight="1">
      <c r="A450" s="4"/>
      <c r="B450" s="4"/>
      <c r="C450" s="4"/>
      <c r="D450" s="4"/>
      <c r="E450" s="4"/>
      <c r="F450" s="4"/>
      <c r="G450" s="4"/>
      <c r="H450" s="4"/>
      <c r="I450" s="4"/>
      <c r="J450" s="4"/>
      <c r="K450" s="4"/>
      <c r="L450" s="4"/>
      <c r="M450" s="4"/>
      <c r="N450" s="4"/>
      <c r="O450" s="4"/>
      <c r="P450" s="4"/>
      <c r="Q450" s="4"/>
      <c r="R450" s="12"/>
      <c r="S450" s="12"/>
      <c r="T450" s="12"/>
      <c r="U450" s="12"/>
      <c r="V450" s="12"/>
      <c r="W450" s="12"/>
      <c r="X450" s="12"/>
      <c r="Y450" s="12"/>
      <c r="Z450" s="12"/>
      <c r="AA450" s="12"/>
      <c r="AB450" s="12"/>
      <c r="AC450" s="12"/>
      <c r="AD450" s="12"/>
    </row>
    <row r="451" spans="1:30" ht="13.5" customHeight="1">
      <c r="A451" s="4"/>
      <c r="B451" s="4"/>
      <c r="C451" s="4"/>
      <c r="D451" s="4"/>
      <c r="E451" s="4"/>
      <c r="F451" s="4"/>
      <c r="G451" s="4"/>
      <c r="H451" s="4"/>
      <c r="I451" s="4"/>
      <c r="J451" s="4"/>
      <c r="K451" s="4"/>
      <c r="L451" s="4"/>
      <c r="M451" s="4"/>
      <c r="N451" s="4"/>
      <c r="O451" s="4"/>
      <c r="P451" s="4"/>
      <c r="Q451" s="4"/>
      <c r="R451" s="12"/>
      <c r="S451" s="12"/>
      <c r="T451" s="12"/>
      <c r="U451" s="12"/>
      <c r="V451" s="12"/>
      <c r="W451" s="12"/>
      <c r="X451" s="12"/>
      <c r="Y451" s="12"/>
      <c r="Z451" s="12"/>
      <c r="AA451" s="12"/>
      <c r="AB451" s="12"/>
      <c r="AC451" s="12"/>
      <c r="AD451" s="12"/>
    </row>
    <row r="452" spans="1:30" ht="13.5" customHeight="1">
      <c r="A452" s="4"/>
      <c r="B452" s="4"/>
      <c r="C452" s="4"/>
      <c r="D452" s="4"/>
      <c r="E452" s="4"/>
      <c r="F452" s="4"/>
      <c r="G452" s="4"/>
      <c r="H452" s="4"/>
      <c r="I452" s="4"/>
      <c r="J452" s="4"/>
      <c r="K452" s="4"/>
      <c r="L452" s="4"/>
      <c r="M452" s="4"/>
      <c r="N452" s="4"/>
      <c r="O452" s="4"/>
      <c r="P452" s="4"/>
      <c r="Q452" s="4"/>
      <c r="R452" s="12"/>
      <c r="S452" s="12"/>
      <c r="T452" s="12"/>
      <c r="U452" s="12"/>
      <c r="V452" s="12"/>
      <c r="W452" s="12"/>
      <c r="X452" s="12"/>
      <c r="Y452" s="12"/>
      <c r="Z452" s="12"/>
      <c r="AA452" s="12"/>
      <c r="AB452" s="12"/>
      <c r="AC452" s="12"/>
      <c r="AD452" s="12"/>
    </row>
    <row r="453" spans="1:30" ht="13.5" customHeight="1">
      <c r="A453" s="4"/>
      <c r="B453" s="4"/>
      <c r="C453" s="4"/>
      <c r="D453" s="4"/>
      <c r="E453" s="4"/>
      <c r="F453" s="4"/>
      <c r="G453" s="4"/>
      <c r="H453" s="4"/>
      <c r="I453" s="4"/>
      <c r="J453" s="4"/>
      <c r="K453" s="4"/>
      <c r="L453" s="4"/>
      <c r="M453" s="4"/>
      <c r="N453" s="4"/>
      <c r="O453" s="4"/>
      <c r="P453" s="4"/>
      <c r="Q453" s="4"/>
      <c r="R453" s="12"/>
      <c r="S453" s="12"/>
      <c r="T453" s="12"/>
      <c r="U453" s="12"/>
      <c r="V453" s="12"/>
      <c r="W453" s="12"/>
      <c r="X453" s="12"/>
      <c r="Y453" s="12"/>
      <c r="Z453" s="12"/>
      <c r="AA453" s="12"/>
      <c r="AB453" s="12"/>
      <c r="AC453" s="12"/>
      <c r="AD453" s="12"/>
    </row>
    <row r="454" spans="1:30" ht="13.5" customHeight="1">
      <c r="A454" s="4"/>
      <c r="B454" s="4"/>
      <c r="C454" s="4"/>
      <c r="D454" s="4"/>
      <c r="E454" s="4"/>
      <c r="F454" s="4"/>
      <c r="G454" s="4"/>
      <c r="H454" s="4"/>
      <c r="I454" s="4"/>
      <c r="J454" s="4"/>
      <c r="K454" s="4"/>
      <c r="L454" s="4"/>
      <c r="M454" s="4"/>
      <c r="N454" s="4"/>
      <c r="O454" s="4"/>
      <c r="P454" s="4"/>
      <c r="Q454" s="4"/>
      <c r="R454" s="12"/>
      <c r="S454" s="12"/>
      <c r="T454" s="12"/>
      <c r="U454" s="12"/>
      <c r="V454" s="12"/>
      <c r="W454" s="12"/>
      <c r="X454" s="12"/>
      <c r="Y454" s="12"/>
      <c r="Z454" s="12"/>
      <c r="AA454" s="12"/>
      <c r="AB454" s="12"/>
      <c r="AC454" s="12"/>
      <c r="AD454" s="12"/>
    </row>
    <row r="455" spans="1:30" ht="13.5" customHeight="1">
      <c r="A455" s="4"/>
      <c r="B455" s="4"/>
      <c r="C455" s="4"/>
      <c r="D455" s="4"/>
      <c r="E455" s="4"/>
      <c r="F455" s="4"/>
      <c r="G455" s="4"/>
      <c r="H455" s="4"/>
      <c r="I455" s="4"/>
      <c r="J455" s="4"/>
      <c r="K455" s="4"/>
      <c r="L455" s="4"/>
      <c r="M455" s="4"/>
      <c r="N455" s="4"/>
      <c r="O455" s="4"/>
      <c r="P455" s="4"/>
      <c r="Q455" s="4"/>
      <c r="R455" s="12"/>
      <c r="S455" s="12"/>
      <c r="T455" s="12"/>
      <c r="U455" s="12"/>
      <c r="V455" s="12"/>
      <c r="W455" s="12"/>
      <c r="X455" s="12"/>
      <c r="Y455" s="12"/>
      <c r="Z455" s="12"/>
      <c r="AA455" s="12"/>
      <c r="AB455" s="12"/>
      <c r="AC455" s="12"/>
      <c r="AD455" s="12"/>
    </row>
    <row r="456" spans="1:30" ht="13.5" customHeight="1">
      <c r="A456" s="4"/>
      <c r="B456" s="4"/>
      <c r="C456" s="4"/>
      <c r="D456" s="4"/>
      <c r="E456" s="4"/>
      <c r="F456" s="4"/>
      <c r="G456" s="4"/>
      <c r="H456" s="4"/>
      <c r="I456" s="4"/>
      <c r="J456" s="4"/>
      <c r="K456" s="4"/>
      <c r="L456" s="4"/>
      <c r="M456" s="4"/>
      <c r="N456" s="4"/>
      <c r="O456" s="4"/>
      <c r="P456" s="4"/>
      <c r="Q456" s="4"/>
      <c r="R456" s="12"/>
      <c r="S456" s="12"/>
      <c r="T456" s="12"/>
      <c r="U456" s="12"/>
      <c r="V456" s="12"/>
      <c r="W456" s="12"/>
      <c r="X456" s="12"/>
      <c r="Y456" s="12"/>
      <c r="Z456" s="12"/>
      <c r="AA456" s="12"/>
      <c r="AB456" s="12"/>
      <c r="AC456" s="12"/>
      <c r="AD456" s="12"/>
    </row>
    <row r="457" spans="1:30" ht="13.5" customHeight="1">
      <c r="A457" s="4"/>
      <c r="B457" s="4"/>
      <c r="C457" s="4"/>
      <c r="D457" s="4"/>
      <c r="E457" s="4"/>
      <c r="F457" s="4"/>
      <c r="G457" s="4"/>
      <c r="H457" s="4"/>
      <c r="I457" s="4"/>
      <c r="J457" s="4"/>
      <c r="K457" s="4"/>
      <c r="L457" s="4"/>
      <c r="M457" s="4"/>
      <c r="N457" s="4"/>
      <c r="O457" s="4"/>
      <c r="P457" s="4"/>
      <c r="Q457" s="4"/>
      <c r="R457" s="12"/>
      <c r="S457" s="12"/>
      <c r="T457" s="12"/>
      <c r="U457" s="12"/>
      <c r="V457" s="12"/>
      <c r="W457" s="12"/>
      <c r="X457" s="12"/>
      <c r="Y457" s="12"/>
      <c r="Z457" s="12"/>
      <c r="AA457" s="12"/>
      <c r="AB457" s="12"/>
      <c r="AC457" s="12"/>
      <c r="AD457" s="12"/>
    </row>
    <row r="458" spans="1:30" ht="13.5" customHeight="1">
      <c r="A458" s="4"/>
      <c r="B458" s="4"/>
      <c r="C458" s="4"/>
      <c r="D458" s="4"/>
      <c r="E458" s="4"/>
      <c r="F458" s="4"/>
      <c r="G458" s="4"/>
      <c r="H458" s="4"/>
      <c r="I458" s="4"/>
      <c r="J458" s="4"/>
      <c r="K458" s="4"/>
      <c r="L458" s="4"/>
      <c r="M458" s="4"/>
      <c r="N458" s="4"/>
      <c r="O458" s="4"/>
      <c r="P458" s="4"/>
      <c r="Q458" s="4"/>
      <c r="R458" s="12"/>
      <c r="S458" s="12"/>
      <c r="T458" s="12"/>
      <c r="U458" s="12"/>
      <c r="V458" s="12"/>
      <c r="W458" s="12"/>
      <c r="X458" s="12"/>
      <c r="Y458" s="12"/>
      <c r="Z458" s="12"/>
      <c r="AA458" s="12"/>
      <c r="AB458" s="12"/>
      <c r="AC458" s="12"/>
      <c r="AD458" s="12"/>
    </row>
    <row r="459" spans="1:30" ht="13.5" customHeight="1">
      <c r="A459" s="4"/>
      <c r="B459" s="4"/>
      <c r="C459" s="4"/>
      <c r="D459" s="4"/>
      <c r="E459" s="4"/>
      <c r="F459" s="4"/>
      <c r="G459" s="4"/>
      <c r="H459" s="4"/>
      <c r="I459" s="4"/>
      <c r="J459" s="4"/>
      <c r="K459" s="4"/>
      <c r="L459" s="4"/>
      <c r="M459" s="4"/>
      <c r="N459" s="4"/>
      <c r="O459" s="4"/>
      <c r="P459" s="4"/>
      <c r="Q459" s="4"/>
      <c r="R459" s="12"/>
      <c r="S459" s="12"/>
      <c r="T459" s="12"/>
      <c r="U459" s="12"/>
      <c r="V459" s="12"/>
      <c r="W459" s="12"/>
      <c r="X459" s="12"/>
      <c r="Y459" s="12"/>
      <c r="Z459" s="12"/>
      <c r="AA459" s="12"/>
      <c r="AB459" s="12"/>
      <c r="AC459" s="12"/>
      <c r="AD459" s="12"/>
    </row>
    <row r="460" spans="1:30" ht="13.5" customHeight="1">
      <c r="A460" s="4"/>
      <c r="B460" s="4"/>
      <c r="C460" s="4"/>
      <c r="D460" s="4"/>
      <c r="E460" s="4"/>
      <c r="F460" s="4"/>
      <c r="G460" s="4"/>
      <c r="H460" s="4"/>
      <c r="I460" s="4"/>
      <c r="J460" s="4"/>
      <c r="K460" s="4"/>
      <c r="L460" s="4"/>
      <c r="M460" s="4"/>
      <c r="N460" s="4"/>
      <c r="O460" s="4"/>
      <c r="P460" s="4"/>
      <c r="Q460" s="4"/>
      <c r="R460" s="12"/>
      <c r="S460" s="12"/>
      <c r="T460" s="12"/>
      <c r="U460" s="12"/>
      <c r="V460" s="12"/>
      <c r="W460" s="12"/>
      <c r="X460" s="12"/>
      <c r="Y460" s="12"/>
      <c r="Z460" s="12"/>
      <c r="AA460" s="12"/>
      <c r="AB460" s="12"/>
      <c r="AC460" s="12"/>
      <c r="AD460" s="12"/>
    </row>
    <row r="461" spans="1:30" ht="13.5" customHeight="1">
      <c r="A461" s="4"/>
      <c r="B461" s="4"/>
      <c r="C461" s="4"/>
      <c r="D461" s="4"/>
      <c r="E461" s="4"/>
      <c r="F461" s="4"/>
      <c r="G461" s="4"/>
      <c r="H461" s="4"/>
      <c r="I461" s="4"/>
      <c r="J461" s="4"/>
      <c r="K461" s="4"/>
      <c r="L461" s="4"/>
      <c r="M461" s="4"/>
      <c r="N461" s="4"/>
      <c r="O461" s="4"/>
      <c r="P461" s="4"/>
      <c r="Q461" s="4"/>
      <c r="R461" s="12"/>
      <c r="S461" s="12"/>
      <c r="T461" s="12"/>
      <c r="U461" s="12"/>
      <c r="V461" s="12"/>
      <c r="W461" s="12"/>
      <c r="X461" s="12"/>
      <c r="Y461" s="12"/>
      <c r="Z461" s="12"/>
      <c r="AA461" s="12"/>
      <c r="AB461" s="12"/>
      <c r="AC461" s="12"/>
      <c r="AD461" s="12"/>
    </row>
    <row r="462" spans="1:30" ht="13.5" customHeight="1">
      <c r="A462" s="4"/>
      <c r="B462" s="4"/>
      <c r="C462" s="4"/>
      <c r="D462" s="4"/>
      <c r="E462" s="4"/>
      <c r="F462" s="4"/>
      <c r="G462" s="4"/>
      <c r="H462" s="4"/>
      <c r="I462" s="4"/>
      <c r="J462" s="4"/>
      <c r="K462" s="4"/>
      <c r="L462" s="4"/>
      <c r="M462" s="4"/>
      <c r="N462" s="4"/>
      <c r="O462" s="4"/>
      <c r="P462" s="4"/>
      <c r="Q462" s="4"/>
      <c r="R462" s="12"/>
      <c r="S462" s="12"/>
      <c r="T462" s="12"/>
      <c r="U462" s="12"/>
      <c r="V462" s="12"/>
      <c r="W462" s="12"/>
      <c r="X462" s="12"/>
      <c r="Y462" s="12"/>
      <c r="Z462" s="12"/>
      <c r="AA462" s="12"/>
      <c r="AB462" s="12"/>
      <c r="AC462" s="12"/>
      <c r="AD462" s="12"/>
    </row>
    <row r="463" spans="1:30" ht="13.5" customHeight="1">
      <c r="A463" s="4"/>
      <c r="B463" s="4"/>
      <c r="C463" s="4"/>
      <c r="D463" s="4"/>
      <c r="E463" s="4"/>
      <c r="F463" s="4"/>
      <c r="G463" s="4"/>
      <c r="H463" s="4"/>
      <c r="I463" s="4"/>
      <c r="J463" s="4"/>
      <c r="K463" s="4"/>
      <c r="L463" s="4"/>
      <c r="M463" s="4"/>
      <c r="N463" s="4"/>
      <c r="O463" s="4"/>
      <c r="P463" s="4"/>
      <c r="Q463" s="4"/>
      <c r="R463" s="12"/>
      <c r="S463" s="12"/>
      <c r="T463" s="12"/>
      <c r="U463" s="12"/>
      <c r="V463" s="12"/>
      <c r="W463" s="12"/>
      <c r="X463" s="12"/>
      <c r="Y463" s="12"/>
      <c r="Z463" s="12"/>
      <c r="AA463" s="12"/>
      <c r="AB463" s="12"/>
      <c r="AC463" s="12"/>
      <c r="AD463" s="12"/>
    </row>
    <row r="464" spans="1:30" ht="13.5" customHeight="1">
      <c r="A464" s="4"/>
      <c r="B464" s="4"/>
      <c r="C464" s="4"/>
      <c r="D464" s="4"/>
      <c r="E464" s="4"/>
      <c r="F464" s="4"/>
      <c r="G464" s="4"/>
      <c r="H464" s="4"/>
      <c r="I464" s="4"/>
      <c r="J464" s="4"/>
      <c r="K464" s="4"/>
      <c r="L464" s="4"/>
      <c r="M464" s="4"/>
      <c r="N464" s="4"/>
      <c r="O464" s="4"/>
      <c r="P464" s="4"/>
      <c r="Q464" s="4"/>
      <c r="R464" s="12"/>
      <c r="S464" s="12"/>
      <c r="T464" s="12"/>
      <c r="U464" s="12"/>
      <c r="V464" s="12"/>
      <c r="W464" s="12"/>
      <c r="X464" s="12"/>
      <c r="Y464" s="12"/>
      <c r="Z464" s="12"/>
      <c r="AA464" s="12"/>
      <c r="AB464" s="12"/>
      <c r="AC464" s="12"/>
      <c r="AD464" s="12"/>
    </row>
    <row r="465" spans="1:30" ht="13.5" customHeight="1">
      <c r="A465" s="4"/>
      <c r="B465" s="4"/>
      <c r="C465" s="4"/>
      <c r="D465" s="4"/>
      <c r="E465" s="4"/>
      <c r="F465" s="4"/>
      <c r="G465" s="4"/>
      <c r="H465" s="4"/>
      <c r="I465" s="4"/>
      <c r="J465" s="4"/>
      <c r="K465" s="4"/>
      <c r="L465" s="4"/>
      <c r="M465" s="4"/>
      <c r="N465" s="4"/>
      <c r="O465" s="4"/>
      <c r="P465" s="4"/>
      <c r="Q465" s="4"/>
      <c r="R465" s="12"/>
      <c r="S465" s="12"/>
      <c r="T465" s="12"/>
      <c r="U465" s="12"/>
      <c r="V465" s="12"/>
      <c r="W465" s="12"/>
      <c r="X465" s="12"/>
      <c r="Y465" s="12"/>
      <c r="Z465" s="12"/>
      <c r="AA465" s="12"/>
      <c r="AB465" s="12"/>
      <c r="AC465" s="12"/>
      <c r="AD465" s="12"/>
    </row>
    <row r="466" spans="1:30" ht="13.5" customHeight="1">
      <c r="A466" s="4"/>
      <c r="B466" s="4"/>
      <c r="C466" s="4"/>
      <c r="D466" s="4"/>
      <c r="E466" s="4"/>
      <c r="F466" s="4"/>
      <c r="G466" s="4"/>
      <c r="H466" s="4"/>
      <c r="I466" s="4"/>
      <c r="J466" s="4"/>
      <c r="K466" s="4"/>
      <c r="L466" s="4"/>
      <c r="M466" s="4"/>
      <c r="N466" s="4"/>
      <c r="O466" s="4"/>
      <c r="P466" s="4"/>
      <c r="Q466" s="4"/>
      <c r="R466" s="12"/>
      <c r="S466" s="12"/>
      <c r="T466" s="12"/>
      <c r="U466" s="12"/>
      <c r="V466" s="12"/>
      <c r="W466" s="12"/>
      <c r="X466" s="12"/>
      <c r="Y466" s="12"/>
      <c r="Z466" s="12"/>
      <c r="AA466" s="12"/>
      <c r="AB466" s="12"/>
      <c r="AC466" s="12"/>
      <c r="AD466" s="12"/>
    </row>
    <row r="467" spans="1:30" ht="13.5" customHeight="1">
      <c r="A467" s="4"/>
      <c r="B467" s="4"/>
      <c r="C467" s="4"/>
      <c r="D467" s="4"/>
      <c r="E467" s="4"/>
      <c r="F467" s="4"/>
      <c r="G467" s="4"/>
      <c r="H467" s="4"/>
      <c r="I467" s="4"/>
      <c r="J467" s="4"/>
      <c r="K467" s="4"/>
      <c r="L467" s="4"/>
      <c r="M467" s="4"/>
      <c r="N467" s="4"/>
      <c r="O467" s="4"/>
      <c r="P467" s="4"/>
      <c r="Q467" s="4"/>
      <c r="R467" s="12"/>
      <c r="S467" s="12"/>
      <c r="T467" s="12"/>
      <c r="U467" s="12"/>
      <c r="V467" s="12"/>
      <c r="W467" s="12"/>
      <c r="X467" s="12"/>
      <c r="Y467" s="12"/>
      <c r="Z467" s="12"/>
      <c r="AA467" s="12"/>
      <c r="AB467" s="12"/>
      <c r="AC467" s="12"/>
      <c r="AD467" s="12"/>
    </row>
    <row r="468" spans="1:30" ht="13.5" customHeight="1">
      <c r="A468" s="4"/>
      <c r="B468" s="4"/>
      <c r="C468" s="4"/>
      <c r="D468" s="4"/>
      <c r="E468" s="4"/>
      <c r="F468" s="4"/>
      <c r="G468" s="4"/>
      <c r="H468" s="4"/>
      <c r="I468" s="4"/>
      <c r="J468" s="4"/>
      <c r="K468" s="4"/>
      <c r="L468" s="4"/>
      <c r="M468" s="4"/>
      <c r="N468" s="4"/>
      <c r="O468" s="4"/>
      <c r="P468" s="4"/>
      <c r="Q468" s="4"/>
      <c r="R468" s="12"/>
      <c r="S468" s="12"/>
      <c r="T468" s="12"/>
      <c r="U468" s="12"/>
      <c r="V468" s="12"/>
      <c r="W468" s="12"/>
      <c r="X468" s="12"/>
      <c r="Y468" s="12"/>
      <c r="Z468" s="12"/>
      <c r="AA468" s="12"/>
      <c r="AB468" s="12"/>
      <c r="AC468" s="12"/>
      <c r="AD468" s="12"/>
    </row>
    <row r="469" spans="1:30" ht="13.5" customHeight="1">
      <c r="A469" s="4"/>
      <c r="B469" s="4"/>
      <c r="C469" s="4"/>
      <c r="D469" s="4"/>
      <c r="E469" s="4"/>
      <c r="F469" s="4"/>
      <c r="G469" s="4"/>
      <c r="H469" s="4"/>
      <c r="I469" s="4"/>
      <c r="J469" s="4"/>
      <c r="K469" s="4"/>
      <c r="L469" s="4"/>
      <c r="M469" s="4"/>
      <c r="N469" s="4"/>
      <c r="O469" s="4"/>
      <c r="P469" s="4"/>
      <c r="Q469" s="4"/>
      <c r="R469" s="12"/>
      <c r="S469" s="12"/>
      <c r="T469" s="12"/>
      <c r="U469" s="12"/>
      <c r="V469" s="12"/>
      <c r="W469" s="12"/>
      <c r="X469" s="12"/>
      <c r="Y469" s="12"/>
      <c r="Z469" s="12"/>
      <c r="AA469" s="12"/>
      <c r="AB469" s="12"/>
      <c r="AC469" s="12"/>
      <c r="AD469" s="12"/>
    </row>
    <row r="470" spans="1:30" ht="13.5" customHeight="1">
      <c r="A470" s="4"/>
      <c r="B470" s="4"/>
      <c r="C470" s="4"/>
      <c r="D470" s="4"/>
      <c r="E470" s="4"/>
      <c r="F470" s="4"/>
      <c r="G470" s="4"/>
      <c r="H470" s="4"/>
      <c r="I470" s="4"/>
      <c r="J470" s="4"/>
      <c r="K470" s="4"/>
      <c r="L470" s="4"/>
      <c r="M470" s="4"/>
      <c r="N470" s="4"/>
      <c r="O470" s="4"/>
      <c r="P470" s="4"/>
      <c r="Q470" s="4"/>
      <c r="R470" s="12"/>
      <c r="S470" s="12"/>
      <c r="T470" s="12"/>
      <c r="U470" s="12"/>
      <c r="V470" s="12"/>
      <c r="W470" s="12"/>
      <c r="X470" s="12"/>
      <c r="Y470" s="12"/>
      <c r="Z470" s="12"/>
      <c r="AA470" s="12"/>
      <c r="AB470" s="12"/>
      <c r="AC470" s="12"/>
      <c r="AD470" s="12"/>
    </row>
    <row r="471" spans="1:30" ht="13.5" customHeight="1">
      <c r="A471" s="4"/>
      <c r="B471" s="4"/>
      <c r="C471" s="4"/>
      <c r="D471" s="4"/>
      <c r="E471" s="4"/>
      <c r="F471" s="4"/>
      <c r="G471" s="4"/>
      <c r="H471" s="4"/>
      <c r="I471" s="4"/>
      <c r="J471" s="4"/>
      <c r="K471" s="4"/>
      <c r="L471" s="4"/>
      <c r="M471" s="4"/>
      <c r="N471" s="4"/>
      <c r="O471" s="4"/>
      <c r="P471" s="4"/>
      <c r="Q471" s="4"/>
      <c r="R471" s="12"/>
      <c r="S471" s="12"/>
      <c r="T471" s="12"/>
      <c r="U471" s="12"/>
      <c r="V471" s="12"/>
      <c r="W471" s="12"/>
      <c r="X471" s="12"/>
      <c r="Y471" s="12"/>
      <c r="Z471" s="12"/>
      <c r="AA471" s="12"/>
      <c r="AB471" s="12"/>
      <c r="AC471" s="12"/>
      <c r="AD471" s="12"/>
    </row>
    <row r="472" spans="1:30" ht="13.5" customHeight="1">
      <c r="A472" s="4"/>
      <c r="B472" s="4"/>
      <c r="C472" s="4"/>
      <c r="D472" s="4"/>
      <c r="E472" s="4"/>
      <c r="F472" s="4"/>
      <c r="G472" s="4"/>
      <c r="H472" s="4"/>
      <c r="I472" s="4"/>
      <c r="J472" s="4"/>
      <c r="K472" s="4"/>
      <c r="L472" s="4"/>
      <c r="M472" s="4"/>
      <c r="N472" s="4"/>
      <c r="O472" s="4"/>
      <c r="P472" s="4"/>
      <c r="Q472" s="4"/>
      <c r="R472" s="12"/>
      <c r="S472" s="12"/>
      <c r="T472" s="12"/>
      <c r="U472" s="12"/>
      <c r="V472" s="12"/>
      <c r="W472" s="12"/>
      <c r="X472" s="12"/>
      <c r="Y472" s="12"/>
      <c r="Z472" s="12"/>
      <c r="AA472" s="12"/>
      <c r="AB472" s="12"/>
      <c r="AC472" s="12"/>
      <c r="AD472" s="12"/>
    </row>
    <row r="473" spans="1:30" ht="13.5" customHeight="1">
      <c r="A473" s="4"/>
      <c r="B473" s="4"/>
      <c r="C473" s="4"/>
      <c r="D473" s="4"/>
      <c r="E473" s="4"/>
      <c r="F473" s="4"/>
      <c r="G473" s="4"/>
      <c r="H473" s="4"/>
      <c r="I473" s="4"/>
      <c r="J473" s="4"/>
      <c r="K473" s="4"/>
      <c r="L473" s="4"/>
      <c r="M473" s="4"/>
      <c r="N473" s="4"/>
      <c r="O473" s="4"/>
      <c r="P473" s="4"/>
      <c r="Q473" s="4"/>
      <c r="R473" s="12"/>
      <c r="S473" s="12"/>
      <c r="T473" s="12"/>
      <c r="U473" s="12"/>
      <c r="V473" s="12"/>
      <c r="W473" s="12"/>
      <c r="X473" s="12"/>
      <c r="Y473" s="12"/>
      <c r="Z473" s="12"/>
      <c r="AA473" s="12"/>
      <c r="AB473" s="12"/>
      <c r="AC473" s="12"/>
      <c r="AD473" s="12"/>
    </row>
    <row r="474" spans="1:30" ht="13.5" customHeight="1">
      <c r="A474" s="4"/>
      <c r="B474" s="4"/>
      <c r="C474" s="4"/>
      <c r="D474" s="4"/>
      <c r="E474" s="4"/>
      <c r="F474" s="4"/>
      <c r="G474" s="4"/>
      <c r="H474" s="4"/>
      <c r="I474" s="4"/>
      <c r="J474" s="4"/>
      <c r="K474" s="4"/>
      <c r="L474" s="4"/>
      <c r="M474" s="4"/>
      <c r="N474" s="4"/>
      <c r="O474" s="4"/>
      <c r="P474" s="4"/>
      <c r="Q474" s="4"/>
      <c r="R474" s="12"/>
      <c r="S474" s="12"/>
      <c r="T474" s="12"/>
      <c r="U474" s="12"/>
      <c r="V474" s="12"/>
      <c r="W474" s="12"/>
      <c r="X474" s="12"/>
      <c r="Y474" s="12"/>
      <c r="Z474" s="12"/>
      <c r="AA474" s="12"/>
      <c r="AB474" s="12"/>
      <c r="AC474" s="12"/>
      <c r="AD474" s="12"/>
    </row>
    <row r="475" spans="1:30" ht="13.5" customHeight="1">
      <c r="A475" s="4"/>
      <c r="B475" s="4"/>
      <c r="C475" s="4"/>
      <c r="D475" s="4"/>
      <c r="E475" s="4"/>
      <c r="F475" s="4"/>
      <c r="G475" s="4"/>
      <c r="H475" s="4"/>
      <c r="I475" s="4"/>
      <c r="J475" s="4"/>
      <c r="K475" s="4"/>
      <c r="L475" s="4"/>
      <c r="M475" s="4"/>
      <c r="N475" s="4"/>
      <c r="O475" s="4"/>
      <c r="P475" s="4"/>
      <c r="Q475" s="4"/>
      <c r="R475" s="12"/>
      <c r="S475" s="12"/>
      <c r="T475" s="12"/>
      <c r="U475" s="12"/>
      <c r="V475" s="12"/>
      <c r="W475" s="12"/>
      <c r="X475" s="12"/>
      <c r="Y475" s="12"/>
      <c r="Z475" s="12"/>
      <c r="AA475" s="12"/>
      <c r="AB475" s="12"/>
      <c r="AC475" s="12"/>
      <c r="AD475" s="12"/>
    </row>
    <row r="476" spans="1:30" ht="13.5" customHeight="1">
      <c r="A476" s="4"/>
      <c r="B476" s="4"/>
      <c r="C476" s="4"/>
      <c r="D476" s="4"/>
      <c r="E476" s="4"/>
      <c r="F476" s="4"/>
      <c r="G476" s="4"/>
      <c r="H476" s="4"/>
      <c r="I476" s="4"/>
      <c r="J476" s="4"/>
      <c r="K476" s="4"/>
      <c r="L476" s="4"/>
      <c r="M476" s="4"/>
      <c r="N476" s="4"/>
      <c r="O476" s="4"/>
      <c r="P476" s="4"/>
      <c r="Q476" s="4"/>
      <c r="R476" s="12"/>
      <c r="S476" s="12"/>
      <c r="T476" s="12"/>
      <c r="U476" s="12"/>
      <c r="V476" s="12"/>
      <c r="W476" s="12"/>
      <c r="X476" s="12"/>
      <c r="Y476" s="12"/>
      <c r="Z476" s="12"/>
      <c r="AA476" s="12"/>
      <c r="AB476" s="12"/>
      <c r="AC476" s="12"/>
      <c r="AD476" s="12"/>
    </row>
    <row r="477" spans="1:30" ht="13.5" customHeight="1">
      <c r="A477" s="4"/>
      <c r="B477" s="4"/>
      <c r="C477" s="4"/>
      <c r="D477" s="4"/>
      <c r="E477" s="4"/>
      <c r="F477" s="4"/>
      <c r="G477" s="4"/>
      <c r="H477" s="4"/>
      <c r="I477" s="4"/>
      <c r="J477" s="4"/>
      <c r="K477" s="4"/>
      <c r="L477" s="4"/>
      <c r="M477" s="4"/>
      <c r="N477" s="4"/>
      <c r="O477" s="4"/>
      <c r="P477" s="4"/>
      <c r="Q477" s="4"/>
      <c r="R477" s="12"/>
      <c r="S477" s="12"/>
      <c r="T477" s="12"/>
      <c r="U477" s="12"/>
      <c r="V477" s="12"/>
      <c r="W477" s="12"/>
      <c r="X477" s="12"/>
      <c r="Y477" s="12"/>
      <c r="Z477" s="12"/>
      <c r="AA477" s="12"/>
      <c r="AB477" s="12"/>
      <c r="AC477" s="12"/>
      <c r="AD477" s="12"/>
    </row>
    <row r="478" spans="1:30" ht="13.5" customHeight="1">
      <c r="A478" s="4"/>
      <c r="B478" s="4"/>
      <c r="C478" s="4"/>
      <c r="D478" s="4"/>
      <c r="E478" s="4"/>
      <c r="F478" s="4"/>
      <c r="G478" s="4"/>
      <c r="H478" s="4"/>
      <c r="I478" s="4"/>
      <c r="J478" s="4"/>
      <c r="K478" s="4"/>
      <c r="L478" s="4"/>
      <c r="M478" s="4"/>
      <c r="N478" s="4"/>
      <c r="O478" s="4"/>
      <c r="P478" s="4"/>
      <c r="Q478" s="4"/>
      <c r="R478" s="12"/>
      <c r="S478" s="12"/>
      <c r="T478" s="12"/>
      <c r="U478" s="12"/>
      <c r="V478" s="12"/>
      <c r="W478" s="12"/>
      <c r="X478" s="12"/>
      <c r="Y478" s="12"/>
      <c r="Z478" s="12"/>
      <c r="AA478" s="12"/>
      <c r="AB478" s="12"/>
      <c r="AC478" s="12"/>
      <c r="AD478" s="12"/>
    </row>
    <row r="479" spans="1:30" ht="13.5" customHeight="1">
      <c r="A479" s="4"/>
      <c r="B479" s="4"/>
      <c r="C479" s="4"/>
      <c r="D479" s="4"/>
      <c r="E479" s="4"/>
      <c r="F479" s="4"/>
      <c r="G479" s="4"/>
      <c r="H479" s="4"/>
      <c r="I479" s="4"/>
      <c r="J479" s="4"/>
      <c r="K479" s="4"/>
      <c r="L479" s="4"/>
      <c r="M479" s="4"/>
      <c r="N479" s="4"/>
      <c r="O479" s="4"/>
      <c r="P479" s="4"/>
      <c r="Q479" s="4"/>
      <c r="R479" s="12"/>
      <c r="S479" s="12"/>
      <c r="T479" s="12"/>
      <c r="U479" s="12"/>
      <c r="V479" s="12"/>
      <c r="W479" s="12"/>
      <c r="X479" s="12"/>
      <c r="Y479" s="12"/>
      <c r="Z479" s="12"/>
      <c r="AA479" s="12"/>
      <c r="AB479" s="12"/>
      <c r="AC479" s="12"/>
      <c r="AD479" s="12"/>
    </row>
    <row r="480" spans="1:30" ht="13.5" customHeight="1">
      <c r="A480" s="4"/>
      <c r="B480" s="4"/>
      <c r="C480" s="4"/>
      <c r="D480" s="4"/>
      <c r="E480" s="4"/>
      <c r="F480" s="4"/>
      <c r="G480" s="4"/>
      <c r="H480" s="4"/>
      <c r="I480" s="4"/>
      <c r="J480" s="4"/>
      <c r="K480" s="4"/>
      <c r="L480" s="4"/>
      <c r="M480" s="4"/>
      <c r="N480" s="4"/>
      <c r="O480" s="4"/>
      <c r="P480" s="4"/>
      <c r="Q480" s="4"/>
      <c r="R480" s="12"/>
      <c r="S480" s="12"/>
      <c r="T480" s="12"/>
      <c r="U480" s="12"/>
      <c r="V480" s="12"/>
      <c r="W480" s="12"/>
      <c r="X480" s="12"/>
      <c r="Y480" s="12"/>
      <c r="Z480" s="12"/>
      <c r="AA480" s="12"/>
      <c r="AB480" s="12"/>
      <c r="AC480" s="12"/>
      <c r="AD480" s="12"/>
    </row>
    <row r="481" spans="1:30" ht="13.5" customHeight="1">
      <c r="A481" s="4"/>
      <c r="B481" s="4"/>
      <c r="C481" s="4"/>
      <c r="D481" s="4"/>
      <c r="E481" s="4"/>
      <c r="F481" s="4"/>
      <c r="G481" s="4"/>
      <c r="H481" s="4"/>
      <c r="I481" s="4"/>
      <c r="J481" s="4"/>
      <c r="K481" s="4"/>
      <c r="L481" s="4"/>
      <c r="M481" s="4"/>
      <c r="N481" s="4"/>
      <c r="O481" s="4"/>
      <c r="P481" s="4"/>
      <c r="Q481" s="4"/>
      <c r="R481" s="12"/>
      <c r="S481" s="12"/>
      <c r="T481" s="12"/>
      <c r="U481" s="12"/>
      <c r="V481" s="12"/>
      <c r="W481" s="12"/>
      <c r="X481" s="12"/>
      <c r="Y481" s="12"/>
      <c r="Z481" s="12"/>
      <c r="AA481" s="12"/>
      <c r="AB481" s="12"/>
      <c r="AC481" s="12"/>
      <c r="AD481" s="12"/>
    </row>
    <row r="482" spans="1:30" ht="13.5" customHeight="1">
      <c r="A482" s="4"/>
      <c r="B482" s="4"/>
      <c r="C482" s="4"/>
      <c r="D482" s="4"/>
      <c r="E482" s="4"/>
      <c r="F482" s="4"/>
      <c r="G482" s="4"/>
      <c r="H482" s="4"/>
      <c r="I482" s="4"/>
      <c r="J482" s="4"/>
      <c r="K482" s="4"/>
      <c r="L482" s="4"/>
      <c r="M482" s="4"/>
      <c r="N482" s="4"/>
      <c r="O482" s="4"/>
      <c r="P482" s="4"/>
      <c r="Q482" s="4"/>
      <c r="R482" s="12"/>
      <c r="S482" s="12"/>
      <c r="T482" s="12"/>
      <c r="U482" s="12"/>
      <c r="V482" s="12"/>
      <c r="W482" s="12"/>
      <c r="X482" s="12"/>
      <c r="Y482" s="12"/>
      <c r="Z482" s="12"/>
      <c r="AA482" s="12"/>
      <c r="AB482" s="12"/>
      <c r="AC482" s="12"/>
      <c r="AD482" s="12"/>
    </row>
    <row r="483" spans="1:30" ht="13.5" customHeight="1">
      <c r="A483" s="4"/>
      <c r="B483" s="4"/>
      <c r="C483" s="4"/>
      <c r="D483" s="4"/>
      <c r="E483" s="4"/>
      <c r="F483" s="4"/>
      <c r="G483" s="4"/>
      <c r="H483" s="4"/>
      <c r="I483" s="4"/>
      <c r="J483" s="4"/>
      <c r="K483" s="4"/>
      <c r="L483" s="4"/>
      <c r="M483" s="4"/>
      <c r="N483" s="4"/>
      <c r="O483" s="4"/>
      <c r="P483" s="4"/>
      <c r="Q483" s="4"/>
      <c r="R483" s="12"/>
      <c r="S483" s="12"/>
      <c r="T483" s="12"/>
      <c r="U483" s="12"/>
      <c r="V483" s="12"/>
      <c r="W483" s="12"/>
      <c r="X483" s="12"/>
      <c r="Y483" s="12"/>
      <c r="Z483" s="12"/>
      <c r="AA483" s="12"/>
      <c r="AB483" s="12"/>
      <c r="AC483" s="12"/>
      <c r="AD483" s="12"/>
    </row>
    <row r="484" spans="1:30" ht="13.5" customHeight="1">
      <c r="A484" s="4"/>
      <c r="B484" s="4"/>
      <c r="C484" s="4"/>
      <c r="D484" s="4"/>
      <c r="E484" s="4"/>
      <c r="F484" s="4"/>
      <c r="G484" s="4"/>
      <c r="H484" s="4"/>
      <c r="I484" s="4"/>
      <c r="J484" s="4"/>
      <c r="K484" s="4"/>
      <c r="L484" s="4"/>
      <c r="M484" s="4"/>
      <c r="N484" s="4"/>
      <c r="O484" s="4"/>
      <c r="P484" s="4"/>
      <c r="Q484" s="4"/>
      <c r="R484" s="12"/>
      <c r="S484" s="12"/>
      <c r="T484" s="12"/>
      <c r="U484" s="12"/>
      <c r="V484" s="12"/>
      <c r="W484" s="12"/>
      <c r="X484" s="12"/>
      <c r="Y484" s="12"/>
      <c r="Z484" s="12"/>
      <c r="AA484" s="12"/>
      <c r="AB484" s="12"/>
      <c r="AC484" s="12"/>
      <c r="AD484" s="12"/>
    </row>
    <row r="485" spans="1:30" ht="13.5" customHeight="1">
      <c r="A485" s="4"/>
      <c r="B485" s="4"/>
      <c r="C485" s="4"/>
      <c r="D485" s="4"/>
      <c r="E485" s="4"/>
      <c r="F485" s="4"/>
      <c r="G485" s="4"/>
      <c r="H485" s="4"/>
      <c r="I485" s="4"/>
      <c r="J485" s="4"/>
      <c r="K485" s="4"/>
      <c r="L485" s="4"/>
      <c r="M485" s="4"/>
      <c r="N485" s="4"/>
      <c r="O485" s="4"/>
      <c r="P485" s="4"/>
      <c r="Q485" s="4"/>
      <c r="R485" s="12"/>
      <c r="S485" s="12"/>
      <c r="T485" s="12"/>
      <c r="U485" s="12"/>
      <c r="V485" s="12"/>
      <c r="W485" s="12"/>
      <c r="X485" s="12"/>
      <c r="Y485" s="12"/>
      <c r="Z485" s="12"/>
      <c r="AA485" s="12"/>
      <c r="AB485" s="12"/>
      <c r="AC485" s="12"/>
      <c r="AD485" s="12"/>
    </row>
    <row r="486" spans="1:30" ht="13.5" customHeight="1">
      <c r="A486" s="4"/>
      <c r="B486" s="4"/>
      <c r="C486" s="4"/>
      <c r="D486" s="4"/>
      <c r="E486" s="4"/>
      <c r="F486" s="4"/>
      <c r="G486" s="4"/>
      <c r="H486" s="4"/>
      <c r="I486" s="4"/>
      <c r="J486" s="4"/>
      <c r="K486" s="4"/>
      <c r="L486" s="4"/>
      <c r="M486" s="4"/>
      <c r="N486" s="4"/>
      <c r="O486" s="4"/>
      <c r="P486" s="4"/>
      <c r="Q486" s="4"/>
      <c r="R486" s="12"/>
      <c r="S486" s="12"/>
      <c r="T486" s="12"/>
      <c r="U486" s="12"/>
      <c r="V486" s="12"/>
      <c r="W486" s="12"/>
      <c r="X486" s="12"/>
      <c r="Y486" s="12"/>
      <c r="Z486" s="12"/>
      <c r="AA486" s="12"/>
      <c r="AB486" s="12"/>
      <c r="AC486" s="12"/>
      <c r="AD486" s="12"/>
    </row>
    <row r="487" spans="1:30" ht="13.5" customHeight="1">
      <c r="A487" s="4"/>
      <c r="B487" s="4"/>
      <c r="C487" s="4"/>
      <c r="D487" s="4"/>
      <c r="E487" s="4"/>
      <c r="F487" s="4"/>
      <c r="G487" s="4"/>
      <c r="H487" s="4"/>
      <c r="I487" s="4"/>
      <c r="J487" s="4"/>
      <c r="K487" s="4"/>
      <c r="L487" s="4"/>
      <c r="M487" s="4"/>
      <c r="N487" s="4"/>
      <c r="O487" s="4"/>
      <c r="P487" s="4"/>
      <c r="Q487" s="4"/>
      <c r="R487" s="12"/>
      <c r="S487" s="12"/>
      <c r="T487" s="12"/>
      <c r="U487" s="12"/>
      <c r="V487" s="12"/>
      <c r="W487" s="12"/>
      <c r="X487" s="12"/>
      <c r="Y487" s="12"/>
      <c r="Z487" s="12"/>
      <c r="AA487" s="12"/>
      <c r="AB487" s="12"/>
      <c r="AC487" s="12"/>
      <c r="AD487" s="12"/>
    </row>
    <row r="488" spans="1:30" ht="13.5" customHeight="1">
      <c r="A488" s="4"/>
      <c r="B488" s="4"/>
      <c r="C488" s="4"/>
      <c r="D488" s="4"/>
      <c r="E488" s="4"/>
      <c r="F488" s="4"/>
      <c r="G488" s="4"/>
      <c r="H488" s="4"/>
      <c r="I488" s="4"/>
      <c r="J488" s="4"/>
      <c r="K488" s="4"/>
      <c r="L488" s="4"/>
      <c r="M488" s="4"/>
      <c r="N488" s="4"/>
      <c r="O488" s="4"/>
      <c r="P488" s="4"/>
      <c r="Q488" s="4"/>
      <c r="R488" s="12"/>
      <c r="S488" s="12"/>
      <c r="T488" s="12"/>
      <c r="U488" s="12"/>
      <c r="V488" s="12"/>
      <c r="W488" s="12"/>
      <c r="X488" s="12"/>
      <c r="Y488" s="12"/>
      <c r="Z488" s="12"/>
      <c r="AA488" s="12"/>
      <c r="AB488" s="12"/>
      <c r="AC488" s="12"/>
      <c r="AD488" s="12"/>
    </row>
    <row r="489" spans="1:30" ht="13.5" customHeight="1">
      <c r="A489" s="4"/>
      <c r="B489" s="4"/>
      <c r="C489" s="4"/>
      <c r="D489" s="4"/>
      <c r="E489" s="4"/>
      <c r="F489" s="4"/>
      <c r="G489" s="4"/>
      <c r="H489" s="4"/>
      <c r="I489" s="4"/>
      <c r="J489" s="4"/>
      <c r="K489" s="4"/>
      <c r="L489" s="4"/>
      <c r="M489" s="4"/>
      <c r="N489" s="4"/>
      <c r="O489" s="4"/>
      <c r="P489" s="4"/>
      <c r="Q489" s="4"/>
      <c r="R489" s="12"/>
      <c r="S489" s="12"/>
      <c r="T489" s="12"/>
      <c r="U489" s="12"/>
      <c r="V489" s="12"/>
      <c r="W489" s="12"/>
      <c r="X489" s="12"/>
      <c r="Y489" s="12"/>
      <c r="Z489" s="12"/>
      <c r="AA489" s="12"/>
      <c r="AB489" s="12"/>
      <c r="AC489" s="12"/>
      <c r="AD489" s="12"/>
    </row>
    <row r="490" spans="1:30" ht="13.5" customHeight="1">
      <c r="A490" s="4"/>
      <c r="B490" s="4"/>
      <c r="C490" s="4"/>
      <c r="D490" s="4"/>
      <c r="E490" s="4"/>
      <c r="F490" s="4"/>
      <c r="G490" s="4"/>
      <c r="H490" s="4"/>
      <c r="I490" s="4"/>
      <c r="J490" s="4"/>
      <c r="K490" s="4"/>
      <c r="L490" s="4"/>
      <c r="M490" s="4"/>
      <c r="N490" s="4"/>
      <c r="O490" s="4"/>
      <c r="P490" s="4"/>
      <c r="Q490" s="4"/>
      <c r="R490" s="12"/>
      <c r="S490" s="12"/>
      <c r="T490" s="12"/>
      <c r="U490" s="12"/>
      <c r="V490" s="12"/>
      <c r="W490" s="12"/>
      <c r="X490" s="12"/>
      <c r="Y490" s="12"/>
      <c r="Z490" s="12"/>
      <c r="AA490" s="12"/>
      <c r="AB490" s="12"/>
      <c r="AC490" s="12"/>
      <c r="AD490" s="12"/>
    </row>
    <row r="491" spans="1:30" ht="13.5" customHeight="1">
      <c r="A491" s="4"/>
      <c r="B491" s="4"/>
      <c r="C491" s="4"/>
      <c r="D491" s="4"/>
      <c r="E491" s="4"/>
      <c r="F491" s="4"/>
      <c r="G491" s="4"/>
      <c r="H491" s="4"/>
      <c r="I491" s="4"/>
      <c r="J491" s="4"/>
      <c r="K491" s="4"/>
      <c r="L491" s="4"/>
      <c r="M491" s="4"/>
      <c r="N491" s="4"/>
      <c r="O491" s="4"/>
      <c r="P491" s="4"/>
      <c r="Q491" s="4"/>
      <c r="R491" s="12"/>
      <c r="S491" s="12"/>
      <c r="T491" s="12"/>
      <c r="U491" s="12"/>
      <c r="V491" s="12"/>
      <c r="W491" s="12"/>
      <c r="X491" s="12"/>
      <c r="Y491" s="12"/>
      <c r="Z491" s="12"/>
      <c r="AA491" s="12"/>
      <c r="AB491" s="12"/>
      <c r="AC491" s="12"/>
      <c r="AD491" s="12"/>
    </row>
    <row r="492" spans="1:30" ht="13.5" customHeight="1">
      <c r="A492" s="4"/>
      <c r="B492" s="4"/>
      <c r="C492" s="4"/>
      <c r="D492" s="4"/>
      <c r="E492" s="4"/>
      <c r="F492" s="4"/>
      <c r="G492" s="4"/>
      <c r="H492" s="4"/>
      <c r="I492" s="4"/>
      <c r="J492" s="4"/>
      <c r="K492" s="4"/>
      <c r="L492" s="4"/>
      <c r="M492" s="4"/>
      <c r="N492" s="4"/>
      <c r="O492" s="4"/>
      <c r="P492" s="4"/>
      <c r="Q492" s="4"/>
      <c r="R492" s="12"/>
      <c r="S492" s="12"/>
      <c r="T492" s="12"/>
      <c r="U492" s="12"/>
      <c r="V492" s="12"/>
      <c r="W492" s="12"/>
      <c r="X492" s="12"/>
      <c r="Y492" s="12"/>
      <c r="Z492" s="12"/>
      <c r="AA492" s="12"/>
      <c r="AB492" s="12"/>
      <c r="AC492" s="12"/>
      <c r="AD492" s="12"/>
    </row>
    <row r="493" spans="1:30" ht="13.5" customHeight="1">
      <c r="A493" s="4"/>
      <c r="B493" s="4"/>
      <c r="C493" s="4"/>
      <c r="D493" s="4"/>
      <c r="E493" s="4"/>
      <c r="F493" s="4"/>
      <c r="G493" s="4"/>
      <c r="H493" s="4"/>
      <c r="I493" s="4"/>
      <c r="J493" s="4"/>
      <c r="K493" s="4"/>
      <c r="L493" s="4"/>
      <c r="M493" s="4"/>
      <c r="N493" s="4"/>
      <c r="O493" s="4"/>
      <c r="P493" s="4"/>
      <c r="Q493" s="4"/>
      <c r="R493" s="12"/>
      <c r="S493" s="12"/>
      <c r="T493" s="12"/>
      <c r="U493" s="12"/>
      <c r="V493" s="12"/>
      <c r="W493" s="12"/>
      <c r="X493" s="12"/>
      <c r="Y493" s="12"/>
      <c r="Z493" s="12"/>
      <c r="AA493" s="12"/>
      <c r="AB493" s="12"/>
      <c r="AC493" s="12"/>
      <c r="AD493" s="12"/>
    </row>
    <row r="494" spans="1:30" ht="13.5" customHeight="1">
      <c r="A494" s="4"/>
      <c r="B494" s="4"/>
      <c r="C494" s="4"/>
      <c r="D494" s="4"/>
      <c r="E494" s="4"/>
      <c r="F494" s="4"/>
      <c r="G494" s="4"/>
      <c r="H494" s="4"/>
      <c r="I494" s="4"/>
      <c r="J494" s="4"/>
      <c r="K494" s="4"/>
      <c r="L494" s="4"/>
      <c r="M494" s="4"/>
      <c r="N494" s="4"/>
      <c r="O494" s="4"/>
      <c r="P494" s="4"/>
      <c r="Q494" s="4"/>
      <c r="R494" s="12"/>
      <c r="S494" s="12"/>
      <c r="T494" s="12"/>
      <c r="U494" s="12"/>
      <c r="V494" s="12"/>
      <c r="W494" s="12"/>
      <c r="X494" s="12"/>
      <c r="Y494" s="12"/>
      <c r="Z494" s="12"/>
      <c r="AA494" s="12"/>
      <c r="AB494" s="12"/>
      <c r="AC494" s="12"/>
      <c r="AD494" s="12"/>
    </row>
    <row r="495" spans="1:30" ht="13.5" customHeight="1">
      <c r="A495" s="4"/>
      <c r="B495" s="4"/>
      <c r="C495" s="4"/>
      <c r="D495" s="4"/>
      <c r="E495" s="4"/>
      <c r="F495" s="4"/>
      <c r="G495" s="4"/>
      <c r="H495" s="4"/>
      <c r="I495" s="4"/>
      <c r="J495" s="4"/>
      <c r="K495" s="4"/>
      <c r="L495" s="4"/>
      <c r="M495" s="4"/>
      <c r="N495" s="4"/>
      <c r="O495" s="4"/>
      <c r="P495" s="4"/>
      <c r="Q495" s="4"/>
      <c r="R495" s="12"/>
      <c r="S495" s="12"/>
      <c r="T495" s="12"/>
      <c r="U495" s="12"/>
      <c r="V495" s="12"/>
      <c r="W495" s="12"/>
      <c r="X495" s="12"/>
      <c r="Y495" s="12"/>
      <c r="Z495" s="12"/>
      <c r="AA495" s="12"/>
      <c r="AB495" s="12"/>
      <c r="AC495" s="12"/>
      <c r="AD495" s="12"/>
    </row>
    <row r="496" spans="1:30" ht="13.5" customHeight="1">
      <c r="A496" s="4"/>
      <c r="B496" s="4"/>
      <c r="C496" s="4"/>
      <c r="D496" s="4"/>
      <c r="E496" s="4"/>
      <c r="F496" s="4"/>
      <c r="G496" s="4"/>
      <c r="H496" s="4"/>
      <c r="I496" s="4"/>
      <c r="J496" s="4"/>
      <c r="K496" s="4"/>
      <c r="L496" s="4"/>
      <c r="M496" s="4"/>
      <c r="N496" s="4"/>
      <c r="O496" s="4"/>
      <c r="P496" s="4"/>
      <c r="Q496" s="4"/>
      <c r="R496" s="12"/>
      <c r="S496" s="12"/>
      <c r="T496" s="12"/>
      <c r="U496" s="12"/>
      <c r="V496" s="12"/>
      <c r="W496" s="12"/>
      <c r="X496" s="12"/>
      <c r="Y496" s="12"/>
      <c r="Z496" s="12"/>
      <c r="AA496" s="12"/>
      <c r="AB496" s="12"/>
      <c r="AC496" s="12"/>
      <c r="AD496" s="12"/>
    </row>
    <row r="497" spans="1:30" ht="13.5" customHeight="1">
      <c r="A497" s="4"/>
      <c r="B497" s="4"/>
      <c r="C497" s="4"/>
      <c r="D497" s="4"/>
      <c r="E497" s="4"/>
      <c r="F497" s="4"/>
      <c r="G497" s="4"/>
      <c r="H497" s="4"/>
      <c r="I497" s="4"/>
      <c r="J497" s="4"/>
      <c r="K497" s="4"/>
      <c r="L497" s="4"/>
      <c r="M497" s="4"/>
      <c r="N497" s="4"/>
      <c r="O497" s="4"/>
      <c r="P497" s="4"/>
      <c r="Q497" s="4"/>
      <c r="R497" s="12"/>
      <c r="S497" s="12"/>
      <c r="T497" s="12"/>
      <c r="U497" s="12"/>
      <c r="V497" s="12"/>
      <c r="W497" s="12"/>
      <c r="X497" s="12"/>
      <c r="Y497" s="12"/>
      <c r="Z497" s="12"/>
      <c r="AA497" s="12"/>
      <c r="AB497" s="12"/>
      <c r="AC497" s="12"/>
      <c r="AD497" s="12"/>
    </row>
    <row r="498" spans="1:30" ht="13.5" customHeight="1">
      <c r="A498" s="4"/>
      <c r="B498" s="4"/>
      <c r="C498" s="4"/>
      <c r="D498" s="4"/>
      <c r="E498" s="4"/>
      <c r="F498" s="4"/>
      <c r="G498" s="4"/>
      <c r="H498" s="4"/>
      <c r="I498" s="4"/>
      <c r="J498" s="4"/>
      <c r="K498" s="4"/>
      <c r="L498" s="4"/>
      <c r="M498" s="4"/>
      <c r="N498" s="4"/>
      <c r="O498" s="4"/>
      <c r="P498" s="4"/>
      <c r="Q498" s="4"/>
      <c r="R498" s="12"/>
      <c r="S498" s="12"/>
      <c r="T498" s="12"/>
      <c r="U498" s="12"/>
      <c r="V498" s="12"/>
      <c r="W498" s="12"/>
      <c r="X498" s="12"/>
      <c r="Y498" s="12"/>
      <c r="Z498" s="12"/>
      <c r="AA498" s="12"/>
      <c r="AB498" s="12"/>
      <c r="AC498" s="12"/>
      <c r="AD498" s="12"/>
    </row>
    <row r="499" spans="1:30" ht="13.5" customHeight="1">
      <c r="A499" s="4"/>
      <c r="B499" s="4"/>
      <c r="C499" s="4"/>
      <c r="D499" s="4"/>
      <c r="E499" s="4"/>
      <c r="F499" s="4"/>
      <c r="G499" s="4"/>
      <c r="H499" s="4"/>
      <c r="I499" s="4"/>
      <c r="J499" s="4"/>
      <c r="K499" s="4"/>
      <c r="L499" s="4"/>
      <c r="M499" s="4"/>
      <c r="N499" s="4"/>
      <c r="O499" s="4"/>
      <c r="P499" s="4"/>
      <c r="Q499" s="4"/>
      <c r="R499" s="12"/>
      <c r="S499" s="12"/>
      <c r="T499" s="12"/>
      <c r="U499" s="12"/>
      <c r="V499" s="12"/>
      <c r="W499" s="12"/>
      <c r="X499" s="12"/>
      <c r="Y499" s="12"/>
      <c r="Z499" s="12"/>
      <c r="AA499" s="12"/>
      <c r="AB499" s="12"/>
      <c r="AC499" s="12"/>
      <c r="AD499" s="12"/>
    </row>
    <row r="500" spans="1:30" ht="13.5" customHeight="1">
      <c r="A500" s="4"/>
      <c r="B500" s="4"/>
      <c r="C500" s="4"/>
      <c r="D500" s="4"/>
      <c r="E500" s="4"/>
      <c r="F500" s="4"/>
      <c r="G500" s="4"/>
      <c r="H500" s="4"/>
      <c r="I500" s="4"/>
      <c r="J500" s="4"/>
      <c r="K500" s="4"/>
      <c r="L500" s="4"/>
      <c r="M500" s="4"/>
      <c r="N500" s="4"/>
      <c r="O500" s="4"/>
      <c r="P500" s="4"/>
      <c r="Q500" s="4"/>
      <c r="R500" s="12"/>
      <c r="S500" s="12"/>
      <c r="T500" s="12"/>
      <c r="U500" s="12"/>
      <c r="V500" s="12"/>
      <c r="W500" s="12"/>
      <c r="X500" s="12"/>
      <c r="Y500" s="12"/>
      <c r="Z500" s="12"/>
      <c r="AA500" s="12"/>
      <c r="AB500" s="12"/>
      <c r="AC500" s="12"/>
      <c r="AD500" s="12"/>
    </row>
    <row r="501" spans="1:30" ht="13.5" customHeight="1">
      <c r="A501" s="4"/>
      <c r="B501" s="4"/>
      <c r="C501" s="4"/>
      <c r="D501" s="4"/>
      <c r="E501" s="4"/>
      <c r="F501" s="4"/>
      <c r="G501" s="4"/>
      <c r="H501" s="4"/>
      <c r="I501" s="4"/>
      <c r="J501" s="4"/>
      <c r="K501" s="4"/>
      <c r="L501" s="4"/>
      <c r="M501" s="4"/>
      <c r="N501" s="4"/>
      <c r="O501" s="4"/>
      <c r="P501" s="4"/>
      <c r="Q501" s="4"/>
      <c r="R501" s="12"/>
      <c r="S501" s="12"/>
      <c r="T501" s="12"/>
      <c r="U501" s="12"/>
      <c r="V501" s="12"/>
      <c r="W501" s="12"/>
      <c r="X501" s="12"/>
      <c r="Y501" s="12"/>
      <c r="Z501" s="12"/>
      <c r="AA501" s="12"/>
      <c r="AB501" s="12"/>
      <c r="AC501" s="12"/>
      <c r="AD501" s="12"/>
    </row>
    <row r="502" spans="1:30" ht="13.5" customHeight="1">
      <c r="A502" s="4"/>
      <c r="B502" s="4"/>
      <c r="C502" s="4"/>
      <c r="D502" s="4"/>
      <c r="E502" s="4"/>
      <c r="F502" s="4"/>
      <c r="G502" s="4"/>
      <c r="H502" s="4"/>
      <c r="I502" s="4"/>
      <c r="J502" s="4"/>
      <c r="K502" s="4"/>
      <c r="L502" s="4"/>
      <c r="M502" s="4"/>
      <c r="N502" s="4"/>
      <c r="O502" s="4"/>
      <c r="P502" s="4"/>
      <c r="Q502" s="4"/>
      <c r="R502" s="12"/>
      <c r="S502" s="12"/>
      <c r="T502" s="12"/>
      <c r="U502" s="12"/>
      <c r="V502" s="12"/>
      <c r="W502" s="12"/>
      <c r="X502" s="12"/>
      <c r="Y502" s="12"/>
      <c r="Z502" s="12"/>
      <c r="AA502" s="12"/>
      <c r="AB502" s="12"/>
      <c r="AC502" s="12"/>
      <c r="AD502" s="12"/>
    </row>
    <row r="503" spans="1:30" ht="13.5" customHeight="1">
      <c r="A503" s="4"/>
      <c r="B503" s="4"/>
      <c r="C503" s="4"/>
      <c r="D503" s="4"/>
      <c r="E503" s="4"/>
      <c r="F503" s="4"/>
      <c r="G503" s="4"/>
      <c r="H503" s="4"/>
      <c r="I503" s="4"/>
      <c r="J503" s="4"/>
      <c r="K503" s="4"/>
      <c r="L503" s="4"/>
      <c r="M503" s="4"/>
      <c r="N503" s="4"/>
      <c r="O503" s="4"/>
      <c r="P503" s="4"/>
      <c r="Q503" s="4"/>
      <c r="R503" s="12"/>
      <c r="S503" s="12"/>
      <c r="T503" s="12"/>
      <c r="U503" s="12"/>
      <c r="V503" s="12"/>
      <c r="W503" s="12"/>
      <c r="X503" s="12"/>
      <c r="Y503" s="12"/>
      <c r="Z503" s="12"/>
      <c r="AA503" s="12"/>
      <c r="AB503" s="12"/>
      <c r="AC503" s="12"/>
      <c r="AD503" s="12"/>
    </row>
    <row r="504" spans="1:30" ht="13.5" customHeight="1">
      <c r="A504" s="4"/>
      <c r="B504" s="4"/>
      <c r="C504" s="4"/>
      <c r="D504" s="4"/>
      <c r="E504" s="4"/>
      <c r="F504" s="4"/>
      <c r="G504" s="4"/>
      <c r="H504" s="4"/>
      <c r="I504" s="4"/>
      <c r="J504" s="4"/>
      <c r="K504" s="4"/>
      <c r="L504" s="4"/>
      <c r="M504" s="4"/>
      <c r="N504" s="4"/>
      <c r="O504" s="4"/>
      <c r="P504" s="4"/>
      <c r="Q504" s="4"/>
      <c r="R504" s="12"/>
      <c r="S504" s="12"/>
      <c r="T504" s="12"/>
      <c r="U504" s="12"/>
      <c r="V504" s="12"/>
      <c r="W504" s="12"/>
      <c r="X504" s="12"/>
      <c r="Y504" s="12"/>
      <c r="Z504" s="12"/>
      <c r="AA504" s="12"/>
      <c r="AB504" s="12"/>
      <c r="AC504" s="12"/>
      <c r="AD504" s="12"/>
    </row>
    <row r="505" spans="1:30" ht="13.5" customHeight="1">
      <c r="A505" s="4"/>
      <c r="B505" s="4"/>
      <c r="C505" s="4"/>
      <c r="D505" s="4"/>
      <c r="E505" s="4"/>
      <c r="F505" s="4"/>
      <c r="G505" s="4"/>
      <c r="H505" s="4"/>
      <c r="I505" s="4"/>
      <c r="J505" s="4"/>
      <c r="K505" s="4"/>
      <c r="L505" s="4"/>
      <c r="M505" s="4"/>
      <c r="N505" s="4"/>
      <c r="O505" s="4"/>
      <c r="P505" s="4"/>
      <c r="Q505" s="4"/>
      <c r="R505" s="12"/>
      <c r="S505" s="12"/>
      <c r="T505" s="12"/>
      <c r="U505" s="12"/>
      <c r="V505" s="12"/>
      <c r="W505" s="12"/>
      <c r="X505" s="12"/>
      <c r="Y505" s="12"/>
      <c r="Z505" s="12"/>
      <c r="AA505" s="12"/>
      <c r="AB505" s="12"/>
      <c r="AC505" s="12"/>
      <c r="AD505" s="12"/>
    </row>
    <row r="506" spans="1:30" ht="13.5" customHeight="1">
      <c r="A506" s="4"/>
      <c r="B506" s="4"/>
      <c r="C506" s="4"/>
      <c r="D506" s="4"/>
      <c r="E506" s="4"/>
      <c r="F506" s="4"/>
      <c r="G506" s="4"/>
      <c r="H506" s="4"/>
      <c r="I506" s="4"/>
      <c r="J506" s="4"/>
      <c r="K506" s="4"/>
      <c r="L506" s="4"/>
      <c r="M506" s="4"/>
      <c r="N506" s="4"/>
      <c r="O506" s="4"/>
      <c r="P506" s="4"/>
      <c r="Q506" s="4"/>
      <c r="R506" s="12"/>
      <c r="S506" s="12"/>
      <c r="T506" s="12"/>
      <c r="U506" s="12"/>
      <c r="V506" s="12"/>
      <c r="W506" s="12"/>
      <c r="X506" s="12"/>
      <c r="Y506" s="12"/>
      <c r="Z506" s="12"/>
      <c r="AA506" s="12"/>
      <c r="AB506" s="12"/>
      <c r="AC506" s="12"/>
      <c r="AD506" s="12"/>
    </row>
    <row r="507" spans="1:30" ht="13.5" customHeight="1">
      <c r="A507" s="4"/>
      <c r="B507" s="4"/>
      <c r="C507" s="4"/>
      <c r="D507" s="4"/>
      <c r="E507" s="4"/>
      <c r="F507" s="4"/>
      <c r="G507" s="4"/>
      <c r="H507" s="4"/>
      <c r="I507" s="4"/>
      <c r="J507" s="4"/>
      <c r="K507" s="4"/>
      <c r="L507" s="4"/>
      <c r="M507" s="4"/>
      <c r="N507" s="4"/>
      <c r="O507" s="4"/>
      <c r="P507" s="4"/>
      <c r="Q507" s="4"/>
      <c r="R507" s="12"/>
      <c r="S507" s="12"/>
      <c r="T507" s="12"/>
      <c r="U507" s="12"/>
      <c r="V507" s="12"/>
      <c r="W507" s="12"/>
      <c r="X507" s="12"/>
      <c r="Y507" s="12"/>
      <c r="Z507" s="12"/>
      <c r="AA507" s="12"/>
      <c r="AB507" s="12"/>
      <c r="AC507" s="12"/>
      <c r="AD507" s="12"/>
    </row>
    <row r="508" spans="1:30" ht="13.5" customHeight="1">
      <c r="A508" s="4"/>
      <c r="B508" s="4"/>
      <c r="C508" s="4"/>
      <c r="D508" s="4"/>
      <c r="E508" s="4"/>
      <c r="F508" s="4"/>
      <c r="G508" s="4"/>
      <c r="H508" s="4"/>
      <c r="I508" s="4"/>
      <c r="J508" s="4"/>
      <c r="K508" s="4"/>
      <c r="L508" s="4"/>
      <c r="M508" s="4"/>
      <c r="N508" s="4"/>
      <c r="O508" s="4"/>
      <c r="P508" s="4"/>
      <c r="Q508" s="4"/>
      <c r="R508" s="12"/>
      <c r="S508" s="12"/>
      <c r="T508" s="12"/>
      <c r="U508" s="12"/>
      <c r="V508" s="12"/>
      <c r="W508" s="12"/>
      <c r="X508" s="12"/>
      <c r="Y508" s="12"/>
      <c r="Z508" s="12"/>
      <c r="AA508" s="12"/>
      <c r="AB508" s="12"/>
      <c r="AC508" s="12"/>
      <c r="AD508" s="12"/>
    </row>
    <row r="509" spans="1:30" ht="13.5" customHeight="1">
      <c r="A509" s="4"/>
      <c r="B509" s="4"/>
      <c r="C509" s="4"/>
      <c r="D509" s="4"/>
      <c r="E509" s="4"/>
      <c r="F509" s="4"/>
      <c r="G509" s="4"/>
      <c r="H509" s="4"/>
      <c r="I509" s="4"/>
      <c r="J509" s="4"/>
      <c r="K509" s="4"/>
      <c r="L509" s="4"/>
      <c r="M509" s="4"/>
      <c r="N509" s="4"/>
      <c r="O509" s="4"/>
      <c r="P509" s="4"/>
      <c r="Q509" s="4"/>
      <c r="R509" s="12"/>
      <c r="S509" s="12"/>
      <c r="T509" s="12"/>
      <c r="U509" s="12"/>
      <c r="V509" s="12"/>
      <c r="W509" s="12"/>
      <c r="X509" s="12"/>
      <c r="Y509" s="12"/>
      <c r="Z509" s="12"/>
      <c r="AA509" s="12"/>
      <c r="AB509" s="12"/>
      <c r="AC509" s="12"/>
      <c r="AD509" s="12"/>
    </row>
    <row r="510" spans="1:30" ht="13.5" customHeight="1">
      <c r="A510" s="4"/>
      <c r="B510" s="4"/>
      <c r="C510" s="4"/>
      <c r="D510" s="4"/>
      <c r="E510" s="4"/>
      <c r="F510" s="4"/>
      <c r="G510" s="4"/>
      <c r="H510" s="4"/>
      <c r="I510" s="4"/>
      <c r="J510" s="4"/>
      <c r="K510" s="4"/>
      <c r="L510" s="4"/>
      <c r="M510" s="4"/>
      <c r="N510" s="4"/>
      <c r="O510" s="4"/>
      <c r="P510" s="4"/>
      <c r="Q510" s="4"/>
      <c r="R510" s="12"/>
      <c r="S510" s="12"/>
      <c r="T510" s="12"/>
      <c r="U510" s="12"/>
      <c r="V510" s="12"/>
      <c r="W510" s="12"/>
      <c r="X510" s="12"/>
      <c r="Y510" s="12"/>
      <c r="Z510" s="12"/>
      <c r="AA510" s="12"/>
      <c r="AB510" s="12"/>
      <c r="AC510" s="12"/>
      <c r="AD510" s="12"/>
    </row>
    <row r="511" spans="1:30" ht="13.5" customHeight="1">
      <c r="A511" s="4"/>
      <c r="B511" s="4"/>
      <c r="C511" s="4"/>
      <c r="D511" s="4"/>
      <c r="E511" s="4"/>
      <c r="F511" s="4"/>
      <c r="G511" s="4"/>
      <c r="H511" s="4"/>
      <c r="I511" s="4"/>
      <c r="J511" s="4"/>
      <c r="K511" s="4"/>
      <c r="L511" s="4"/>
      <c r="M511" s="4"/>
      <c r="N511" s="4"/>
      <c r="O511" s="4"/>
      <c r="P511" s="4"/>
      <c r="Q511" s="4"/>
      <c r="R511" s="12"/>
      <c r="S511" s="12"/>
      <c r="T511" s="12"/>
      <c r="U511" s="12"/>
      <c r="V511" s="12"/>
      <c r="W511" s="12"/>
      <c r="X511" s="12"/>
      <c r="Y511" s="12"/>
      <c r="Z511" s="12"/>
      <c r="AA511" s="12"/>
      <c r="AB511" s="12"/>
      <c r="AC511" s="12"/>
      <c r="AD511" s="12"/>
    </row>
    <row r="512" spans="1:30" ht="13.5" customHeight="1">
      <c r="A512" s="4"/>
      <c r="B512" s="4"/>
      <c r="C512" s="4"/>
      <c r="D512" s="4"/>
      <c r="E512" s="4"/>
      <c r="F512" s="4"/>
      <c r="G512" s="4"/>
      <c r="H512" s="4"/>
      <c r="I512" s="4"/>
      <c r="J512" s="4"/>
      <c r="K512" s="4"/>
      <c r="L512" s="4"/>
      <c r="M512" s="4"/>
      <c r="N512" s="4"/>
      <c r="O512" s="4"/>
      <c r="P512" s="4"/>
      <c r="Q512" s="4"/>
      <c r="R512" s="12"/>
      <c r="S512" s="12"/>
      <c r="T512" s="12"/>
      <c r="U512" s="12"/>
      <c r="V512" s="12"/>
      <c r="W512" s="12"/>
      <c r="X512" s="12"/>
      <c r="Y512" s="12"/>
      <c r="Z512" s="12"/>
      <c r="AA512" s="12"/>
      <c r="AB512" s="12"/>
      <c r="AC512" s="12"/>
      <c r="AD512" s="12"/>
    </row>
    <row r="513" spans="1:30" ht="13.5" customHeight="1">
      <c r="A513" s="4"/>
      <c r="B513" s="4"/>
      <c r="C513" s="4"/>
      <c r="D513" s="4"/>
      <c r="E513" s="4"/>
      <c r="F513" s="4"/>
      <c r="G513" s="4"/>
      <c r="H513" s="4"/>
      <c r="I513" s="4"/>
      <c r="J513" s="4"/>
      <c r="K513" s="4"/>
      <c r="L513" s="4"/>
      <c r="M513" s="4"/>
      <c r="N513" s="4"/>
      <c r="O513" s="4"/>
      <c r="P513" s="4"/>
      <c r="Q513" s="4"/>
      <c r="R513" s="12"/>
      <c r="S513" s="12"/>
      <c r="T513" s="12"/>
      <c r="U513" s="12"/>
      <c r="V513" s="12"/>
      <c r="W513" s="12"/>
      <c r="X513" s="12"/>
      <c r="Y513" s="12"/>
      <c r="Z513" s="12"/>
      <c r="AA513" s="12"/>
      <c r="AB513" s="12"/>
      <c r="AC513" s="12"/>
      <c r="AD513" s="12"/>
    </row>
    <row r="514" spans="1:30" ht="13.5" customHeight="1">
      <c r="A514" s="4"/>
      <c r="B514" s="4"/>
      <c r="C514" s="4"/>
      <c r="D514" s="4"/>
      <c r="E514" s="4"/>
      <c r="F514" s="4"/>
      <c r="G514" s="4"/>
      <c r="H514" s="4"/>
      <c r="I514" s="4"/>
      <c r="J514" s="4"/>
      <c r="K514" s="4"/>
      <c r="L514" s="4"/>
      <c r="M514" s="4"/>
      <c r="N514" s="4"/>
      <c r="O514" s="4"/>
      <c r="P514" s="4"/>
      <c r="Q514" s="4"/>
      <c r="R514" s="12"/>
      <c r="S514" s="12"/>
      <c r="T514" s="12"/>
      <c r="U514" s="12"/>
      <c r="V514" s="12"/>
      <c r="W514" s="12"/>
      <c r="X514" s="12"/>
      <c r="Y514" s="12"/>
      <c r="Z514" s="12"/>
      <c r="AA514" s="12"/>
      <c r="AB514" s="12"/>
      <c r="AC514" s="12"/>
      <c r="AD514" s="12"/>
    </row>
    <row r="515" spans="1:30" ht="13.5" customHeight="1">
      <c r="A515" s="4"/>
      <c r="B515" s="4"/>
      <c r="C515" s="4"/>
      <c r="D515" s="4"/>
      <c r="E515" s="4"/>
      <c r="F515" s="4"/>
      <c r="G515" s="4"/>
      <c r="H515" s="4"/>
      <c r="I515" s="4"/>
      <c r="J515" s="4"/>
      <c r="K515" s="4"/>
      <c r="L515" s="4"/>
      <c r="M515" s="4"/>
      <c r="N515" s="4"/>
      <c r="O515" s="4"/>
      <c r="P515" s="4"/>
      <c r="Q515" s="4"/>
      <c r="R515" s="12"/>
      <c r="S515" s="12"/>
      <c r="T515" s="12"/>
      <c r="U515" s="12"/>
      <c r="V515" s="12"/>
      <c r="W515" s="12"/>
      <c r="X515" s="12"/>
      <c r="Y515" s="12"/>
      <c r="Z515" s="12"/>
      <c r="AA515" s="12"/>
      <c r="AB515" s="12"/>
      <c r="AC515" s="12"/>
      <c r="AD515" s="12"/>
    </row>
    <row r="516" spans="1:30" ht="13.5" customHeight="1">
      <c r="A516" s="4"/>
      <c r="B516" s="4"/>
      <c r="C516" s="4"/>
      <c r="D516" s="4"/>
      <c r="E516" s="4"/>
      <c r="F516" s="4"/>
      <c r="G516" s="4"/>
      <c r="H516" s="4"/>
      <c r="I516" s="4"/>
      <c r="J516" s="4"/>
      <c r="K516" s="4"/>
      <c r="L516" s="4"/>
      <c r="M516" s="4"/>
      <c r="N516" s="4"/>
      <c r="O516" s="4"/>
      <c r="P516" s="4"/>
      <c r="Q516" s="4"/>
      <c r="R516" s="12"/>
      <c r="S516" s="12"/>
      <c r="T516" s="12"/>
      <c r="U516" s="12"/>
      <c r="V516" s="12"/>
      <c r="W516" s="12"/>
      <c r="X516" s="12"/>
      <c r="Y516" s="12"/>
      <c r="Z516" s="12"/>
      <c r="AA516" s="12"/>
      <c r="AB516" s="12"/>
      <c r="AC516" s="12"/>
      <c r="AD516" s="12"/>
    </row>
    <row r="517" spans="1:30" ht="13.5" customHeight="1">
      <c r="A517" s="4"/>
      <c r="B517" s="4"/>
      <c r="C517" s="4"/>
      <c r="D517" s="4"/>
      <c r="E517" s="4"/>
      <c r="F517" s="4"/>
      <c r="G517" s="4"/>
      <c r="H517" s="4"/>
      <c r="I517" s="4"/>
      <c r="J517" s="4"/>
      <c r="K517" s="4"/>
      <c r="L517" s="4"/>
      <c r="M517" s="4"/>
      <c r="N517" s="4"/>
      <c r="O517" s="4"/>
      <c r="P517" s="4"/>
      <c r="Q517" s="4"/>
      <c r="R517" s="12"/>
      <c r="S517" s="12"/>
      <c r="T517" s="12"/>
      <c r="U517" s="12"/>
      <c r="V517" s="12"/>
      <c r="W517" s="12"/>
      <c r="X517" s="12"/>
      <c r="Y517" s="12"/>
      <c r="Z517" s="12"/>
      <c r="AA517" s="12"/>
      <c r="AB517" s="12"/>
      <c r="AC517" s="12"/>
      <c r="AD517" s="12"/>
    </row>
    <row r="518" spans="1:30" ht="13.5" customHeight="1">
      <c r="A518" s="4"/>
      <c r="B518" s="4"/>
      <c r="C518" s="4"/>
      <c r="D518" s="4"/>
      <c r="E518" s="4"/>
      <c r="F518" s="4"/>
      <c r="G518" s="4"/>
      <c r="H518" s="4"/>
      <c r="I518" s="4"/>
      <c r="J518" s="4"/>
      <c r="K518" s="4"/>
      <c r="L518" s="4"/>
      <c r="M518" s="4"/>
      <c r="N518" s="4"/>
      <c r="O518" s="4"/>
      <c r="P518" s="4"/>
      <c r="Q518" s="4"/>
      <c r="R518" s="12"/>
      <c r="S518" s="12"/>
      <c r="T518" s="12"/>
      <c r="U518" s="12"/>
      <c r="V518" s="12"/>
      <c r="W518" s="12"/>
      <c r="X518" s="12"/>
      <c r="Y518" s="12"/>
      <c r="Z518" s="12"/>
      <c r="AA518" s="12"/>
      <c r="AB518" s="12"/>
      <c r="AC518" s="12"/>
      <c r="AD518" s="12"/>
    </row>
    <row r="519" spans="1:30" ht="13.5" customHeight="1">
      <c r="A519" s="4"/>
      <c r="B519" s="4"/>
      <c r="C519" s="4"/>
      <c r="D519" s="4"/>
      <c r="E519" s="4"/>
      <c r="F519" s="4"/>
      <c r="G519" s="4"/>
      <c r="H519" s="4"/>
      <c r="I519" s="4"/>
      <c r="J519" s="4"/>
      <c r="K519" s="4"/>
      <c r="L519" s="4"/>
      <c r="M519" s="4"/>
      <c r="N519" s="4"/>
      <c r="O519" s="4"/>
      <c r="P519" s="4"/>
      <c r="Q519" s="4"/>
      <c r="R519" s="12"/>
      <c r="S519" s="12"/>
      <c r="T519" s="12"/>
      <c r="U519" s="12"/>
      <c r="V519" s="12"/>
      <c r="W519" s="12"/>
      <c r="X519" s="12"/>
      <c r="Y519" s="12"/>
      <c r="Z519" s="12"/>
      <c r="AA519" s="12"/>
      <c r="AB519" s="12"/>
      <c r="AC519" s="12"/>
      <c r="AD519" s="12"/>
    </row>
    <row r="520" spans="1:30" ht="13.5" customHeight="1">
      <c r="A520" s="4"/>
      <c r="B520" s="4"/>
      <c r="C520" s="4"/>
      <c r="D520" s="4"/>
      <c r="E520" s="4"/>
      <c r="F520" s="4"/>
      <c r="G520" s="4"/>
      <c r="H520" s="4"/>
      <c r="I520" s="4"/>
      <c r="J520" s="4"/>
      <c r="K520" s="4"/>
      <c r="L520" s="4"/>
      <c r="M520" s="4"/>
      <c r="N520" s="4"/>
      <c r="O520" s="4"/>
      <c r="P520" s="4"/>
      <c r="Q520" s="4"/>
      <c r="R520" s="12"/>
      <c r="S520" s="12"/>
      <c r="T520" s="12"/>
      <c r="U520" s="12"/>
      <c r="V520" s="12"/>
      <c r="W520" s="12"/>
      <c r="X520" s="12"/>
      <c r="Y520" s="12"/>
      <c r="Z520" s="12"/>
      <c r="AA520" s="12"/>
      <c r="AB520" s="12"/>
      <c r="AC520" s="12"/>
      <c r="AD520" s="12"/>
    </row>
    <row r="521" spans="1:30" ht="13.5" customHeight="1">
      <c r="A521" s="4"/>
      <c r="B521" s="4"/>
      <c r="C521" s="4"/>
      <c r="D521" s="4"/>
      <c r="E521" s="4"/>
      <c r="F521" s="4"/>
      <c r="G521" s="4"/>
      <c r="H521" s="4"/>
      <c r="I521" s="4"/>
      <c r="J521" s="4"/>
      <c r="K521" s="4"/>
      <c r="L521" s="4"/>
      <c r="M521" s="4"/>
      <c r="N521" s="4"/>
      <c r="O521" s="4"/>
      <c r="P521" s="4"/>
      <c r="Q521" s="4"/>
      <c r="R521" s="12"/>
      <c r="S521" s="12"/>
      <c r="T521" s="12"/>
      <c r="U521" s="12"/>
      <c r="V521" s="12"/>
      <c r="W521" s="12"/>
      <c r="X521" s="12"/>
      <c r="Y521" s="12"/>
      <c r="Z521" s="12"/>
      <c r="AA521" s="12"/>
      <c r="AB521" s="12"/>
      <c r="AC521" s="12"/>
      <c r="AD521" s="12"/>
    </row>
    <row r="522" spans="1:30" ht="13.5" customHeight="1">
      <c r="A522" s="4"/>
      <c r="B522" s="4"/>
      <c r="C522" s="4"/>
      <c r="D522" s="4"/>
      <c r="E522" s="4"/>
      <c r="F522" s="4"/>
      <c r="G522" s="4"/>
      <c r="H522" s="4"/>
      <c r="I522" s="4"/>
      <c r="J522" s="4"/>
      <c r="K522" s="4"/>
      <c r="L522" s="4"/>
      <c r="M522" s="4"/>
      <c r="N522" s="4"/>
      <c r="O522" s="4"/>
      <c r="P522" s="4"/>
      <c r="Q522" s="4"/>
      <c r="R522" s="12"/>
      <c r="S522" s="12"/>
      <c r="T522" s="12"/>
      <c r="U522" s="12"/>
      <c r="V522" s="12"/>
      <c r="W522" s="12"/>
      <c r="X522" s="12"/>
      <c r="Y522" s="12"/>
      <c r="Z522" s="12"/>
      <c r="AA522" s="12"/>
      <c r="AB522" s="12"/>
      <c r="AC522" s="12"/>
      <c r="AD522" s="12"/>
    </row>
    <row r="523" spans="1:30" ht="13.5" customHeight="1">
      <c r="A523" s="4"/>
      <c r="B523" s="4"/>
      <c r="C523" s="4"/>
      <c r="D523" s="4"/>
      <c r="E523" s="4"/>
      <c r="F523" s="4"/>
      <c r="G523" s="4"/>
      <c r="H523" s="4"/>
      <c r="I523" s="4"/>
      <c r="J523" s="4"/>
      <c r="K523" s="4"/>
      <c r="L523" s="4"/>
      <c r="M523" s="4"/>
      <c r="N523" s="4"/>
      <c r="O523" s="4"/>
      <c r="P523" s="4"/>
      <c r="Q523" s="4"/>
      <c r="R523" s="12"/>
      <c r="S523" s="12"/>
      <c r="T523" s="12"/>
      <c r="U523" s="12"/>
      <c r="V523" s="12"/>
      <c r="W523" s="12"/>
      <c r="X523" s="12"/>
      <c r="Y523" s="12"/>
      <c r="Z523" s="12"/>
      <c r="AA523" s="12"/>
      <c r="AB523" s="12"/>
      <c r="AC523" s="12"/>
      <c r="AD523" s="12"/>
    </row>
    <row r="524" spans="1:30" ht="13.5" customHeight="1">
      <c r="A524" s="4"/>
      <c r="B524" s="4"/>
      <c r="C524" s="4"/>
      <c r="D524" s="4"/>
      <c r="E524" s="4"/>
      <c r="F524" s="4"/>
      <c r="G524" s="4"/>
      <c r="H524" s="4"/>
      <c r="I524" s="4"/>
      <c r="J524" s="4"/>
      <c r="K524" s="4"/>
      <c r="L524" s="4"/>
      <c r="M524" s="4"/>
      <c r="N524" s="4"/>
      <c r="O524" s="4"/>
      <c r="P524" s="4"/>
      <c r="Q524" s="4"/>
      <c r="R524" s="12"/>
      <c r="S524" s="12"/>
      <c r="T524" s="12"/>
      <c r="U524" s="12"/>
      <c r="V524" s="12"/>
      <c r="W524" s="12"/>
      <c r="X524" s="12"/>
      <c r="Y524" s="12"/>
      <c r="Z524" s="12"/>
      <c r="AA524" s="12"/>
      <c r="AB524" s="12"/>
      <c r="AC524" s="12"/>
      <c r="AD524" s="12"/>
    </row>
    <row r="525" spans="1:30" ht="13.5" customHeight="1">
      <c r="A525" s="4"/>
      <c r="B525" s="4"/>
      <c r="C525" s="4"/>
      <c r="D525" s="4"/>
      <c r="E525" s="4"/>
      <c r="F525" s="4"/>
      <c r="G525" s="4"/>
      <c r="H525" s="4"/>
      <c r="I525" s="4"/>
      <c r="J525" s="4"/>
      <c r="K525" s="4"/>
      <c r="L525" s="4"/>
      <c r="M525" s="4"/>
      <c r="N525" s="4"/>
      <c r="O525" s="4"/>
      <c r="P525" s="4"/>
      <c r="Q525" s="4"/>
      <c r="R525" s="12"/>
      <c r="S525" s="12"/>
      <c r="T525" s="12"/>
      <c r="U525" s="12"/>
      <c r="V525" s="12"/>
      <c r="W525" s="12"/>
      <c r="X525" s="12"/>
      <c r="Y525" s="12"/>
      <c r="Z525" s="12"/>
      <c r="AA525" s="12"/>
      <c r="AB525" s="12"/>
      <c r="AC525" s="12"/>
      <c r="AD525" s="12"/>
    </row>
    <row r="526" spans="1:30" ht="13.5" customHeight="1">
      <c r="A526" s="4"/>
      <c r="B526" s="4"/>
      <c r="C526" s="4"/>
      <c r="D526" s="4"/>
      <c r="E526" s="4"/>
      <c r="F526" s="4"/>
      <c r="G526" s="4"/>
      <c r="H526" s="4"/>
      <c r="I526" s="4"/>
      <c r="J526" s="4"/>
      <c r="K526" s="4"/>
      <c r="L526" s="4"/>
      <c r="M526" s="4"/>
      <c r="N526" s="4"/>
      <c r="O526" s="4"/>
      <c r="P526" s="4"/>
      <c r="Q526" s="4"/>
      <c r="R526" s="12"/>
      <c r="S526" s="12"/>
      <c r="T526" s="12"/>
      <c r="U526" s="12"/>
      <c r="V526" s="12"/>
      <c r="W526" s="12"/>
      <c r="X526" s="12"/>
      <c r="Y526" s="12"/>
      <c r="Z526" s="12"/>
      <c r="AA526" s="12"/>
      <c r="AB526" s="12"/>
      <c r="AC526" s="12"/>
      <c r="AD526" s="12"/>
    </row>
    <row r="527" spans="1:30" ht="13.5" customHeight="1">
      <c r="A527" s="4"/>
      <c r="B527" s="4"/>
      <c r="C527" s="4"/>
      <c r="D527" s="4"/>
      <c r="E527" s="4"/>
      <c r="F527" s="4"/>
      <c r="G527" s="4"/>
      <c r="H527" s="4"/>
      <c r="I527" s="4"/>
      <c r="J527" s="4"/>
      <c r="K527" s="4"/>
      <c r="L527" s="4"/>
      <c r="M527" s="4"/>
      <c r="N527" s="4"/>
      <c r="O527" s="4"/>
      <c r="P527" s="4"/>
      <c r="Q527" s="4"/>
      <c r="R527" s="12"/>
      <c r="S527" s="12"/>
      <c r="T527" s="12"/>
      <c r="U527" s="12"/>
      <c r="V527" s="12"/>
      <c r="W527" s="12"/>
      <c r="X527" s="12"/>
      <c r="Y527" s="12"/>
      <c r="Z527" s="12"/>
      <c r="AA527" s="12"/>
      <c r="AB527" s="12"/>
      <c r="AC527" s="12"/>
      <c r="AD527" s="12"/>
    </row>
    <row r="528" spans="1:30" ht="13.5" customHeight="1">
      <c r="A528" s="4"/>
      <c r="B528" s="4"/>
      <c r="C528" s="4"/>
      <c r="D528" s="4"/>
      <c r="E528" s="4"/>
      <c r="F528" s="4"/>
      <c r="G528" s="4"/>
      <c r="H528" s="4"/>
      <c r="I528" s="4"/>
      <c r="J528" s="4"/>
      <c r="K528" s="4"/>
      <c r="L528" s="4"/>
      <c r="M528" s="4"/>
      <c r="N528" s="4"/>
      <c r="O528" s="4"/>
      <c r="P528" s="4"/>
      <c r="Q528" s="4"/>
      <c r="R528" s="12"/>
      <c r="S528" s="12"/>
      <c r="T528" s="12"/>
      <c r="U528" s="12"/>
      <c r="V528" s="12"/>
      <c r="W528" s="12"/>
      <c r="X528" s="12"/>
      <c r="Y528" s="12"/>
      <c r="Z528" s="12"/>
      <c r="AA528" s="12"/>
      <c r="AB528" s="12"/>
      <c r="AC528" s="12"/>
      <c r="AD528" s="12"/>
    </row>
    <row r="529" spans="1:30" ht="13.5" customHeight="1">
      <c r="A529" s="4"/>
      <c r="B529" s="4"/>
      <c r="C529" s="4"/>
      <c r="D529" s="4"/>
      <c r="E529" s="4"/>
      <c r="F529" s="4"/>
      <c r="G529" s="4"/>
      <c r="H529" s="4"/>
      <c r="I529" s="4"/>
      <c r="J529" s="4"/>
      <c r="K529" s="4"/>
      <c r="L529" s="4"/>
      <c r="M529" s="4"/>
      <c r="N529" s="4"/>
      <c r="O529" s="4"/>
      <c r="P529" s="4"/>
      <c r="Q529" s="4"/>
      <c r="R529" s="12"/>
      <c r="S529" s="12"/>
      <c r="T529" s="12"/>
      <c r="U529" s="12"/>
      <c r="V529" s="12"/>
      <c r="W529" s="12"/>
      <c r="X529" s="12"/>
      <c r="Y529" s="12"/>
      <c r="Z529" s="12"/>
      <c r="AA529" s="12"/>
      <c r="AB529" s="12"/>
      <c r="AC529" s="12"/>
      <c r="AD529" s="12"/>
    </row>
    <row r="530" spans="1:30" ht="13.5" customHeight="1">
      <c r="A530" s="4"/>
      <c r="B530" s="4"/>
      <c r="C530" s="4"/>
      <c r="D530" s="4"/>
      <c r="E530" s="4"/>
      <c r="F530" s="4"/>
      <c r="G530" s="4"/>
      <c r="H530" s="4"/>
      <c r="I530" s="4"/>
      <c r="J530" s="4"/>
      <c r="K530" s="4"/>
      <c r="L530" s="4"/>
      <c r="M530" s="4"/>
      <c r="N530" s="4"/>
      <c r="O530" s="4"/>
      <c r="P530" s="4"/>
      <c r="Q530" s="4"/>
      <c r="R530" s="12"/>
      <c r="S530" s="12"/>
      <c r="T530" s="12"/>
      <c r="U530" s="12"/>
      <c r="V530" s="12"/>
      <c r="W530" s="12"/>
      <c r="X530" s="12"/>
      <c r="Y530" s="12"/>
      <c r="Z530" s="12"/>
      <c r="AA530" s="12"/>
      <c r="AB530" s="12"/>
      <c r="AC530" s="12"/>
      <c r="AD530" s="12"/>
    </row>
    <row r="531" spans="1:30" ht="13.5" customHeight="1">
      <c r="A531" s="4"/>
      <c r="B531" s="4"/>
      <c r="C531" s="4"/>
      <c r="D531" s="4"/>
      <c r="E531" s="4"/>
      <c r="F531" s="4"/>
      <c r="G531" s="4"/>
      <c r="H531" s="4"/>
      <c r="I531" s="4"/>
      <c r="J531" s="4"/>
      <c r="K531" s="4"/>
      <c r="L531" s="4"/>
      <c r="M531" s="4"/>
      <c r="N531" s="4"/>
      <c r="O531" s="4"/>
      <c r="P531" s="4"/>
      <c r="Q531" s="4"/>
      <c r="R531" s="12"/>
      <c r="S531" s="12"/>
      <c r="T531" s="12"/>
      <c r="U531" s="12"/>
      <c r="V531" s="12"/>
      <c r="W531" s="12"/>
      <c r="X531" s="12"/>
      <c r="Y531" s="12"/>
      <c r="Z531" s="12"/>
      <c r="AA531" s="12"/>
      <c r="AB531" s="12"/>
      <c r="AC531" s="12"/>
      <c r="AD531" s="12"/>
    </row>
    <row r="532" spans="1:30" ht="13.5" customHeight="1">
      <c r="A532" s="4"/>
      <c r="B532" s="4"/>
      <c r="C532" s="4"/>
      <c r="D532" s="4"/>
      <c r="E532" s="4"/>
      <c r="F532" s="4"/>
      <c r="G532" s="4"/>
      <c r="H532" s="4"/>
      <c r="I532" s="4"/>
      <c r="J532" s="4"/>
      <c r="K532" s="4"/>
      <c r="L532" s="4"/>
      <c r="M532" s="4"/>
      <c r="N532" s="4"/>
      <c r="O532" s="4"/>
      <c r="P532" s="4"/>
      <c r="Q532" s="4"/>
      <c r="R532" s="12"/>
      <c r="S532" s="12"/>
      <c r="T532" s="12"/>
      <c r="U532" s="12"/>
      <c r="V532" s="12"/>
      <c r="W532" s="12"/>
      <c r="X532" s="12"/>
      <c r="Y532" s="12"/>
      <c r="Z532" s="12"/>
      <c r="AA532" s="12"/>
      <c r="AB532" s="12"/>
      <c r="AC532" s="12"/>
      <c r="AD532" s="12"/>
    </row>
    <row r="533" spans="1:30" ht="13.5" customHeight="1">
      <c r="A533" s="4"/>
      <c r="B533" s="4"/>
      <c r="C533" s="4"/>
      <c r="D533" s="4"/>
      <c r="E533" s="4"/>
      <c r="F533" s="4"/>
      <c r="G533" s="4"/>
      <c r="H533" s="4"/>
      <c r="I533" s="4"/>
      <c r="J533" s="4"/>
      <c r="K533" s="4"/>
      <c r="L533" s="4"/>
      <c r="M533" s="4"/>
      <c r="N533" s="4"/>
      <c r="O533" s="4"/>
      <c r="P533" s="4"/>
      <c r="Q533" s="4"/>
      <c r="R533" s="12"/>
      <c r="S533" s="12"/>
      <c r="T533" s="12"/>
      <c r="U533" s="12"/>
      <c r="V533" s="12"/>
      <c r="W533" s="12"/>
      <c r="X533" s="12"/>
      <c r="Y533" s="12"/>
      <c r="Z533" s="12"/>
      <c r="AA533" s="12"/>
      <c r="AB533" s="12"/>
      <c r="AC533" s="12"/>
      <c r="AD533" s="12"/>
    </row>
    <row r="534" spans="1:30" ht="13.5" customHeight="1">
      <c r="A534" s="4"/>
      <c r="B534" s="4"/>
      <c r="C534" s="4"/>
      <c r="D534" s="4"/>
      <c r="E534" s="4"/>
      <c r="F534" s="4"/>
      <c r="G534" s="4"/>
      <c r="H534" s="4"/>
      <c r="I534" s="4"/>
      <c r="J534" s="4"/>
      <c r="K534" s="4"/>
      <c r="L534" s="4"/>
      <c r="M534" s="4"/>
      <c r="N534" s="4"/>
      <c r="O534" s="4"/>
      <c r="P534" s="4"/>
      <c r="Q534" s="4"/>
      <c r="R534" s="12"/>
      <c r="S534" s="12"/>
      <c r="T534" s="12"/>
      <c r="U534" s="12"/>
      <c r="V534" s="12"/>
      <c r="W534" s="12"/>
      <c r="X534" s="12"/>
      <c r="Y534" s="12"/>
      <c r="Z534" s="12"/>
      <c r="AA534" s="12"/>
      <c r="AB534" s="12"/>
      <c r="AC534" s="12"/>
      <c r="AD534" s="12"/>
    </row>
    <row r="535" spans="1:30" ht="13.5" customHeight="1">
      <c r="A535" s="4"/>
      <c r="B535" s="4"/>
      <c r="C535" s="4"/>
      <c r="D535" s="4"/>
      <c r="E535" s="4"/>
      <c r="F535" s="4"/>
      <c r="G535" s="4"/>
      <c r="H535" s="4"/>
      <c r="I535" s="4"/>
      <c r="J535" s="4"/>
      <c r="K535" s="4"/>
      <c r="L535" s="4"/>
      <c r="M535" s="4"/>
      <c r="N535" s="4"/>
      <c r="O535" s="4"/>
      <c r="P535" s="4"/>
      <c r="Q535" s="4"/>
      <c r="R535" s="12"/>
      <c r="S535" s="12"/>
      <c r="T535" s="12"/>
      <c r="U535" s="12"/>
      <c r="V535" s="12"/>
      <c r="W535" s="12"/>
      <c r="X535" s="12"/>
      <c r="Y535" s="12"/>
      <c r="Z535" s="12"/>
      <c r="AA535" s="12"/>
      <c r="AB535" s="12"/>
      <c r="AC535" s="12"/>
      <c r="AD535" s="12"/>
    </row>
    <row r="536" spans="1:30" ht="13.5" customHeight="1">
      <c r="A536" s="4"/>
      <c r="B536" s="4"/>
      <c r="C536" s="4"/>
      <c r="D536" s="4"/>
      <c r="E536" s="4"/>
      <c r="F536" s="4"/>
      <c r="G536" s="4"/>
      <c r="H536" s="4"/>
      <c r="I536" s="4"/>
      <c r="J536" s="4"/>
      <c r="K536" s="4"/>
      <c r="L536" s="4"/>
      <c r="M536" s="4"/>
      <c r="N536" s="4"/>
      <c r="O536" s="4"/>
      <c r="P536" s="4"/>
      <c r="Q536" s="4"/>
      <c r="R536" s="12"/>
      <c r="S536" s="12"/>
      <c r="T536" s="12"/>
      <c r="U536" s="12"/>
      <c r="V536" s="12"/>
      <c r="W536" s="12"/>
      <c r="X536" s="12"/>
      <c r="Y536" s="12"/>
      <c r="Z536" s="12"/>
      <c r="AA536" s="12"/>
      <c r="AB536" s="12"/>
      <c r="AC536" s="12"/>
      <c r="AD536" s="12"/>
    </row>
    <row r="537" spans="1:30" ht="13.5" customHeight="1">
      <c r="A537" s="4"/>
      <c r="B537" s="4"/>
      <c r="C537" s="4"/>
      <c r="D537" s="4"/>
      <c r="E537" s="4"/>
      <c r="F537" s="4"/>
      <c r="G537" s="4"/>
      <c r="H537" s="4"/>
      <c r="I537" s="4"/>
      <c r="J537" s="4"/>
      <c r="K537" s="4"/>
      <c r="L537" s="4"/>
      <c r="M537" s="4"/>
      <c r="N537" s="4"/>
      <c r="O537" s="4"/>
      <c r="P537" s="4"/>
      <c r="Q537" s="4"/>
      <c r="R537" s="12"/>
      <c r="S537" s="12"/>
      <c r="T537" s="12"/>
      <c r="U537" s="12"/>
      <c r="V537" s="12"/>
      <c r="W537" s="12"/>
      <c r="X537" s="12"/>
      <c r="Y537" s="12"/>
      <c r="Z537" s="12"/>
      <c r="AA537" s="12"/>
      <c r="AB537" s="12"/>
      <c r="AC537" s="12"/>
      <c r="AD537" s="12"/>
    </row>
    <row r="538" spans="1:30" ht="13.5" customHeight="1">
      <c r="A538" s="4"/>
      <c r="B538" s="4"/>
      <c r="C538" s="4"/>
      <c r="D538" s="4"/>
      <c r="E538" s="4"/>
      <c r="F538" s="4"/>
      <c r="G538" s="4"/>
      <c r="H538" s="4"/>
      <c r="I538" s="4"/>
      <c r="J538" s="4"/>
      <c r="K538" s="4"/>
      <c r="L538" s="4"/>
      <c r="M538" s="4"/>
      <c r="N538" s="4"/>
      <c r="O538" s="4"/>
      <c r="P538" s="4"/>
      <c r="Q538" s="4"/>
      <c r="R538" s="12"/>
      <c r="S538" s="12"/>
      <c r="T538" s="12"/>
      <c r="U538" s="12"/>
      <c r="V538" s="12"/>
      <c r="W538" s="12"/>
      <c r="X538" s="12"/>
      <c r="Y538" s="12"/>
      <c r="Z538" s="12"/>
      <c r="AA538" s="12"/>
      <c r="AB538" s="12"/>
      <c r="AC538" s="12"/>
      <c r="AD538" s="12"/>
    </row>
    <row r="539" spans="1:30" ht="13.5" customHeight="1">
      <c r="A539" s="4"/>
      <c r="B539" s="4"/>
      <c r="C539" s="4"/>
      <c r="D539" s="4"/>
      <c r="E539" s="4"/>
      <c r="F539" s="4"/>
      <c r="G539" s="4"/>
      <c r="H539" s="4"/>
      <c r="I539" s="4"/>
      <c r="J539" s="4"/>
      <c r="K539" s="4"/>
      <c r="L539" s="4"/>
      <c r="M539" s="4"/>
      <c r="N539" s="4"/>
      <c r="O539" s="4"/>
      <c r="P539" s="4"/>
      <c r="Q539" s="4"/>
      <c r="R539" s="12"/>
      <c r="S539" s="12"/>
      <c r="T539" s="12"/>
      <c r="U539" s="12"/>
      <c r="V539" s="12"/>
      <c r="W539" s="12"/>
      <c r="X539" s="12"/>
      <c r="Y539" s="12"/>
      <c r="Z539" s="12"/>
      <c r="AA539" s="12"/>
      <c r="AB539" s="12"/>
      <c r="AC539" s="12"/>
      <c r="AD539" s="12"/>
    </row>
    <row r="540" spans="1:30" ht="13.5" customHeight="1">
      <c r="A540" s="4"/>
      <c r="B540" s="4"/>
      <c r="C540" s="4"/>
      <c r="D540" s="4"/>
      <c r="E540" s="4"/>
      <c r="F540" s="4"/>
      <c r="G540" s="4"/>
      <c r="H540" s="4"/>
      <c r="I540" s="4"/>
      <c r="J540" s="4"/>
      <c r="K540" s="4"/>
      <c r="L540" s="4"/>
      <c r="M540" s="4"/>
      <c r="N540" s="4"/>
      <c r="O540" s="4"/>
      <c r="P540" s="4"/>
      <c r="Q540" s="4"/>
      <c r="R540" s="12"/>
      <c r="S540" s="12"/>
      <c r="T540" s="12"/>
      <c r="U540" s="12"/>
      <c r="V540" s="12"/>
      <c r="W540" s="12"/>
      <c r="X540" s="12"/>
      <c r="Y540" s="12"/>
      <c r="Z540" s="12"/>
      <c r="AA540" s="12"/>
      <c r="AB540" s="12"/>
      <c r="AC540" s="12"/>
      <c r="AD540" s="12"/>
    </row>
    <row r="541" spans="1:30" ht="13.5" customHeight="1">
      <c r="A541" s="4"/>
      <c r="B541" s="4"/>
      <c r="C541" s="4"/>
      <c r="D541" s="4"/>
      <c r="E541" s="4"/>
      <c r="F541" s="4"/>
      <c r="G541" s="4"/>
      <c r="H541" s="4"/>
      <c r="I541" s="4"/>
      <c r="J541" s="4"/>
      <c r="K541" s="4"/>
      <c r="L541" s="4"/>
      <c r="M541" s="4"/>
      <c r="N541" s="4"/>
      <c r="O541" s="4"/>
      <c r="P541" s="4"/>
      <c r="Q541" s="4"/>
      <c r="R541" s="12"/>
      <c r="S541" s="12"/>
      <c r="T541" s="12"/>
      <c r="U541" s="12"/>
      <c r="V541" s="12"/>
      <c r="W541" s="12"/>
      <c r="X541" s="12"/>
      <c r="Y541" s="12"/>
      <c r="Z541" s="12"/>
      <c r="AA541" s="12"/>
      <c r="AB541" s="12"/>
      <c r="AC541" s="12"/>
      <c r="AD541" s="12"/>
    </row>
    <row r="542" spans="1:30" ht="13.5" customHeight="1">
      <c r="A542" s="4"/>
      <c r="B542" s="4"/>
      <c r="C542" s="4"/>
      <c r="D542" s="4"/>
      <c r="E542" s="4"/>
      <c r="F542" s="4"/>
      <c r="G542" s="4"/>
      <c r="H542" s="4"/>
      <c r="I542" s="4"/>
      <c r="J542" s="4"/>
      <c r="K542" s="4"/>
      <c r="L542" s="4"/>
      <c r="M542" s="4"/>
      <c r="N542" s="4"/>
      <c r="O542" s="4"/>
      <c r="P542" s="4"/>
      <c r="Q542" s="4"/>
      <c r="R542" s="12"/>
      <c r="S542" s="12"/>
      <c r="T542" s="12"/>
      <c r="U542" s="12"/>
      <c r="V542" s="12"/>
      <c r="W542" s="12"/>
      <c r="X542" s="12"/>
      <c r="Y542" s="12"/>
      <c r="Z542" s="12"/>
      <c r="AA542" s="12"/>
      <c r="AB542" s="12"/>
      <c r="AC542" s="12"/>
      <c r="AD542" s="12"/>
    </row>
    <row r="543" spans="1:30" ht="13.5" customHeight="1">
      <c r="A543" s="4"/>
      <c r="B543" s="4"/>
      <c r="C543" s="4"/>
      <c r="D543" s="4"/>
      <c r="E543" s="4"/>
      <c r="F543" s="4"/>
      <c r="G543" s="4"/>
      <c r="H543" s="4"/>
      <c r="I543" s="4"/>
      <c r="J543" s="4"/>
      <c r="K543" s="4"/>
      <c r="L543" s="4"/>
      <c r="M543" s="4"/>
      <c r="N543" s="4"/>
      <c r="O543" s="4"/>
      <c r="P543" s="4"/>
      <c r="Q543" s="4"/>
      <c r="R543" s="12"/>
      <c r="S543" s="12"/>
      <c r="T543" s="12"/>
      <c r="U543" s="12"/>
      <c r="V543" s="12"/>
      <c r="W543" s="12"/>
      <c r="X543" s="12"/>
      <c r="Y543" s="12"/>
      <c r="Z543" s="12"/>
      <c r="AA543" s="12"/>
      <c r="AB543" s="12"/>
      <c r="AC543" s="12"/>
      <c r="AD543" s="12"/>
    </row>
    <row r="544" spans="1:30" ht="13.5" customHeight="1">
      <c r="A544" s="4"/>
      <c r="B544" s="4"/>
      <c r="C544" s="4"/>
      <c r="D544" s="4"/>
      <c r="E544" s="4"/>
      <c r="F544" s="4"/>
      <c r="G544" s="4"/>
      <c r="H544" s="4"/>
      <c r="I544" s="4"/>
      <c r="J544" s="4"/>
      <c r="K544" s="4"/>
      <c r="L544" s="4"/>
      <c r="M544" s="4"/>
      <c r="N544" s="4"/>
      <c r="O544" s="4"/>
      <c r="P544" s="4"/>
      <c r="Q544" s="4"/>
      <c r="R544" s="12"/>
      <c r="S544" s="12"/>
      <c r="T544" s="12"/>
      <c r="U544" s="12"/>
      <c r="V544" s="12"/>
      <c r="W544" s="12"/>
      <c r="X544" s="12"/>
      <c r="Y544" s="12"/>
      <c r="Z544" s="12"/>
      <c r="AA544" s="12"/>
      <c r="AB544" s="12"/>
      <c r="AC544" s="12"/>
      <c r="AD544" s="12"/>
    </row>
    <row r="545" spans="1:30" ht="13.5" customHeight="1">
      <c r="A545" s="4"/>
      <c r="B545" s="4"/>
      <c r="C545" s="4"/>
      <c r="D545" s="4"/>
      <c r="E545" s="4"/>
      <c r="F545" s="4"/>
      <c r="G545" s="4"/>
      <c r="H545" s="4"/>
      <c r="I545" s="4"/>
      <c r="J545" s="4"/>
      <c r="K545" s="4"/>
      <c r="L545" s="4"/>
      <c r="M545" s="4"/>
      <c r="N545" s="4"/>
      <c r="O545" s="4"/>
      <c r="P545" s="4"/>
      <c r="Q545" s="4"/>
      <c r="R545" s="12"/>
      <c r="S545" s="12"/>
      <c r="T545" s="12"/>
      <c r="U545" s="12"/>
      <c r="V545" s="12"/>
      <c r="W545" s="12"/>
      <c r="X545" s="12"/>
      <c r="Y545" s="12"/>
      <c r="Z545" s="12"/>
      <c r="AA545" s="12"/>
      <c r="AB545" s="12"/>
      <c r="AC545" s="12"/>
      <c r="AD545" s="12"/>
    </row>
    <row r="546" spans="1:30" ht="13.5" customHeight="1">
      <c r="A546" s="4"/>
      <c r="B546" s="4"/>
      <c r="C546" s="4"/>
      <c r="D546" s="4"/>
      <c r="E546" s="4"/>
      <c r="F546" s="4"/>
      <c r="G546" s="4"/>
      <c r="H546" s="4"/>
      <c r="I546" s="4"/>
      <c r="J546" s="4"/>
      <c r="K546" s="4"/>
      <c r="L546" s="4"/>
      <c r="M546" s="4"/>
      <c r="N546" s="4"/>
      <c r="O546" s="4"/>
      <c r="P546" s="4"/>
      <c r="Q546" s="4"/>
      <c r="R546" s="12"/>
      <c r="S546" s="12"/>
      <c r="T546" s="12"/>
      <c r="U546" s="12"/>
      <c r="V546" s="12"/>
      <c r="W546" s="12"/>
      <c r="X546" s="12"/>
      <c r="Y546" s="12"/>
      <c r="Z546" s="12"/>
      <c r="AA546" s="12"/>
      <c r="AB546" s="12"/>
      <c r="AC546" s="12"/>
      <c r="AD546" s="12"/>
    </row>
    <row r="547" spans="1:30" ht="13.5" customHeight="1">
      <c r="A547" s="4"/>
      <c r="B547" s="4"/>
      <c r="C547" s="4"/>
      <c r="D547" s="4"/>
      <c r="E547" s="4"/>
      <c r="F547" s="4"/>
      <c r="G547" s="4"/>
      <c r="H547" s="4"/>
      <c r="I547" s="4"/>
      <c r="J547" s="4"/>
      <c r="K547" s="4"/>
      <c r="L547" s="4"/>
      <c r="M547" s="4"/>
      <c r="N547" s="4"/>
      <c r="O547" s="4"/>
      <c r="P547" s="4"/>
      <c r="Q547" s="4"/>
      <c r="R547" s="12"/>
      <c r="S547" s="12"/>
      <c r="T547" s="12"/>
      <c r="U547" s="12"/>
      <c r="V547" s="12"/>
      <c r="W547" s="12"/>
      <c r="X547" s="12"/>
      <c r="Y547" s="12"/>
      <c r="Z547" s="12"/>
      <c r="AA547" s="12"/>
      <c r="AB547" s="12"/>
      <c r="AC547" s="12"/>
      <c r="AD547" s="12"/>
    </row>
    <row r="548" spans="1:30" ht="13.5" customHeight="1">
      <c r="A548" s="4"/>
      <c r="B548" s="4"/>
      <c r="C548" s="4"/>
      <c r="D548" s="4"/>
      <c r="E548" s="4"/>
      <c r="F548" s="4"/>
      <c r="G548" s="4"/>
      <c r="H548" s="4"/>
      <c r="I548" s="4"/>
      <c r="J548" s="4"/>
      <c r="K548" s="4"/>
      <c r="L548" s="4"/>
      <c r="M548" s="4"/>
      <c r="N548" s="4"/>
      <c r="O548" s="4"/>
      <c r="P548" s="4"/>
      <c r="Q548" s="4"/>
      <c r="R548" s="12"/>
      <c r="S548" s="12"/>
      <c r="T548" s="12"/>
      <c r="U548" s="12"/>
      <c r="V548" s="12"/>
      <c r="W548" s="12"/>
      <c r="X548" s="12"/>
      <c r="Y548" s="12"/>
      <c r="Z548" s="12"/>
      <c r="AA548" s="12"/>
      <c r="AB548" s="12"/>
      <c r="AC548" s="12"/>
      <c r="AD548" s="12"/>
    </row>
    <row r="549" spans="1:30" ht="13.5" customHeight="1">
      <c r="A549" s="4"/>
      <c r="B549" s="4"/>
      <c r="C549" s="4"/>
      <c r="D549" s="4"/>
      <c r="E549" s="4"/>
      <c r="F549" s="4"/>
      <c r="G549" s="4"/>
      <c r="H549" s="4"/>
      <c r="I549" s="4"/>
      <c r="J549" s="4"/>
      <c r="K549" s="4"/>
      <c r="L549" s="4"/>
      <c r="M549" s="4"/>
      <c r="N549" s="4"/>
      <c r="O549" s="4"/>
      <c r="P549" s="4"/>
      <c r="Q549" s="4"/>
      <c r="R549" s="12"/>
      <c r="S549" s="12"/>
      <c r="T549" s="12"/>
      <c r="U549" s="12"/>
      <c r="V549" s="12"/>
      <c r="W549" s="12"/>
      <c r="X549" s="12"/>
      <c r="Y549" s="12"/>
      <c r="Z549" s="12"/>
      <c r="AA549" s="12"/>
      <c r="AB549" s="12"/>
      <c r="AC549" s="12"/>
      <c r="AD549" s="12"/>
    </row>
    <row r="550" spans="1:30" ht="13.5" customHeight="1">
      <c r="A550" s="4"/>
      <c r="B550" s="4"/>
      <c r="C550" s="4"/>
      <c r="D550" s="4"/>
      <c r="E550" s="4"/>
      <c r="F550" s="4"/>
      <c r="G550" s="4"/>
      <c r="H550" s="4"/>
      <c r="I550" s="4"/>
      <c r="J550" s="4"/>
      <c r="K550" s="4"/>
      <c r="L550" s="4"/>
      <c r="M550" s="4"/>
      <c r="N550" s="4"/>
      <c r="O550" s="4"/>
      <c r="P550" s="4"/>
      <c r="Q550" s="4"/>
      <c r="R550" s="12"/>
      <c r="S550" s="12"/>
      <c r="T550" s="12"/>
      <c r="U550" s="12"/>
      <c r="V550" s="12"/>
      <c r="W550" s="12"/>
      <c r="X550" s="12"/>
      <c r="Y550" s="12"/>
      <c r="Z550" s="12"/>
      <c r="AA550" s="12"/>
      <c r="AB550" s="12"/>
      <c r="AC550" s="12"/>
      <c r="AD550" s="12"/>
    </row>
    <row r="551" spans="1:30" ht="13.5" customHeight="1">
      <c r="A551" s="4"/>
      <c r="B551" s="4"/>
      <c r="C551" s="4"/>
      <c r="D551" s="4"/>
      <c r="E551" s="4"/>
      <c r="F551" s="4"/>
      <c r="G551" s="4"/>
      <c r="H551" s="4"/>
      <c r="I551" s="4"/>
      <c r="J551" s="4"/>
      <c r="K551" s="4"/>
      <c r="L551" s="4"/>
      <c r="M551" s="4"/>
      <c r="N551" s="4"/>
      <c r="O551" s="4"/>
      <c r="P551" s="4"/>
      <c r="Q551" s="4"/>
      <c r="R551" s="12"/>
      <c r="S551" s="12"/>
      <c r="T551" s="12"/>
      <c r="U551" s="12"/>
      <c r="V551" s="12"/>
      <c r="W551" s="12"/>
      <c r="X551" s="12"/>
      <c r="Y551" s="12"/>
      <c r="Z551" s="12"/>
      <c r="AA551" s="12"/>
      <c r="AB551" s="12"/>
      <c r="AC551" s="12"/>
      <c r="AD551" s="12"/>
    </row>
    <row r="552" spans="1:30" ht="13.5" customHeight="1">
      <c r="A552" s="4"/>
      <c r="B552" s="4"/>
      <c r="C552" s="4"/>
      <c r="D552" s="4"/>
      <c r="E552" s="4"/>
      <c r="F552" s="4"/>
      <c r="G552" s="4"/>
      <c r="H552" s="4"/>
      <c r="I552" s="4"/>
      <c r="J552" s="4"/>
      <c r="K552" s="4"/>
      <c r="L552" s="4"/>
      <c r="M552" s="4"/>
      <c r="N552" s="4"/>
      <c r="O552" s="4"/>
      <c r="P552" s="4"/>
      <c r="Q552" s="4"/>
      <c r="R552" s="12"/>
      <c r="S552" s="12"/>
      <c r="T552" s="12"/>
      <c r="U552" s="12"/>
      <c r="V552" s="12"/>
      <c r="W552" s="12"/>
      <c r="X552" s="12"/>
      <c r="Y552" s="12"/>
      <c r="Z552" s="12"/>
      <c r="AA552" s="12"/>
      <c r="AB552" s="12"/>
      <c r="AC552" s="12"/>
      <c r="AD552" s="12"/>
    </row>
    <row r="553" spans="1:30" ht="13.5" customHeight="1">
      <c r="A553" s="4"/>
      <c r="B553" s="4"/>
      <c r="C553" s="4"/>
      <c r="D553" s="4"/>
      <c r="E553" s="4"/>
      <c r="F553" s="4"/>
      <c r="G553" s="4"/>
      <c r="H553" s="4"/>
      <c r="I553" s="4"/>
      <c r="J553" s="4"/>
      <c r="K553" s="4"/>
      <c r="L553" s="4"/>
      <c r="M553" s="4"/>
      <c r="N553" s="4"/>
      <c r="O553" s="4"/>
      <c r="P553" s="4"/>
      <c r="Q553" s="4"/>
      <c r="R553" s="12"/>
      <c r="S553" s="12"/>
      <c r="T553" s="12"/>
      <c r="U553" s="12"/>
      <c r="V553" s="12"/>
      <c r="W553" s="12"/>
      <c r="X553" s="12"/>
      <c r="Y553" s="12"/>
      <c r="Z553" s="12"/>
      <c r="AA553" s="12"/>
      <c r="AB553" s="12"/>
      <c r="AC553" s="12"/>
      <c r="AD553" s="12"/>
    </row>
    <row r="554" spans="1:30" ht="13.5" customHeight="1">
      <c r="A554" s="4"/>
      <c r="B554" s="4"/>
      <c r="C554" s="4"/>
      <c r="D554" s="4"/>
      <c r="E554" s="4"/>
      <c r="F554" s="4"/>
      <c r="G554" s="4"/>
      <c r="H554" s="4"/>
      <c r="I554" s="4"/>
      <c r="J554" s="4"/>
      <c r="K554" s="4"/>
      <c r="L554" s="4"/>
      <c r="M554" s="4"/>
      <c r="N554" s="4"/>
      <c r="O554" s="4"/>
      <c r="P554" s="4"/>
      <c r="Q554" s="4"/>
      <c r="R554" s="12"/>
      <c r="S554" s="12"/>
      <c r="T554" s="12"/>
      <c r="U554" s="12"/>
      <c r="V554" s="12"/>
      <c r="W554" s="12"/>
      <c r="X554" s="12"/>
      <c r="Y554" s="12"/>
      <c r="Z554" s="12"/>
      <c r="AA554" s="12"/>
      <c r="AB554" s="12"/>
      <c r="AC554" s="12"/>
      <c r="AD554" s="12"/>
    </row>
    <row r="555" spans="1:30" ht="13.5" customHeight="1">
      <c r="A555" s="4"/>
      <c r="B555" s="4"/>
      <c r="C555" s="4"/>
      <c r="D555" s="4"/>
      <c r="E555" s="4"/>
      <c r="F555" s="4"/>
      <c r="G555" s="4"/>
      <c r="H555" s="4"/>
      <c r="I555" s="4"/>
      <c r="J555" s="4"/>
      <c r="K555" s="4"/>
      <c r="L555" s="4"/>
      <c r="M555" s="4"/>
      <c r="N555" s="4"/>
      <c r="O555" s="4"/>
      <c r="P555" s="4"/>
      <c r="Q555" s="4"/>
      <c r="R555" s="12"/>
      <c r="S555" s="12"/>
      <c r="T555" s="12"/>
      <c r="U555" s="12"/>
      <c r="V555" s="12"/>
      <c r="W555" s="12"/>
      <c r="X555" s="12"/>
      <c r="Y555" s="12"/>
      <c r="Z555" s="12"/>
      <c r="AA555" s="12"/>
      <c r="AB555" s="12"/>
      <c r="AC555" s="12"/>
      <c r="AD555" s="12"/>
    </row>
    <row r="556" spans="1:30" ht="13.5" customHeight="1">
      <c r="A556" s="4"/>
      <c r="B556" s="4"/>
      <c r="C556" s="4"/>
      <c r="D556" s="4"/>
      <c r="E556" s="4"/>
      <c r="F556" s="4"/>
      <c r="G556" s="4"/>
      <c r="H556" s="4"/>
      <c r="I556" s="4"/>
      <c r="J556" s="4"/>
      <c r="K556" s="4"/>
      <c r="L556" s="4"/>
      <c r="M556" s="4"/>
      <c r="N556" s="4"/>
      <c r="O556" s="4"/>
      <c r="P556" s="4"/>
      <c r="Q556" s="4"/>
      <c r="R556" s="12"/>
      <c r="S556" s="12"/>
      <c r="T556" s="12"/>
      <c r="U556" s="12"/>
      <c r="V556" s="12"/>
      <c r="W556" s="12"/>
      <c r="X556" s="12"/>
      <c r="Y556" s="12"/>
      <c r="Z556" s="12"/>
      <c r="AA556" s="12"/>
      <c r="AB556" s="12"/>
      <c r="AC556" s="12"/>
      <c r="AD556" s="12"/>
    </row>
    <row r="557" spans="1:30" ht="13.5" customHeight="1">
      <c r="A557" s="4"/>
      <c r="B557" s="4"/>
      <c r="C557" s="4"/>
      <c r="D557" s="4"/>
      <c r="E557" s="4"/>
      <c r="F557" s="4"/>
      <c r="G557" s="4"/>
      <c r="H557" s="4"/>
      <c r="I557" s="4"/>
      <c r="J557" s="4"/>
      <c r="K557" s="4"/>
      <c r="L557" s="4"/>
      <c r="M557" s="4"/>
      <c r="N557" s="4"/>
      <c r="O557" s="4"/>
      <c r="P557" s="4"/>
      <c r="Q557" s="4"/>
      <c r="R557" s="12"/>
      <c r="S557" s="12"/>
      <c r="T557" s="12"/>
      <c r="U557" s="12"/>
      <c r="V557" s="12"/>
      <c r="W557" s="12"/>
      <c r="X557" s="12"/>
      <c r="Y557" s="12"/>
      <c r="Z557" s="12"/>
      <c r="AA557" s="12"/>
      <c r="AB557" s="12"/>
      <c r="AC557" s="12"/>
      <c r="AD557" s="12"/>
    </row>
    <row r="558" spans="1:30" ht="13.5" customHeight="1">
      <c r="A558" s="4"/>
      <c r="B558" s="4"/>
      <c r="C558" s="4"/>
      <c r="D558" s="4"/>
      <c r="E558" s="4"/>
      <c r="F558" s="4"/>
      <c r="G558" s="4"/>
      <c r="H558" s="4"/>
      <c r="I558" s="4"/>
      <c r="J558" s="4"/>
      <c r="K558" s="4"/>
      <c r="L558" s="4"/>
      <c r="M558" s="4"/>
      <c r="N558" s="4"/>
      <c r="O558" s="4"/>
      <c r="P558" s="4"/>
      <c r="Q558" s="4"/>
      <c r="R558" s="12"/>
      <c r="S558" s="12"/>
      <c r="T558" s="12"/>
      <c r="U558" s="12"/>
      <c r="V558" s="12"/>
      <c r="W558" s="12"/>
      <c r="X558" s="12"/>
      <c r="Y558" s="12"/>
      <c r="Z558" s="12"/>
      <c r="AA558" s="12"/>
      <c r="AB558" s="12"/>
      <c r="AC558" s="12"/>
      <c r="AD558" s="12"/>
    </row>
    <row r="559" spans="1:30" ht="13.5" customHeight="1">
      <c r="A559" s="4"/>
      <c r="B559" s="4"/>
      <c r="C559" s="4"/>
      <c r="D559" s="4"/>
      <c r="E559" s="4"/>
      <c r="F559" s="4"/>
      <c r="G559" s="4"/>
      <c r="H559" s="4"/>
      <c r="I559" s="4"/>
      <c r="J559" s="4"/>
      <c r="K559" s="4"/>
      <c r="L559" s="4"/>
      <c r="M559" s="4"/>
      <c r="N559" s="4"/>
      <c r="O559" s="4"/>
      <c r="P559" s="4"/>
      <c r="Q559" s="4"/>
      <c r="R559" s="12"/>
      <c r="S559" s="12"/>
      <c r="T559" s="12"/>
      <c r="U559" s="12"/>
      <c r="V559" s="12"/>
      <c r="W559" s="12"/>
      <c r="X559" s="12"/>
      <c r="Y559" s="12"/>
      <c r="Z559" s="12"/>
      <c r="AA559" s="12"/>
      <c r="AB559" s="12"/>
      <c r="AC559" s="12"/>
      <c r="AD559" s="12"/>
    </row>
    <row r="560" spans="1:30" ht="13.5" customHeight="1">
      <c r="A560" s="4"/>
      <c r="B560" s="4"/>
      <c r="C560" s="4"/>
      <c r="D560" s="4"/>
      <c r="E560" s="4"/>
      <c r="F560" s="4"/>
      <c r="G560" s="4"/>
      <c r="H560" s="4"/>
      <c r="I560" s="4"/>
      <c r="J560" s="4"/>
      <c r="K560" s="4"/>
      <c r="L560" s="4"/>
      <c r="M560" s="4"/>
      <c r="N560" s="4"/>
      <c r="O560" s="4"/>
      <c r="P560" s="4"/>
      <c r="Q560" s="4"/>
      <c r="R560" s="12"/>
      <c r="S560" s="12"/>
      <c r="T560" s="12"/>
      <c r="U560" s="12"/>
      <c r="V560" s="12"/>
      <c r="W560" s="12"/>
      <c r="X560" s="12"/>
      <c r="Y560" s="12"/>
      <c r="Z560" s="12"/>
      <c r="AA560" s="12"/>
      <c r="AB560" s="12"/>
      <c r="AC560" s="12"/>
      <c r="AD560" s="12"/>
    </row>
    <row r="561" spans="1:30" ht="13.5" customHeight="1">
      <c r="A561" s="4"/>
      <c r="B561" s="4"/>
      <c r="C561" s="4"/>
      <c r="D561" s="4"/>
      <c r="E561" s="4"/>
      <c r="F561" s="4"/>
      <c r="G561" s="4"/>
      <c r="H561" s="4"/>
      <c r="I561" s="4"/>
      <c r="J561" s="4"/>
      <c r="K561" s="4"/>
      <c r="L561" s="4"/>
      <c r="M561" s="4"/>
      <c r="N561" s="4"/>
      <c r="O561" s="4"/>
      <c r="P561" s="4"/>
      <c r="Q561" s="4"/>
      <c r="R561" s="12"/>
      <c r="S561" s="12"/>
      <c r="T561" s="12"/>
      <c r="U561" s="12"/>
      <c r="V561" s="12"/>
      <c r="W561" s="12"/>
      <c r="X561" s="12"/>
      <c r="Y561" s="12"/>
      <c r="Z561" s="12"/>
      <c r="AA561" s="12"/>
      <c r="AB561" s="12"/>
      <c r="AC561" s="12"/>
      <c r="AD561" s="12"/>
    </row>
    <row r="562" spans="1:30" ht="13.5" customHeight="1">
      <c r="A562" s="4"/>
      <c r="B562" s="4"/>
      <c r="C562" s="4"/>
      <c r="D562" s="4"/>
      <c r="E562" s="4"/>
      <c r="F562" s="4"/>
      <c r="G562" s="4"/>
      <c r="H562" s="4"/>
      <c r="I562" s="4"/>
      <c r="J562" s="4"/>
      <c r="K562" s="4"/>
      <c r="L562" s="4"/>
      <c r="M562" s="4"/>
      <c r="N562" s="4"/>
      <c r="O562" s="4"/>
      <c r="P562" s="4"/>
      <c r="Q562" s="4"/>
      <c r="R562" s="12"/>
      <c r="S562" s="12"/>
      <c r="T562" s="12"/>
      <c r="U562" s="12"/>
      <c r="V562" s="12"/>
      <c r="W562" s="12"/>
      <c r="X562" s="12"/>
      <c r="Y562" s="12"/>
      <c r="Z562" s="12"/>
      <c r="AA562" s="12"/>
      <c r="AB562" s="12"/>
      <c r="AC562" s="12"/>
      <c r="AD562" s="12"/>
    </row>
    <row r="563" spans="1:30" ht="13.5" customHeight="1">
      <c r="A563" s="4"/>
      <c r="B563" s="4"/>
      <c r="C563" s="4"/>
      <c r="D563" s="4"/>
      <c r="E563" s="4"/>
      <c r="F563" s="4"/>
      <c r="G563" s="4"/>
      <c r="H563" s="4"/>
      <c r="I563" s="4"/>
      <c r="J563" s="4"/>
      <c r="K563" s="4"/>
      <c r="L563" s="4"/>
      <c r="M563" s="4"/>
      <c r="N563" s="4"/>
      <c r="O563" s="4"/>
      <c r="P563" s="4"/>
      <c r="Q563" s="4"/>
      <c r="R563" s="12"/>
      <c r="S563" s="12"/>
      <c r="T563" s="12"/>
      <c r="U563" s="12"/>
      <c r="V563" s="12"/>
      <c r="W563" s="12"/>
      <c r="X563" s="12"/>
      <c r="Y563" s="12"/>
      <c r="Z563" s="12"/>
      <c r="AA563" s="12"/>
      <c r="AB563" s="12"/>
      <c r="AC563" s="12"/>
      <c r="AD563" s="12"/>
    </row>
    <row r="564" spans="1:30" ht="13.5" customHeight="1">
      <c r="A564" s="4"/>
      <c r="B564" s="4"/>
      <c r="C564" s="4"/>
      <c r="D564" s="4"/>
      <c r="E564" s="4"/>
      <c r="F564" s="4"/>
      <c r="G564" s="4"/>
      <c r="H564" s="4"/>
      <c r="I564" s="4"/>
      <c r="J564" s="4"/>
      <c r="K564" s="4"/>
      <c r="L564" s="4"/>
      <c r="M564" s="4"/>
      <c r="N564" s="4"/>
      <c r="O564" s="4"/>
      <c r="P564" s="4"/>
      <c r="Q564" s="4"/>
      <c r="R564" s="12"/>
      <c r="S564" s="12"/>
      <c r="T564" s="12"/>
      <c r="U564" s="12"/>
      <c r="V564" s="12"/>
      <c r="W564" s="12"/>
      <c r="X564" s="12"/>
      <c r="Y564" s="12"/>
      <c r="Z564" s="12"/>
      <c r="AA564" s="12"/>
      <c r="AB564" s="12"/>
      <c r="AC564" s="12"/>
      <c r="AD564" s="12"/>
    </row>
    <row r="565" spans="1:30" ht="13.5" customHeight="1">
      <c r="A565" s="4"/>
      <c r="B565" s="4"/>
      <c r="C565" s="4"/>
      <c r="D565" s="4"/>
      <c r="E565" s="4"/>
      <c r="F565" s="4"/>
      <c r="G565" s="4"/>
      <c r="H565" s="4"/>
      <c r="I565" s="4"/>
      <c r="J565" s="4"/>
      <c r="K565" s="4"/>
      <c r="L565" s="4"/>
      <c r="M565" s="4"/>
      <c r="N565" s="4"/>
      <c r="O565" s="4"/>
      <c r="P565" s="4"/>
      <c r="Q565" s="4"/>
      <c r="R565" s="12"/>
      <c r="S565" s="12"/>
      <c r="T565" s="12"/>
      <c r="U565" s="12"/>
      <c r="V565" s="12"/>
      <c r="W565" s="12"/>
      <c r="X565" s="12"/>
      <c r="Y565" s="12"/>
      <c r="Z565" s="12"/>
      <c r="AA565" s="12"/>
      <c r="AB565" s="12"/>
      <c r="AC565" s="12"/>
      <c r="AD565" s="12"/>
    </row>
    <row r="566" spans="1:30" ht="13.5" customHeight="1">
      <c r="A566" s="4"/>
      <c r="B566" s="4"/>
      <c r="C566" s="4"/>
      <c r="D566" s="4"/>
      <c r="E566" s="4"/>
      <c r="F566" s="4"/>
      <c r="G566" s="4"/>
      <c r="H566" s="4"/>
      <c r="I566" s="4"/>
      <c r="J566" s="4"/>
      <c r="K566" s="4"/>
      <c r="L566" s="4"/>
      <c r="M566" s="4"/>
      <c r="N566" s="4"/>
      <c r="O566" s="4"/>
      <c r="P566" s="4"/>
      <c r="Q566" s="4"/>
      <c r="R566" s="12"/>
      <c r="S566" s="12"/>
      <c r="T566" s="12"/>
      <c r="U566" s="12"/>
      <c r="V566" s="12"/>
      <c r="W566" s="12"/>
      <c r="X566" s="12"/>
      <c r="Y566" s="12"/>
      <c r="Z566" s="12"/>
      <c r="AA566" s="12"/>
      <c r="AB566" s="12"/>
      <c r="AC566" s="12"/>
      <c r="AD566" s="12"/>
    </row>
    <row r="567" spans="1:30" ht="13.5" customHeight="1">
      <c r="A567" s="4"/>
      <c r="B567" s="4"/>
      <c r="C567" s="4"/>
      <c r="D567" s="4"/>
      <c r="E567" s="4"/>
      <c r="F567" s="4"/>
      <c r="G567" s="4"/>
      <c r="H567" s="4"/>
      <c r="I567" s="4"/>
      <c r="J567" s="4"/>
      <c r="K567" s="4"/>
      <c r="L567" s="4"/>
      <c r="M567" s="4"/>
      <c r="N567" s="4"/>
      <c r="O567" s="4"/>
      <c r="P567" s="4"/>
      <c r="Q567" s="4"/>
      <c r="R567" s="12"/>
      <c r="S567" s="12"/>
      <c r="T567" s="12"/>
      <c r="U567" s="12"/>
      <c r="V567" s="12"/>
      <c r="W567" s="12"/>
      <c r="X567" s="12"/>
      <c r="Y567" s="12"/>
      <c r="Z567" s="12"/>
      <c r="AA567" s="12"/>
      <c r="AB567" s="12"/>
      <c r="AC567" s="12"/>
      <c r="AD567" s="12"/>
    </row>
    <row r="568" spans="1:30" ht="13.5" customHeight="1">
      <c r="A568" s="4"/>
      <c r="B568" s="4"/>
      <c r="C568" s="4"/>
      <c r="D568" s="4"/>
      <c r="E568" s="4"/>
      <c r="F568" s="4"/>
      <c r="G568" s="4"/>
      <c r="H568" s="4"/>
      <c r="I568" s="4"/>
      <c r="J568" s="4"/>
      <c r="K568" s="4"/>
      <c r="L568" s="4"/>
      <c r="M568" s="4"/>
      <c r="N568" s="4"/>
      <c r="O568" s="4"/>
      <c r="P568" s="4"/>
      <c r="Q568" s="4"/>
      <c r="R568" s="12"/>
      <c r="S568" s="12"/>
      <c r="T568" s="12"/>
      <c r="U568" s="12"/>
      <c r="V568" s="12"/>
      <c r="W568" s="12"/>
      <c r="X568" s="12"/>
      <c r="Y568" s="12"/>
      <c r="Z568" s="12"/>
      <c r="AA568" s="12"/>
      <c r="AB568" s="12"/>
      <c r="AC568" s="12"/>
      <c r="AD568" s="12"/>
    </row>
    <row r="569" spans="1:30" ht="13.5" customHeight="1">
      <c r="A569" s="4"/>
      <c r="B569" s="4"/>
      <c r="C569" s="4"/>
      <c r="D569" s="4"/>
      <c r="E569" s="4"/>
      <c r="F569" s="4"/>
      <c r="G569" s="4"/>
      <c r="H569" s="4"/>
      <c r="I569" s="4"/>
      <c r="J569" s="4"/>
      <c r="K569" s="4"/>
      <c r="L569" s="4"/>
      <c r="M569" s="4"/>
      <c r="N569" s="4"/>
      <c r="O569" s="4"/>
      <c r="P569" s="4"/>
      <c r="Q569" s="4"/>
      <c r="R569" s="12"/>
      <c r="S569" s="12"/>
      <c r="T569" s="12"/>
      <c r="U569" s="12"/>
      <c r="V569" s="12"/>
      <c r="W569" s="12"/>
      <c r="X569" s="12"/>
      <c r="Y569" s="12"/>
      <c r="Z569" s="12"/>
      <c r="AA569" s="12"/>
      <c r="AB569" s="12"/>
      <c r="AC569" s="12"/>
      <c r="AD569" s="12"/>
    </row>
    <row r="570" spans="1:30" ht="13.5" customHeight="1">
      <c r="A570" s="4"/>
      <c r="B570" s="4"/>
      <c r="C570" s="4"/>
      <c r="D570" s="4"/>
      <c r="E570" s="4"/>
      <c r="F570" s="4"/>
      <c r="G570" s="4"/>
      <c r="H570" s="4"/>
      <c r="I570" s="4"/>
      <c r="J570" s="4"/>
      <c r="K570" s="4"/>
      <c r="L570" s="4"/>
      <c r="M570" s="4"/>
      <c r="N570" s="4"/>
      <c r="O570" s="4"/>
      <c r="P570" s="4"/>
      <c r="Q570" s="4"/>
      <c r="R570" s="12"/>
      <c r="S570" s="12"/>
      <c r="T570" s="12"/>
      <c r="U570" s="12"/>
      <c r="V570" s="12"/>
      <c r="W570" s="12"/>
      <c r="X570" s="12"/>
      <c r="Y570" s="12"/>
      <c r="Z570" s="12"/>
      <c r="AA570" s="12"/>
      <c r="AB570" s="12"/>
      <c r="AC570" s="12"/>
      <c r="AD570" s="12"/>
    </row>
    <row r="571" spans="1:30" ht="13.5" customHeight="1">
      <c r="A571" s="4"/>
      <c r="B571" s="4"/>
      <c r="C571" s="4"/>
      <c r="D571" s="4"/>
      <c r="E571" s="4"/>
      <c r="F571" s="4"/>
      <c r="G571" s="4"/>
      <c r="H571" s="4"/>
      <c r="I571" s="4"/>
      <c r="J571" s="4"/>
      <c r="K571" s="4"/>
      <c r="L571" s="4"/>
      <c r="M571" s="4"/>
      <c r="N571" s="4"/>
      <c r="O571" s="4"/>
      <c r="P571" s="4"/>
      <c r="Q571" s="4"/>
      <c r="R571" s="12"/>
      <c r="S571" s="12"/>
      <c r="T571" s="12"/>
      <c r="U571" s="12"/>
      <c r="V571" s="12"/>
      <c r="W571" s="12"/>
      <c r="X571" s="12"/>
      <c r="Y571" s="12"/>
      <c r="Z571" s="12"/>
      <c r="AA571" s="12"/>
      <c r="AB571" s="12"/>
      <c r="AC571" s="12"/>
      <c r="AD571" s="12"/>
    </row>
    <row r="572" spans="1:30" ht="13.5" customHeight="1">
      <c r="A572" s="4"/>
      <c r="B572" s="4"/>
      <c r="C572" s="4"/>
      <c r="D572" s="4"/>
      <c r="E572" s="4"/>
      <c r="F572" s="4"/>
      <c r="G572" s="4"/>
      <c r="H572" s="4"/>
      <c r="I572" s="4"/>
      <c r="J572" s="4"/>
      <c r="K572" s="4"/>
      <c r="L572" s="4"/>
      <c r="M572" s="4"/>
      <c r="N572" s="4"/>
      <c r="O572" s="4"/>
      <c r="P572" s="4"/>
      <c r="Q572" s="4"/>
      <c r="R572" s="12"/>
      <c r="S572" s="12"/>
      <c r="T572" s="12"/>
      <c r="U572" s="12"/>
      <c r="V572" s="12"/>
      <c r="W572" s="12"/>
      <c r="X572" s="12"/>
      <c r="Y572" s="12"/>
      <c r="Z572" s="12"/>
      <c r="AA572" s="12"/>
      <c r="AB572" s="12"/>
      <c r="AC572" s="12"/>
      <c r="AD572" s="12"/>
    </row>
    <row r="573" spans="1:30" ht="13.5" customHeight="1">
      <c r="A573" s="4"/>
      <c r="B573" s="4"/>
      <c r="C573" s="4"/>
      <c r="D573" s="4"/>
      <c r="E573" s="4"/>
      <c r="F573" s="4"/>
      <c r="G573" s="4"/>
      <c r="H573" s="4"/>
      <c r="I573" s="4"/>
      <c r="J573" s="4"/>
      <c r="K573" s="4"/>
      <c r="L573" s="4"/>
      <c r="M573" s="4"/>
      <c r="N573" s="4"/>
      <c r="O573" s="4"/>
      <c r="P573" s="4"/>
      <c r="Q573" s="4"/>
      <c r="R573" s="12"/>
      <c r="S573" s="12"/>
      <c r="T573" s="12"/>
      <c r="U573" s="12"/>
      <c r="V573" s="12"/>
      <c r="W573" s="12"/>
      <c r="X573" s="12"/>
      <c r="Y573" s="12"/>
      <c r="Z573" s="12"/>
      <c r="AA573" s="12"/>
      <c r="AB573" s="12"/>
      <c r="AC573" s="12"/>
      <c r="AD573" s="12"/>
    </row>
    <row r="574" spans="1:30" ht="13.5" customHeight="1">
      <c r="A574" s="4"/>
      <c r="B574" s="4"/>
      <c r="C574" s="4"/>
      <c r="D574" s="4"/>
      <c r="E574" s="4"/>
      <c r="F574" s="4"/>
      <c r="G574" s="4"/>
      <c r="H574" s="4"/>
      <c r="I574" s="4"/>
      <c r="J574" s="4"/>
      <c r="K574" s="4"/>
      <c r="L574" s="4"/>
      <c r="M574" s="4"/>
      <c r="N574" s="4"/>
      <c r="O574" s="4"/>
      <c r="P574" s="4"/>
      <c r="Q574" s="4"/>
      <c r="R574" s="12"/>
      <c r="S574" s="12"/>
      <c r="T574" s="12"/>
      <c r="U574" s="12"/>
      <c r="V574" s="12"/>
      <c r="W574" s="12"/>
      <c r="X574" s="12"/>
      <c r="Y574" s="12"/>
      <c r="Z574" s="12"/>
      <c r="AA574" s="12"/>
      <c r="AB574" s="12"/>
      <c r="AC574" s="12"/>
      <c r="AD574" s="12"/>
    </row>
    <row r="575" spans="1:30" ht="13.5" customHeight="1">
      <c r="A575" s="4"/>
      <c r="B575" s="4"/>
      <c r="C575" s="4"/>
      <c r="D575" s="4"/>
      <c r="E575" s="4"/>
      <c r="F575" s="4"/>
      <c r="G575" s="4"/>
      <c r="H575" s="4"/>
      <c r="I575" s="4"/>
      <c r="J575" s="4"/>
      <c r="K575" s="4"/>
      <c r="L575" s="4"/>
      <c r="M575" s="4"/>
      <c r="N575" s="4"/>
      <c r="O575" s="4"/>
      <c r="P575" s="4"/>
      <c r="Q575" s="4"/>
      <c r="R575" s="12"/>
      <c r="S575" s="12"/>
      <c r="T575" s="12"/>
      <c r="U575" s="12"/>
      <c r="V575" s="12"/>
      <c r="W575" s="12"/>
      <c r="X575" s="12"/>
      <c r="Y575" s="12"/>
      <c r="Z575" s="12"/>
      <c r="AA575" s="12"/>
      <c r="AB575" s="12"/>
      <c r="AC575" s="12"/>
      <c r="AD575" s="12"/>
    </row>
    <row r="576" spans="1:30" ht="13.5" customHeight="1">
      <c r="A576" s="4"/>
      <c r="B576" s="4"/>
      <c r="C576" s="4"/>
      <c r="D576" s="4"/>
      <c r="E576" s="4"/>
      <c r="F576" s="4"/>
      <c r="G576" s="4"/>
      <c r="H576" s="4"/>
      <c r="I576" s="4"/>
      <c r="J576" s="4"/>
      <c r="K576" s="4"/>
      <c r="L576" s="4"/>
      <c r="M576" s="4"/>
      <c r="N576" s="4"/>
      <c r="O576" s="4"/>
      <c r="P576" s="4"/>
      <c r="Q576" s="4"/>
      <c r="R576" s="12"/>
      <c r="S576" s="12"/>
      <c r="T576" s="12"/>
      <c r="U576" s="12"/>
      <c r="V576" s="12"/>
      <c r="W576" s="12"/>
      <c r="X576" s="12"/>
      <c r="Y576" s="12"/>
      <c r="Z576" s="12"/>
      <c r="AA576" s="12"/>
      <c r="AB576" s="12"/>
      <c r="AC576" s="12"/>
      <c r="AD576" s="12"/>
    </row>
    <row r="577" spans="1:30" ht="13.5" customHeight="1">
      <c r="A577" s="4"/>
      <c r="B577" s="4"/>
      <c r="C577" s="4"/>
      <c r="D577" s="4"/>
      <c r="E577" s="4"/>
      <c r="F577" s="4"/>
      <c r="G577" s="4"/>
      <c r="H577" s="4"/>
      <c r="I577" s="4"/>
      <c r="J577" s="4"/>
      <c r="K577" s="4"/>
      <c r="L577" s="4"/>
      <c r="M577" s="4"/>
      <c r="N577" s="4"/>
      <c r="O577" s="4"/>
      <c r="P577" s="4"/>
      <c r="Q577" s="4"/>
      <c r="R577" s="12"/>
      <c r="S577" s="12"/>
      <c r="T577" s="12"/>
      <c r="U577" s="12"/>
      <c r="V577" s="12"/>
      <c r="W577" s="12"/>
      <c r="X577" s="12"/>
      <c r="Y577" s="12"/>
      <c r="Z577" s="12"/>
      <c r="AA577" s="12"/>
      <c r="AB577" s="12"/>
      <c r="AC577" s="12"/>
      <c r="AD577" s="12"/>
    </row>
    <row r="578" spans="1:30" ht="13.5" customHeight="1">
      <c r="A578" s="4"/>
      <c r="B578" s="4"/>
      <c r="C578" s="4"/>
      <c r="D578" s="4"/>
      <c r="E578" s="4"/>
      <c r="F578" s="4"/>
      <c r="G578" s="4"/>
      <c r="H578" s="4"/>
      <c r="I578" s="4"/>
      <c r="J578" s="4"/>
      <c r="K578" s="4"/>
      <c r="L578" s="4"/>
      <c r="M578" s="4"/>
      <c r="N578" s="4"/>
      <c r="O578" s="4"/>
      <c r="P578" s="4"/>
      <c r="Q578" s="4"/>
      <c r="R578" s="12"/>
      <c r="S578" s="12"/>
      <c r="T578" s="12"/>
      <c r="U578" s="12"/>
      <c r="V578" s="12"/>
      <c r="W578" s="12"/>
      <c r="X578" s="12"/>
      <c r="Y578" s="12"/>
      <c r="Z578" s="12"/>
      <c r="AA578" s="12"/>
      <c r="AB578" s="12"/>
      <c r="AC578" s="12"/>
      <c r="AD578" s="12"/>
    </row>
    <row r="579" spans="1:30" ht="13.5" customHeight="1">
      <c r="A579" s="4"/>
      <c r="B579" s="4"/>
      <c r="C579" s="4"/>
      <c r="D579" s="4"/>
      <c r="E579" s="4"/>
      <c r="F579" s="4"/>
      <c r="G579" s="4"/>
      <c r="H579" s="4"/>
      <c r="I579" s="4"/>
      <c r="J579" s="4"/>
      <c r="K579" s="4"/>
      <c r="L579" s="4"/>
      <c r="M579" s="4"/>
      <c r="N579" s="4"/>
      <c r="O579" s="4"/>
      <c r="P579" s="4"/>
      <c r="Q579" s="4"/>
      <c r="R579" s="12"/>
      <c r="S579" s="12"/>
      <c r="T579" s="12"/>
      <c r="U579" s="12"/>
      <c r="V579" s="12"/>
      <c r="W579" s="12"/>
      <c r="X579" s="12"/>
      <c r="Y579" s="12"/>
      <c r="Z579" s="12"/>
      <c r="AA579" s="12"/>
      <c r="AB579" s="12"/>
      <c r="AC579" s="12"/>
      <c r="AD579" s="12"/>
    </row>
    <row r="580" spans="1:30" ht="13.5" customHeight="1">
      <c r="A580" s="4"/>
      <c r="B580" s="4"/>
      <c r="C580" s="4"/>
      <c r="D580" s="4"/>
      <c r="E580" s="4"/>
      <c r="F580" s="4"/>
      <c r="G580" s="4"/>
      <c r="H580" s="4"/>
      <c r="I580" s="4"/>
      <c r="J580" s="4"/>
      <c r="K580" s="4"/>
      <c r="L580" s="4"/>
      <c r="M580" s="4"/>
      <c r="N580" s="4"/>
      <c r="O580" s="4"/>
      <c r="P580" s="4"/>
      <c r="Q580" s="4"/>
      <c r="R580" s="12"/>
      <c r="S580" s="12"/>
      <c r="T580" s="12"/>
      <c r="U580" s="12"/>
      <c r="V580" s="12"/>
      <c r="W580" s="12"/>
      <c r="X580" s="12"/>
      <c r="Y580" s="12"/>
      <c r="Z580" s="12"/>
      <c r="AA580" s="12"/>
      <c r="AB580" s="12"/>
      <c r="AC580" s="12"/>
      <c r="AD580" s="12"/>
    </row>
    <row r="581" spans="1:30" ht="13.5" customHeight="1">
      <c r="A581" s="4"/>
      <c r="B581" s="4"/>
      <c r="C581" s="4"/>
      <c r="D581" s="4"/>
      <c r="E581" s="4"/>
      <c r="F581" s="4"/>
      <c r="G581" s="4"/>
      <c r="H581" s="4"/>
      <c r="I581" s="4"/>
      <c r="J581" s="4"/>
      <c r="K581" s="4"/>
      <c r="L581" s="4"/>
      <c r="M581" s="4"/>
      <c r="N581" s="4"/>
      <c r="O581" s="4"/>
      <c r="P581" s="4"/>
      <c r="Q581" s="4"/>
      <c r="R581" s="12"/>
      <c r="S581" s="12"/>
      <c r="T581" s="12"/>
      <c r="U581" s="12"/>
      <c r="V581" s="12"/>
      <c r="W581" s="12"/>
      <c r="X581" s="12"/>
      <c r="Y581" s="12"/>
      <c r="Z581" s="12"/>
      <c r="AA581" s="12"/>
      <c r="AB581" s="12"/>
      <c r="AC581" s="12"/>
      <c r="AD581" s="12"/>
    </row>
    <row r="582" spans="1:30" ht="13.5" customHeight="1">
      <c r="A582" s="4"/>
      <c r="B582" s="4"/>
      <c r="C582" s="4"/>
      <c r="D582" s="4"/>
      <c r="E582" s="4"/>
      <c r="F582" s="4"/>
      <c r="G582" s="4"/>
      <c r="H582" s="4"/>
      <c r="I582" s="4"/>
      <c r="J582" s="4"/>
      <c r="K582" s="4"/>
      <c r="L582" s="4"/>
      <c r="M582" s="4"/>
      <c r="N582" s="4"/>
      <c r="O582" s="4"/>
      <c r="P582" s="4"/>
      <c r="Q582" s="4"/>
      <c r="R582" s="12"/>
      <c r="S582" s="12"/>
      <c r="T582" s="12"/>
      <c r="U582" s="12"/>
      <c r="V582" s="12"/>
      <c r="W582" s="12"/>
      <c r="X582" s="12"/>
      <c r="Y582" s="12"/>
      <c r="Z582" s="12"/>
      <c r="AA582" s="12"/>
      <c r="AB582" s="12"/>
      <c r="AC582" s="12"/>
      <c r="AD582" s="12"/>
    </row>
    <row r="583" spans="1:30" ht="13.5" customHeight="1">
      <c r="A583" s="4"/>
      <c r="B583" s="4"/>
      <c r="C583" s="4"/>
      <c r="D583" s="4"/>
      <c r="E583" s="4"/>
      <c r="F583" s="4"/>
      <c r="G583" s="4"/>
      <c r="H583" s="4"/>
      <c r="I583" s="4"/>
      <c r="J583" s="4"/>
      <c r="K583" s="4"/>
      <c r="L583" s="4"/>
      <c r="M583" s="4"/>
      <c r="N583" s="4"/>
      <c r="O583" s="4"/>
      <c r="P583" s="4"/>
      <c r="Q583" s="4"/>
      <c r="R583" s="12"/>
      <c r="S583" s="12"/>
      <c r="T583" s="12"/>
      <c r="U583" s="12"/>
      <c r="V583" s="12"/>
      <c r="W583" s="12"/>
      <c r="X583" s="12"/>
      <c r="Y583" s="12"/>
      <c r="Z583" s="12"/>
      <c r="AA583" s="12"/>
      <c r="AB583" s="12"/>
      <c r="AC583" s="12"/>
      <c r="AD583" s="12"/>
    </row>
    <row r="584" spans="1:30" ht="13.5" customHeight="1">
      <c r="A584" s="4"/>
      <c r="B584" s="4"/>
      <c r="C584" s="4"/>
      <c r="D584" s="4"/>
      <c r="E584" s="4"/>
      <c r="F584" s="4"/>
      <c r="G584" s="4"/>
      <c r="H584" s="4"/>
      <c r="I584" s="4"/>
      <c r="J584" s="4"/>
      <c r="K584" s="4"/>
      <c r="L584" s="4"/>
      <c r="M584" s="4"/>
      <c r="N584" s="4"/>
      <c r="O584" s="4"/>
      <c r="P584" s="4"/>
      <c r="Q584" s="4"/>
      <c r="R584" s="12"/>
      <c r="S584" s="12"/>
      <c r="T584" s="12"/>
      <c r="U584" s="12"/>
      <c r="V584" s="12"/>
      <c r="W584" s="12"/>
      <c r="X584" s="12"/>
      <c r="Y584" s="12"/>
      <c r="Z584" s="12"/>
      <c r="AA584" s="12"/>
      <c r="AB584" s="12"/>
      <c r="AC584" s="12"/>
      <c r="AD584" s="12"/>
    </row>
    <row r="585" spans="1:30" ht="13.5" customHeight="1">
      <c r="A585" s="4"/>
      <c r="B585" s="4"/>
      <c r="C585" s="4"/>
      <c r="D585" s="4"/>
      <c r="E585" s="4"/>
      <c r="F585" s="4"/>
      <c r="G585" s="4"/>
      <c r="H585" s="4"/>
      <c r="I585" s="4"/>
      <c r="J585" s="4"/>
      <c r="K585" s="4"/>
      <c r="L585" s="4"/>
      <c r="M585" s="4"/>
      <c r="N585" s="4"/>
      <c r="O585" s="4"/>
      <c r="P585" s="4"/>
      <c r="Q585" s="4"/>
      <c r="R585" s="12"/>
      <c r="S585" s="12"/>
      <c r="T585" s="12"/>
      <c r="U585" s="12"/>
      <c r="V585" s="12"/>
      <c r="W585" s="12"/>
      <c r="X585" s="12"/>
      <c r="Y585" s="12"/>
      <c r="Z585" s="12"/>
      <c r="AA585" s="12"/>
      <c r="AB585" s="12"/>
      <c r="AC585" s="12"/>
      <c r="AD585" s="12"/>
    </row>
    <row r="586" spans="1:30" ht="13.5" customHeight="1">
      <c r="A586" s="4"/>
      <c r="B586" s="4"/>
      <c r="C586" s="4"/>
      <c r="D586" s="4"/>
      <c r="E586" s="4"/>
      <c r="F586" s="4"/>
      <c r="G586" s="4"/>
      <c r="H586" s="4"/>
      <c r="I586" s="4"/>
      <c r="J586" s="4"/>
      <c r="K586" s="4"/>
      <c r="L586" s="4"/>
      <c r="M586" s="4"/>
      <c r="N586" s="4"/>
      <c r="O586" s="4"/>
      <c r="P586" s="4"/>
      <c r="Q586" s="4"/>
      <c r="R586" s="12"/>
      <c r="S586" s="12"/>
      <c r="T586" s="12"/>
      <c r="U586" s="12"/>
      <c r="V586" s="12"/>
      <c r="W586" s="12"/>
      <c r="X586" s="12"/>
      <c r="Y586" s="12"/>
      <c r="Z586" s="12"/>
      <c r="AA586" s="12"/>
      <c r="AB586" s="12"/>
      <c r="AC586" s="12"/>
      <c r="AD586" s="12"/>
    </row>
    <row r="587" spans="1:30" ht="13.5" customHeight="1">
      <c r="A587" s="4"/>
      <c r="B587" s="4"/>
      <c r="C587" s="4"/>
      <c r="D587" s="4"/>
      <c r="E587" s="4"/>
      <c r="F587" s="4"/>
      <c r="G587" s="4"/>
      <c r="H587" s="4"/>
      <c r="I587" s="4"/>
      <c r="J587" s="4"/>
      <c r="K587" s="4"/>
      <c r="L587" s="4"/>
      <c r="M587" s="4"/>
      <c r="N587" s="4"/>
      <c r="O587" s="4"/>
      <c r="P587" s="4"/>
      <c r="Q587" s="4"/>
      <c r="R587" s="12"/>
      <c r="S587" s="12"/>
      <c r="T587" s="12"/>
      <c r="U587" s="12"/>
      <c r="V587" s="12"/>
      <c r="W587" s="12"/>
      <c r="X587" s="12"/>
      <c r="Y587" s="12"/>
      <c r="Z587" s="12"/>
      <c r="AA587" s="12"/>
      <c r="AB587" s="12"/>
      <c r="AC587" s="12"/>
      <c r="AD587" s="12"/>
    </row>
    <row r="588" spans="1:30" ht="13.5" customHeight="1">
      <c r="A588" s="4"/>
      <c r="B588" s="4"/>
      <c r="C588" s="4"/>
      <c r="D588" s="4"/>
      <c r="E588" s="4"/>
      <c r="F588" s="4"/>
      <c r="G588" s="4"/>
      <c r="H588" s="4"/>
      <c r="I588" s="4"/>
      <c r="J588" s="4"/>
      <c r="K588" s="4"/>
      <c r="L588" s="4"/>
      <c r="M588" s="4"/>
      <c r="N588" s="4"/>
      <c r="O588" s="4"/>
      <c r="P588" s="4"/>
      <c r="Q588" s="4"/>
      <c r="R588" s="12"/>
      <c r="S588" s="12"/>
      <c r="T588" s="12"/>
      <c r="U588" s="12"/>
      <c r="V588" s="12"/>
      <c r="W588" s="12"/>
      <c r="X588" s="12"/>
      <c r="Y588" s="12"/>
      <c r="Z588" s="12"/>
      <c r="AA588" s="12"/>
      <c r="AB588" s="12"/>
      <c r="AC588" s="12"/>
      <c r="AD588" s="12"/>
    </row>
    <row r="589" spans="1:30" ht="13.5" customHeight="1">
      <c r="A589" s="4"/>
      <c r="B589" s="4"/>
      <c r="C589" s="4"/>
      <c r="D589" s="4"/>
      <c r="E589" s="4"/>
      <c r="F589" s="4"/>
      <c r="G589" s="4"/>
      <c r="H589" s="4"/>
      <c r="I589" s="4"/>
      <c r="J589" s="4"/>
      <c r="K589" s="4"/>
      <c r="L589" s="4"/>
      <c r="M589" s="4"/>
      <c r="N589" s="4"/>
      <c r="O589" s="4"/>
      <c r="P589" s="4"/>
      <c r="Q589" s="4"/>
      <c r="R589" s="12"/>
      <c r="S589" s="12"/>
      <c r="T589" s="12"/>
      <c r="U589" s="12"/>
      <c r="V589" s="12"/>
      <c r="W589" s="12"/>
      <c r="X589" s="12"/>
      <c r="Y589" s="12"/>
      <c r="Z589" s="12"/>
      <c r="AA589" s="12"/>
      <c r="AB589" s="12"/>
      <c r="AC589" s="12"/>
      <c r="AD589" s="12"/>
    </row>
    <row r="590" spans="1:30" ht="13.5" customHeight="1">
      <c r="A590" s="4"/>
      <c r="B590" s="4"/>
      <c r="C590" s="4"/>
      <c r="D590" s="4"/>
      <c r="E590" s="4"/>
      <c r="F590" s="4"/>
      <c r="G590" s="4"/>
      <c r="H590" s="4"/>
      <c r="I590" s="4"/>
      <c r="J590" s="4"/>
      <c r="K590" s="4"/>
      <c r="L590" s="4"/>
      <c r="M590" s="4"/>
      <c r="N590" s="4"/>
      <c r="O590" s="4"/>
      <c r="P590" s="4"/>
      <c r="Q590" s="4"/>
      <c r="R590" s="12"/>
      <c r="S590" s="12"/>
      <c r="T590" s="12"/>
      <c r="U590" s="12"/>
      <c r="V590" s="12"/>
      <c r="W590" s="12"/>
      <c r="X590" s="12"/>
      <c r="Y590" s="12"/>
      <c r="Z590" s="12"/>
      <c r="AA590" s="12"/>
      <c r="AB590" s="12"/>
      <c r="AC590" s="12"/>
      <c r="AD590" s="12"/>
    </row>
    <row r="591" spans="1:30" ht="13.5" customHeight="1">
      <c r="A591" s="4"/>
      <c r="B591" s="4"/>
      <c r="C591" s="4"/>
      <c r="D591" s="4"/>
      <c r="E591" s="4"/>
      <c r="F591" s="4"/>
      <c r="G591" s="4"/>
      <c r="H591" s="4"/>
      <c r="I591" s="4"/>
      <c r="J591" s="4"/>
      <c r="K591" s="4"/>
      <c r="L591" s="4"/>
      <c r="M591" s="4"/>
      <c r="N591" s="4"/>
      <c r="O591" s="4"/>
      <c r="P591" s="4"/>
      <c r="Q591" s="4"/>
      <c r="R591" s="12"/>
      <c r="S591" s="12"/>
      <c r="T591" s="12"/>
      <c r="U591" s="12"/>
      <c r="V591" s="12"/>
      <c r="W591" s="12"/>
      <c r="X591" s="12"/>
      <c r="Y591" s="12"/>
      <c r="Z591" s="12"/>
      <c r="AA591" s="12"/>
      <c r="AB591" s="12"/>
      <c r="AC591" s="12"/>
      <c r="AD591" s="12"/>
    </row>
    <row r="592" spans="1:30" ht="13.5" customHeight="1">
      <c r="A592" s="4"/>
      <c r="B592" s="4"/>
      <c r="C592" s="4"/>
      <c r="D592" s="4"/>
      <c r="E592" s="4"/>
      <c r="F592" s="4"/>
      <c r="G592" s="4"/>
      <c r="H592" s="4"/>
      <c r="I592" s="4"/>
      <c r="J592" s="4"/>
      <c r="K592" s="4"/>
      <c r="L592" s="4"/>
      <c r="M592" s="4"/>
      <c r="N592" s="4"/>
      <c r="O592" s="4"/>
      <c r="P592" s="4"/>
      <c r="Q592" s="4"/>
      <c r="R592" s="12"/>
      <c r="S592" s="12"/>
      <c r="T592" s="12"/>
      <c r="U592" s="12"/>
      <c r="V592" s="12"/>
      <c r="W592" s="12"/>
      <c r="X592" s="12"/>
      <c r="Y592" s="12"/>
      <c r="Z592" s="12"/>
      <c r="AA592" s="12"/>
      <c r="AB592" s="12"/>
      <c r="AC592" s="12"/>
      <c r="AD592" s="12"/>
    </row>
    <row r="593" spans="1:30" ht="13.5" customHeight="1">
      <c r="A593" s="4"/>
      <c r="B593" s="4"/>
      <c r="C593" s="4"/>
      <c r="D593" s="4"/>
      <c r="E593" s="4"/>
      <c r="F593" s="4"/>
      <c r="G593" s="4"/>
      <c r="H593" s="4"/>
      <c r="I593" s="4"/>
      <c r="J593" s="4"/>
      <c r="K593" s="4"/>
      <c r="L593" s="4"/>
      <c r="M593" s="4"/>
      <c r="N593" s="4"/>
      <c r="O593" s="4"/>
      <c r="P593" s="4"/>
      <c r="Q593" s="4"/>
      <c r="R593" s="12"/>
      <c r="S593" s="12"/>
      <c r="T593" s="12"/>
      <c r="U593" s="12"/>
      <c r="V593" s="12"/>
      <c r="W593" s="12"/>
      <c r="X593" s="12"/>
      <c r="Y593" s="12"/>
      <c r="Z593" s="12"/>
      <c r="AA593" s="12"/>
      <c r="AB593" s="12"/>
      <c r="AC593" s="12"/>
      <c r="AD593" s="12"/>
    </row>
    <row r="594" spans="1:30" ht="13.5" customHeight="1">
      <c r="A594" s="4"/>
      <c r="B594" s="4"/>
      <c r="C594" s="4"/>
      <c r="D594" s="4"/>
      <c r="E594" s="4"/>
      <c r="F594" s="4"/>
      <c r="G594" s="4"/>
      <c r="H594" s="4"/>
      <c r="I594" s="4"/>
      <c r="J594" s="4"/>
      <c r="K594" s="4"/>
      <c r="L594" s="4"/>
      <c r="M594" s="4"/>
      <c r="N594" s="4"/>
      <c r="O594" s="4"/>
      <c r="P594" s="4"/>
      <c r="Q594" s="4"/>
      <c r="R594" s="12"/>
      <c r="S594" s="12"/>
      <c r="T594" s="12"/>
      <c r="U594" s="12"/>
      <c r="V594" s="12"/>
      <c r="W594" s="12"/>
      <c r="X594" s="12"/>
      <c r="Y594" s="12"/>
      <c r="Z594" s="12"/>
      <c r="AA594" s="12"/>
      <c r="AB594" s="12"/>
      <c r="AC594" s="12"/>
      <c r="AD594" s="12"/>
    </row>
    <row r="595" spans="1:30" ht="13.5" customHeight="1">
      <c r="A595" s="4"/>
      <c r="B595" s="4"/>
      <c r="C595" s="4"/>
      <c r="D595" s="4"/>
      <c r="E595" s="4"/>
      <c r="F595" s="4"/>
      <c r="G595" s="4"/>
      <c r="H595" s="4"/>
      <c r="I595" s="4"/>
      <c r="J595" s="4"/>
      <c r="K595" s="4"/>
      <c r="L595" s="4"/>
      <c r="M595" s="4"/>
      <c r="N595" s="4"/>
      <c r="O595" s="4"/>
      <c r="P595" s="4"/>
      <c r="Q595" s="4"/>
      <c r="R595" s="12"/>
      <c r="S595" s="12"/>
      <c r="T595" s="12"/>
      <c r="U595" s="12"/>
      <c r="V595" s="12"/>
      <c r="W595" s="12"/>
      <c r="X595" s="12"/>
      <c r="Y595" s="12"/>
      <c r="Z595" s="12"/>
      <c r="AA595" s="12"/>
      <c r="AB595" s="12"/>
      <c r="AC595" s="12"/>
      <c r="AD595" s="12"/>
    </row>
    <row r="596" spans="1:30" ht="13.5" customHeight="1">
      <c r="A596" s="4"/>
      <c r="B596" s="4"/>
      <c r="C596" s="4"/>
      <c r="D596" s="4"/>
      <c r="E596" s="4"/>
      <c r="F596" s="4"/>
      <c r="G596" s="4"/>
      <c r="H596" s="4"/>
      <c r="I596" s="4"/>
      <c r="J596" s="4"/>
      <c r="K596" s="4"/>
      <c r="L596" s="4"/>
      <c r="M596" s="4"/>
      <c r="N596" s="4"/>
      <c r="O596" s="4"/>
      <c r="P596" s="4"/>
      <c r="Q596" s="4"/>
      <c r="R596" s="12"/>
      <c r="S596" s="12"/>
      <c r="T596" s="12"/>
      <c r="U596" s="12"/>
      <c r="V596" s="12"/>
      <c r="W596" s="12"/>
      <c r="X596" s="12"/>
      <c r="Y596" s="12"/>
      <c r="Z596" s="12"/>
      <c r="AA596" s="12"/>
      <c r="AB596" s="12"/>
      <c r="AC596" s="12"/>
      <c r="AD596" s="12"/>
    </row>
    <row r="597" spans="1:30" ht="13.5" customHeight="1">
      <c r="A597" s="4"/>
      <c r="B597" s="4"/>
      <c r="C597" s="4"/>
      <c r="D597" s="4"/>
      <c r="E597" s="4"/>
      <c r="F597" s="4"/>
      <c r="G597" s="4"/>
      <c r="H597" s="4"/>
      <c r="I597" s="4"/>
      <c r="J597" s="4"/>
      <c r="K597" s="4"/>
      <c r="L597" s="4"/>
      <c r="M597" s="4"/>
      <c r="N597" s="4"/>
      <c r="O597" s="4"/>
      <c r="P597" s="4"/>
      <c r="Q597" s="4"/>
      <c r="R597" s="12"/>
      <c r="S597" s="12"/>
      <c r="T597" s="12"/>
      <c r="U597" s="12"/>
      <c r="V597" s="12"/>
      <c r="W597" s="12"/>
      <c r="X597" s="12"/>
      <c r="Y597" s="12"/>
      <c r="Z597" s="12"/>
      <c r="AA597" s="12"/>
      <c r="AB597" s="12"/>
      <c r="AC597" s="12"/>
      <c r="AD597" s="12"/>
    </row>
    <row r="598" spans="1:30" ht="13.5" customHeight="1">
      <c r="A598" s="4"/>
      <c r="B598" s="4"/>
      <c r="C598" s="4"/>
      <c r="D598" s="4"/>
      <c r="E598" s="4"/>
      <c r="F598" s="4"/>
      <c r="G598" s="4"/>
      <c r="H598" s="4"/>
      <c r="I598" s="4"/>
      <c r="J598" s="4"/>
      <c r="K598" s="4"/>
      <c r="L598" s="4"/>
      <c r="M598" s="4"/>
      <c r="N598" s="4"/>
      <c r="O598" s="4"/>
      <c r="P598" s="4"/>
      <c r="Q598" s="4"/>
      <c r="R598" s="12"/>
      <c r="S598" s="12"/>
      <c r="T598" s="12"/>
      <c r="U598" s="12"/>
      <c r="V598" s="12"/>
      <c r="W598" s="12"/>
      <c r="X598" s="12"/>
      <c r="Y598" s="12"/>
      <c r="Z598" s="12"/>
      <c r="AA598" s="12"/>
      <c r="AB598" s="12"/>
      <c r="AC598" s="12"/>
      <c r="AD598" s="12"/>
    </row>
    <row r="599" spans="1:30" ht="13.5" customHeight="1">
      <c r="A599" s="4"/>
      <c r="B599" s="4"/>
      <c r="C599" s="4"/>
      <c r="D599" s="4"/>
      <c r="E599" s="4"/>
      <c r="F599" s="4"/>
      <c r="G599" s="4"/>
      <c r="H599" s="4"/>
      <c r="I599" s="4"/>
      <c r="J599" s="4"/>
      <c r="K599" s="4"/>
      <c r="L599" s="4"/>
      <c r="M599" s="4"/>
      <c r="N599" s="4"/>
      <c r="O599" s="4"/>
      <c r="P599" s="4"/>
      <c r="Q599" s="4"/>
      <c r="R599" s="12"/>
      <c r="S599" s="12"/>
      <c r="T599" s="12"/>
      <c r="U599" s="12"/>
      <c r="V599" s="12"/>
      <c r="W599" s="12"/>
      <c r="X599" s="12"/>
      <c r="Y599" s="12"/>
      <c r="Z599" s="12"/>
      <c r="AA599" s="12"/>
      <c r="AB599" s="12"/>
      <c r="AC599" s="12"/>
      <c r="AD599" s="12"/>
    </row>
    <row r="600" spans="1:30" ht="13.5" customHeight="1">
      <c r="A600" s="4"/>
      <c r="B600" s="4"/>
      <c r="C600" s="4"/>
      <c r="D600" s="4"/>
      <c r="E600" s="4"/>
      <c r="F600" s="4"/>
      <c r="G600" s="4"/>
      <c r="H600" s="4"/>
      <c r="I600" s="4"/>
      <c r="J600" s="4"/>
      <c r="K600" s="4"/>
      <c r="L600" s="4"/>
      <c r="M600" s="4"/>
      <c r="N600" s="4"/>
      <c r="O600" s="4"/>
      <c r="P600" s="4"/>
      <c r="Q600" s="4"/>
      <c r="R600" s="12"/>
      <c r="S600" s="12"/>
      <c r="T600" s="12"/>
      <c r="U600" s="12"/>
      <c r="V600" s="12"/>
      <c r="W600" s="12"/>
      <c r="X600" s="12"/>
      <c r="Y600" s="12"/>
      <c r="Z600" s="12"/>
      <c r="AA600" s="12"/>
      <c r="AB600" s="12"/>
      <c r="AC600" s="12"/>
      <c r="AD600" s="12"/>
    </row>
    <row r="601" spans="1:30" ht="13.5" customHeight="1">
      <c r="A601" s="4"/>
      <c r="B601" s="4"/>
      <c r="C601" s="4"/>
      <c r="D601" s="4"/>
      <c r="E601" s="4"/>
      <c r="F601" s="4"/>
      <c r="G601" s="4"/>
      <c r="H601" s="4"/>
      <c r="I601" s="4"/>
      <c r="J601" s="4"/>
      <c r="K601" s="4"/>
      <c r="L601" s="4"/>
      <c r="M601" s="4"/>
      <c r="N601" s="4"/>
      <c r="O601" s="4"/>
      <c r="P601" s="4"/>
      <c r="Q601" s="4"/>
      <c r="R601" s="12"/>
      <c r="S601" s="12"/>
      <c r="T601" s="12"/>
      <c r="U601" s="12"/>
      <c r="V601" s="12"/>
      <c r="W601" s="12"/>
      <c r="X601" s="12"/>
      <c r="Y601" s="12"/>
      <c r="Z601" s="12"/>
      <c r="AA601" s="12"/>
      <c r="AB601" s="12"/>
      <c r="AC601" s="12"/>
      <c r="AD601" s="12"/>
    </row>
    <row r="602" spans="1:30" ht="13.5" customHeight="1">
      <c r="A602" s="4"/>
      <c r="B602" s="4"/>
      <c r="C602" s="4"/>
      <c r="D602" s="4"/>
      <c r="E602" s="4"/>
      <c r="F602" s="4"/>
      <c r="G602" s="4"/>
      <c r="H602" s="4"/>
      <c r="I602" s="4"/>
      <c r="J602" s="4"/>
      <c r="K602" s="4"/>
      <c r="L602" s="4"/>
      <c r="M602" s="4"/>
      <c r="N602" s="4"/>
      <c r="O602" s="4"/>
      <c r="P602" s="4"/>
      <c r="Q602" s="4"/>
      <c r="R602" s="12"/>
      <c r="S602" s="12"/>
      <c r="T602" s="12"/>
      <c r="U602" s="12"/>
      <c r="V602" s="12"/>
      <c r="W602" s="12"/>
      <c r="X602" s="12"/>
      <c r="Y602" s="12"/>
      <c r="Z602" s="12"/>
      <c r="AA602" s="12"/>
      <c r="AB602" s="12"/>
      <c r="AC602" s="12"/>
      <c r="AD602" s="12"/>
    </row>
    <row r="603" spans="1:30" ht="13.5" customHeight="1">
      <c r="A603" s="4"/>
      <c r="B603" s="4"/>
      <c r="C603" s="4"/>
      <c r="D603" s="4"/>
      <c r="E603" s="4"/>
      <c r="F603" s="4"/>
      <c r="G603" s="4"/>
      <c r="H603" s="4"/>
      <c r="I603" s="4"/>
      <c r="J603" s="4"/>
      <c r="K603" s="4"/>
      <c r="L603" s="4"/>
      <c r="M603" s="4"/>
      <c r="N603" s="4"/>
      <c r="O603" s="4"/>
      <c r="P603" s="4"/>
      <c r="Q603" s="4"/>
      <c r="R603" s="12"/>
      <c r="S603" s="12"/>
      <c r="T603" s="12"/>
      <c r="U603" s="12"/>
      <c r="V603" s="12"/>
      <c r="W603" s="12"/>
      <c r="X603" s="12"/>
      <c r="Y603" s="12"/>
      <c r="Z603" s="12"/>
      <c r="AA603" s="12"/>
      <c r="AB603" s="12"/>
      <c r="AC603" s="12"/>
      <c r="AD603" s="12"/>
    </row>
    <row r="604" spans="1:30" ht="13.5" customHeight="1">
      <c r="A604" s="4"/>
      <c r="B604" s="4"/>
      <c r="C604" s="4"/>
      <c r="D604" s="4"/>
      <c r="E604" s="4"/>
      <c r="F604" s="4"/>
      <c r="G604" s="4"/>
      <c r="H604" s="4"/>
      <c r="I604" s="4"/>
      <c r="J604" s="4"/>
      <c r="K604" s="4"/>
      <c r="L604" s="4"/>
      <c r="M604" s="4"/>
      <c r="N604" s="4"/>
      <c r="O604" s="4"/>
      <c r="P604" s="4"/>
      <c r="Q604" s="4"/>
      <c r="R604" s="12"/>
      <c r="S604" s="12"/>
      <c r="T604" s="12"/>
      <c r="U604" s="12"/>
      <c r="V604" s="12"/>
      <c r="W604" s="12"/>
      <c r="X604" s="12"/>
      <c r="Y604" s="12"/>
      <c r="Z604" s="12"/>
      <c r="AA604" s="12"/>
      <c r="AB604" s="12"/>
      <c r="AC604" s="12"/>
      <c r="AD604" s="12"/>
    </row>
    <row r="605" spans="1:30" ht="13.5" customHeight="1">
      <c r="A605" s="4"/>
      <c r="B605" s="4"/>
      <c r="C605" s="4"/>
      <c r="D605" s="4"/>
      <c r="E605" s="4"/>
      <c r="F605" s="4"/>
      <c r="G605" s="4"/>
      <c r="H605" s="4"/>
      <c r="I605" s="4"/>
      <c r="J605" s="4"/>
      <c r="K605" s="4"/>
      <c r="L605" s="4"/>
      <c r="M605" s="4"/>
      <c r="N605" s="4"/>
      <c r="O605" s="4"/>
      <c r="P605" s="4"/>
      <c r="Q605" s="4"/>
      <c r="R605" s="12"/>
      <c r="S605" s="12"/>
      <c r="T605" s="12"/>
      <c r="U605" s="12"/>
      <c r="V605" s="12"/>
      <c r="W605" s="12"/>
      <c r="X605" s="12"/>
      <c r="Y605" s="12"/>
      <c r="Z605" s="12"/>
      <c r="AA605" s="12"/>
      <c r="AB605" s="12"/>
      <c r="AC605" s="12"/>
      <c r="AD605" s="12"/>
    </row>
    <row r="606" spans="1:30" ht="13.5" customHeight="1">
      <c r="A606" s="4"/>
      <c r="B606" s="4"/>
      <c r="C606" s="4"/>
      <c r="D606" s="4"/>
      <c r="E606" s="4"/>
      <c r="F606" s="4"/>
      <c r="G606" s="4"/>
      <c r="H606" s="4"/>
      <c r="I606" s="4"/>
      <c r="J606" s="4"/>
      <c r="K606" s="4"/>
      <c r="L606" s="4"/>
      <c r="M606" s="4"/>
      <c r="N606" s="4"/>
      <c r="O606" s="4"/>
      <c r="P606" s="4"/>
      <c r="Q606" s="4"/>
      <c r="R606" s="12"/>
      <c r="S606" s="12"/>
      <c r="T606" s="12"/>
      <c r="U606" s="12"/>
      <c r="V606" s="12"/>
      <c r="W606" s="12"/>
      <c r="X606" s="12"/>
      <c r="Y606" s="12"/>
      <c r="Z606" s="12"/>
      <c r="AA606" s="12"/>
      <c r="AB606" s="12"/>
      <c r="AC606" s="12"/>
      <c r="AD606" s="12"/>
    </row>
    <row r="607" spans="1:30" ht="13.5" customHeight="1">
      <c r="A607" s="4"/>
      <c r="B607" s="4"/>
      <c r="C607" s="4"/>
      <c r="D607" s="4"/>
      <c r="E607" s="4"/>
      <c r="F607" s="4"/>
      <c r="G607" s="4"/>
      <c r="H607" s="4"/>
      <c r="I607" s="4"/>
      <c r="J607" s="4"/>
      <c r="K607" s="4"/>
      <c r="L607" s="4"/>
      <c r="M607" s="4"/>
      <c r="N607" s="4"/>
      <c r="O607" s="4"/>
      <c r="P607" s="4"/>
      <c r="Q607" s="4"/>
      <c r="R607" s="12"/>
      <c r="S607" s="12"/>
      <c r="T607" s="12"/>
      <c r="U607" s="12"/>
      <c r="V607" s="12"/>
      <c r="W607" s="12"/>
      <c r="X607" s="12"/>
      <c r="Y607" s="12"/>
      <c r="Z607" s="12"/>
      <c r="AA607" s="12"/>
      <c r="AB607" s="12"/>
      <c r="AC607" s="12"/>
      <c r="AD607" s="12"/>
    </row>
    <row r="608" spans="1:30" ht="13.5" customHeight="1">
      <c r="A608" s="4"/>
      <c r="B608" s="4"/>
      <c r="C608" s="4"/>
      <c r="D608" s="4"/>
      <c r="E608" s="4"/>
      <c r="F608" s="4"/>
      <c r="G608" s="4"/>
      <c r="H608" s="4"/>
      <c r="I608" s="4"/>
      <c r="J608" s="4"/>
      <c r="K608" s="4"/>
      <c r="L608" s="4"/>
      <c r="M608" s="4"/>
      <c r="N608" s="4"/>
      <c r="O608" s="4"/>
      <c r="P608" s="4"/>
      <c r="Q608" s="4"/>
      <c r="R608" s="12"/>
      <c r="S608" s="12"/>
      <c r="T608" s="12"/>
      <c r="U608" s="12"/>
      <c r="V608" s="12"/>
      <c r="W608" s="12"/>
      <c r="X608" s="12"/>
      <c r="Y608" s="12"/>
      <c r="Z608" s="12"/>
      <c r="AA608" s="12"/>
      <c r="AB608" s="12"/>
      <c r="AC608" s="12"/>
      <c r="AD608" s="12"/>
    </row>
    <row r="609" spans="1:30" ht="13.5" customHeight="1">
      <c r="A609" s="4"/>
      <c r="B609" s="4"/>
      <c r="C609" s="4"/>
      <c r="D609" s="4"/>
      <c r="E609" s="4"/>
      <c r="F609" s="4"/>
      <c r="G609" s="4"/>
      <c r="H609" s="4"/>
      <c r="I609" s="4"/>
      <c r="J609" s="4"/>
      <c r="K609" s="4"/>
      <c r="L609" s="4"/>
      <c r="M609" s="4"/>
      <c r="N609" s="4"/>
      <c r="O609" s="4"/>
      <c r="P609" s="4"/>
      <c r="Q609" s="4"/>
      <c r="R609" s="12"/>
      <c r="S609" s="12"/>
      <c r="T609" s="12"/>
      <c r="U609" s="12"/>
      <c r="V609" s="12"/>
      <c r="W609" s="12"/>
      <c r="X609" s="12"/>
      <c r="Y609" s="12"/>
      <c r="Z609" s="12"/>
      <c r="AA609" s="12"/>
      <c r="AB609" s="12"/>
      <c r="AC609" s="12"/>
      <c r="AD609" s="12"/>
    </row>
    <row r="610" spans="1:30" ht="13.5" customHeight="1">
      <c r="A610" s="4"/>
      <c r="B610" s="4"/>
      <c r="C610" s="4"/>
      <c r="D610" s="4"/>
      <c r="E610" s="4"/>
      <c r="F610" s="4"/>
      <c r="G610" s="4"/>
      <c r="H610" s="4"/>
      <c r="I610" s="4"/>
      <c r="J610" s="4"/>
      <c r="K610" s="4"/>
      <c r="L610" s="4"/>
      <c r="M610" s="4"/>
      <c r="N610" s="4"/>
      <c r="O610" s="4"/>
      <c r="P610" s="4"/>
      <c r="Q610" s="4"/>
      <c r="R610" s="12"/>
      <c r="S610" s="12"/>
      <c r="T610" s="12"/>
      <c r="U610" s="12"/>
      <c r="V610" s="12"/>
      <c r="W610" s="12"/>
      <c r="X610" s="12"/>
      <c r="Y610" s="12"/>
      <c r="Z610" s="12"/>
      <c r="AA610" s="12"/>
      <c r="AB610" s="12"/>
      <c r="AC610" s="12"/>
      <c r="AD610" s="12"/>
    </row>
    <row r="611" spans="1:30" ht="13.5" customHeight="1">
      <c r="A611" s="4"/>
      <c r="B611" s="4"/>
      <c r="C611" s="4"/>
      <c r="D611" s="4"/>
      <c r="E611" s="4"/>
      <c r="F611" s="4"/>
      <c r="G611" s="4"/>
      <c r="H611" s="4"/>
      <c r="I611" s="4"/>
      <c r="J611" s="4"/>
      <c r="K611" s="4"/>
      <c r="L611" s="4"/>
      <c r="M611" s="4"/>
      <c r="N611" s="4"/>
      <c r="O611" s="4"/>
      <c r="P611" s="4"/>
      <c r="Q611" s="4"/>
      <c r="R611" s="12"/>
      <c r="S611" s="12"/>
      <c r="T611" s="12"/>
      <c r="U611" s="12"/>
      <c r="V611" s="12"/>
      <c r="W611" s="12"/>
      <c r="X611" s="12"/>
      <c r="Y611" s="12"/>
      <c r="Z611" s="12"/>
      <c r="AA611" s="12"/>
      <c r="AB611" s="12"/>
      <c r="AC611" s="12"/>
      <c r="AD611" s="12"/>
    </row>
    <row r="612" spans="1:30" ht="13.5" customHeight="1">
      <c r="A612" s="4"/>
      <c r="B612" s="4"/>
      <c r="C612" s="4"/>
      <c r="D612" s="4"/>
      <c r="E612" s="4"/>
      <c r="F612" s="4"/>
      <c r="G612" s="4"/>
      <c r="H612" s="4"/>
      <c r="I612" s="4"/>
      <c r="J612" s="4"/>
      <c r="K612" s="4"/>
      <c r="L612" s="4"/>
      <c r="M612" s="4"/>
      <c r="N612" s="4"/>
      <c r="O612" s="4"/>
      <c r="P612" s="4"/>
      <c r="Q612" s="4"/>
      <c r="R612" s="12"/>
      <c r="S612" s="12"/>
      <c r="T612" s="12"/>
      <c r="U612" s="12"/>
      <c r="V612" s="12"/>
      <c r="W612" s="12"/>
      <c r="X612" s="12"/>
      <c r="Y612" s="12"/>
      <c r="Z612" s="12"/>
      <c r="AA612" s="12"/>
      <c r="AB612" s="12"/>
      <c r="AC612" s="12"/>
      <c r="AD612" s="12"/>
    </row>
    <row r="613" spans="1:30" ht="13.5" customHeight="1">
      <c r="A613" s="4"/>
      <c r="B613" s="4"/>
      <c r="C613" s="4"/>
      <c r="D613" s="4"/>
      <c r="E613" s="4"/>
      <c r="F613" s="4"/>
      <c r="G613" s="4"/>
      <c r="H613" s="4"/>
      <c r="I613" s="4"/>
      <c r="J613" s="4"/>
      <c r="K613" s="4"/>
      <c r="L613" s="4"/>
      <c r="M613" s="4"/>
      <c r="N613" s="4"/>
      <c r="O613" s="4"/>
      <c r="P613" s="4"/>
      <c r="Q613" s="4"/>
      <c r="R613" s="12"/>
      <c r="S613" s="12"/>
      <c r="T613" s="12"/>
      <c r="U613" s="12"/>
      <c r="V613" s="12"/>
      <c r="W613" s="12"/>
      <c r="X613" s="12"/>
      <c r="Y613" s="12"/>
      <c r="Z613" s="12"/>
      <c r="AA613" s="12"/>
      <c r="AB613" s="12"/>
      <c r="AC613" s="12"/>
      <c r="AD613" s="12"/>
    </row>
    <row r="614" spans="1:30" ht="13.5" customHeight="1">
      <c r="A614" s="4"/>
      <c r="B614" s="4"/>
      <c r="C614" s="4"/>
      <c r="D614" s="4"/>
      <c r="E614" s="4"/>
      <c r="F614" s="4"/>
      <c r="G614" s="4"/>
      <c r="H614" s="4"/>
      <c r="I614" s="4"/>
      <c r="J614" s="4"/>
      <c r="K614" s="4"/>
      <c r="L614" s="4"/>
      <c r="M614" s="4"/>
      <c r="N614" s="4"/>
      <c r="O614" s="4"/>
      <c r="P614" s="4"/>
      <c r="Q614" s="4"/>
      <c r="R614" s="12"/>
      <c r="S614" s="12"/>
      <c r="T614" s="12"/>
      <c r="U614" s="12"/>
      <c r="V614" s="12"/>
      <c r="W614" s="12"/>
      <c r="X614" s="12"/>
      <c r="Y614" s="12"/>
      <c r="Z614" s="12"/>
      <c r="AA614" s="12"/>
      <c r="AB614" s="12"/>
      <c r="AC614" s="12"/>
      <c r="AD614" s="12"/>
    </row>
    <row r="615" spans="1:30" ht="13.5" customHeight="1">
      <c r="A615" s="4"/>
      <c r="B615" s="4"/>
      <c r="C615" s="4"/>
      <c r="D615" s="4"/>
      <c r="E615" s="4"/>
      <c r="F615" s="4"/>
      <c r="G615" s="4"/>
      <c r="H615" s="4"/>
      <c r="I615" s="4"/>
      <c r="J615" s="4"/>
      <c r="K615" s="4"/>
      <c r="L615" s="4"/>
      <c r="M615" s="4"/>
      <c r="N615" s="4"/>
      <c r="O615" s="4"/>
      <c r="P615" s="4"/>
      <c r="Q615" s="4"/>
      <c r="R615" s="12"/>
      <c r="S615" s="12"/>
      <c r="T615" s="12"/>
      <c r="U615" s="12"/>
      <c r="V615" s="12"/>
      <c r="W615" s="12"/>
      <c r="X615" s="12"/>
      <c r="Y615" s="12"/>
      <c r="Z615" s="12"/>
      <c r="AA615" s="12"/>
      <c r="AB615" s="12"/>
      <c r="AC615" s="12"/>
      <c r="AD615" s="12"/>
    </row>
    <row r="616" spans="1:30" ht="13.5" customHeight="1">
      <c r="A616" s="4"/>
      <c r="B616" s="4"/>
      <c r="C616" s="4"/>
      <c r="D616" s="4"/>
      <c r="E616" s="4"/>
      <c r="F616" s="4"/>
      <c r="G616" s="4"/>
      <c r="H616" s="4"/>
      <c r="I616" s="4"/>
      <c r="J616" s="4"/>
      <c r="K616" s="4"/>
      <c r="L616" s="4"/>
      <c r="M616" s="4"/>
      <c r="N616" s="4"/>
      <c r="O616" s="4"/>
      <c r="P616" s="4"/>
      <c r="Q616" s="4"/>
      <c r="R616" s="12"/>
      <c r="S616" s="12"/>
      <c r="T616" s="12"/>
      <c r="U616" s="12"/>
      <c r="V616" s="12"/>
      <c r="W616" s="12"/>
      <c r="X616" s="12"/>
      <c r="Y616" s="12"/>
      <c r="Z616" s="12"/>
      <c r="AA616" s="12"/>
      <c r="AB616" s="12"/>
      <c r="AC616" s="12"/>
      <c r="AD616" s="12"/>
    </row>
    <row r="617" spans="1:30" ht="13.5" customHeight="1">
      <c r="A617" s="4"/>
      <c r="B617" s="4"/>
      <c r="C617" s="4"/>
      <c r="D617" s="4"/>
      <c r="E617" s="4"/>
      <c r="F617" s="4"/>
      <c r="G617" s="4"/>
      <c r="H617" s="4"/>
      <c r="I617" s="4"/>
      <c r="J617" s="4"/>
      <c r="K617" s="4"/>
      <c r="L617" s="4"/>
      <c r="M617" s="4"/>
      <c r="N617" s="4"/>
      <c r="O617" s="4"/>
      <c r="P617" s="4"/>
      <c r="Q617" s="4"/>
      <c r="R617" s="12"/>
      <c r="S617" s="12"/>
      <c r="T617" s="12"/>
      <c r="U617" s="12"/>
      <c r="V617" s="12"/>
      <c r="W617" s="12"/>
      <c r="X617" s="12"/>
      <c r="Y617" s="12"/>
      <c r="Z617" s="12"/>
      <c r="AA617" s="12"/>
      <c r="AB617" s="12"/>
      <c r="AC617" s="12"/>
      <c r="AD617" s="12"/>
    </row>
    <row r="618" spans="1:30" ht="13.5" customHeight="1">
      <c r="A618" s="4"/>
      <c r="B618" s="4"/>
      <c r="C618" s="4"/>
      <c r="D618" s="4"/>
      <c r="E618" s="4"/>
      <c r="F618" s="4"/>
      <c r="G618" s="4"/>
      <c r="H618" s="4"/>
      <c r="I618" s="4"/>
      <c r="J618" s="4"/>
      <c r="K618" s="4"/>
      <c r="L618" s="4"/>
      <c r="M618" s="4"/>
      <c r="N618" s="4"/>
      <c r="O618" s="4"/>
      <c r="P618" s="4"/>
      <c r="Q618" s="4"/>
      <c r="R618" s="12"/>
      <c r="S618" s="12"/>
      <c r="T618" s="12"/>
      <c r="U618" s="12"/>
      <c r="V618" s="12"/>
      <c r="W618" s="12"/>
      <c r="X618" s="12"/>
      <c r="Y618" s="12"/>
      <c r="Z618" s="12"/>
      <c r="AA618" s="12"/>
      <c r="AB618" s="12"/>
      <c r="AC618" s="12"/>
      <c r="AD618" s="12"/>
    </row>
    <row r="619" spans="1:30" ht="13.5" customHeight="1">
      <c r="A619" s="4"/>
      <c r="B619" s="4"/>
      <c r="C619" s="4"/>
      <c r="D619" s="4"/>
      <c r="E619" s="4"/>
      <c r="F619" s="4"/>
      <c r="G619" s="4"/>
      <c r="H619" s="4"/>
      <c r="I619" s="4"/>
      <c r="J619" s="4"/>
      <c r="K619" s="4"/>
      <c r="L619" s="4"/>
      <c r="M619" s="4"/>
      <c r="N619" s="4"/>
      <c r="O619" s="4"/>
      <c r="P619" s="4"/>
      <c r="Q619" s="4"/>
      <c r="R619" s="12"/>
      <c r="S619" s="12"/>
      <c r="T619" s="12"/>
      <c r="U619" s="12"/>
      <c r="V619" s="12"/>
      <c r="W619" s="12"/>
      <c r="X619" s="12"/>
      <c r="Y619" s="12"/>
      <c r="Z619" s="12"/>
      <c r="AA619" s="12"/>
      <c r="AB619" s="12"/>
      <c r="AC619" s="12"/>
      <c r="AD619" s="12"/>
    </row>
    <row r="620" spans="1:30" ht="13.5" customHeight="1">
      <c r="A620" s="4"/>
      <c r="B620" s="4"/>
      <c r="C620" s="4"/>
      <c r="D620" s="4"/>
      <c r="E620" s="4"/>
      <c r="F620" s="4"/>
      <c r="G620" s="4"/>
      <c r="H620" s="4"/>
      <c r="I620" s="4"/>
      <c r="J620" s="4"/>
      <c r="K620" s="4"/>
      <c r="L620" s="4"/>
      <c r="M620" s="4"/>
      <c r="N620" s="4"/>
      <c r="O620" s="4"/>
      <c r="P620" s="4"/>
      <c r="Q620" s="4"/>
      <c r="R620" s="12"/>
      <c r="S620" s="12"/>
      <c r="T620" s="12"/>
      <c r="U620" s="12"/>
      <c r="V620" s="12"/>
      <c r="W620" s="12"/>
      <c r="X620" s="12"/>
      <c r="Y620" s="12"/>
      <c r="Z620" s="12"/>
      <c r="AA620" s="12"/>
      <c r="AB620" s="12"/>
      <c r="AC620" s="12"/>
      <c r="AD620" s="12"/>
    </row>
    <row r="621" spans="1:30" ht="13.5" customHeight="1">
      <c r="A621" s="4"/>
      <c r="B621" s="4"/>
      <c r="C621" s="4"/>
      <c r="D621" s="4"/>
      <c r="E621" s="4"/>
      <c r="F621" s="4"/>
      <c r="G621" s="4"/>
      <c r="H621" s="4"/>
      <c r="I621" s="4"/>
      <c r="J621" s="4"/>
      <c r="K621" s="4"/>
      <c r="L621" s="4"/>
      <c r="M621" s="4"/>
      <c r="N621" s="4"/>
      <c r="O621" s="4"/>
      <c r="P621" s="4"/>
      <c r="Q621" s="4"/>
      <c r="R621" s="12"/>
      <c r="S621" s="12"/>
      <c r="T621" s="12"/>
      <c r="U621" s="12"/>
      <c r="V621" s="12"/>
      <c r="W621" s="12"/>
      <c r="X621" s="12"/>
      <c r="Y621" s="12"/>
      <c r="Z621" s="12"/>
      <c r="AA621" s="12"/>
      <c r="AB621" s="12"/>
      <c r="AC621" s="12"/>
      <c r="AD621" s="12"/>
    </row>
    <row r="622" spans="1:30" ht="13.5" customHeight="1">
      <c r="A622" s="4"/>
      <c r="B622" s="4"/>
      <c r="C622" s="4"/>
      <c r="D622" s="4"/>
      <c r="E622" s="4"/>
      <c r="F622" s="4"/>
      <c r="G622" s="4"/>
      <c r="H622" s="4"/>
      <c r="I622" s="4"/>
      <c r="J622" s="4"/>
      <c r="K622" s="4"/>
      <c r="L622" s="4"/>
      <c r="M622" s="4"/>
      <c r="N622" s="4"/>
      <c r="O622" s="4"/>
      <c r="P622" s="4"/>
      <c r="Q622" s="4"/>
      <c r="R622" s="12"/>
      <c r="S622" s="12"/>
      <c r="T622" s="12"/>
      <c r="U622" s="12"/>
      <c r="V622" s="12"/>
      <c r="W622" s="12"/>
      <c r="X622" s="12"/>
      <c r="Y622" s="12"/>
      <c r="Z622" s="12"/>
      <c r="AA622" s="12"/>
      <c r="AB622" s="12"/>
      <c r="AC622" s="12"/>
      <c r="AD622" s="12"/>
    </row>
    <row r="623" spans="1:30" ht="13.5" customHeight="1">
      <c r="A623" s="4"/>
      <c r="B623" s="4"/>
      <c r="C623" s="4"/>
      <c r="D623" s="4"/>
      <c r="E623" s="4"/>
      <c r="F623" s="4"/>
      <c r="G623" s="4"/>
      <c r="H623" s="4"/>
      <c r="I623" s="4"/>
      <c r="J623" s="4"/>
      <c r="K623" s="4"/>
      <c r="L623" s="4"/>
      <c r="M623" s="4"/>
      <c r="N623" s="4"/>
      <c r="O623" s="4"/>
      <c r="P623" s="4"/>
      <c r="Q623" s="4"/>
      <c r="R623" s="12"/>
      <c r="S623" s="12"/>
      <c r="T623" s="12"/>
      <c r="U623" s="12"/>
      <c r="V623" s="12"/>
      <c r="W623" s="12"/>
      <c r="X623" s="12"/>
      <c r="Y623" s="12"/>
      <c r="Z623" s="12"/>
      <c r="AA623" s="12"/>
      <c r="AB623" s="12"/>
      <c r="AC623" s="12"/>
      <c r="AD623" s="12"/>
    </row>
    <row r="624" spans="1:30" ht="13.5" customHeight="1">
      <c r="A624" s="4"/>
      <c r="B624" s="4"/>
      <c r="C624" s="4"/>
      <c r="D624" s="4"/>
      <c r="E624" s="4"/>
      <c r="F624" s="4"/>
      <c r="G624" s="4"/>
      <c r="H624" s="4"/>
      <c r="I624" s="4"/>
      <c r="J624" s="4"/>
      <c r="K624" s="4"/>
      <c r="L624" s="4"/>
      <c r="M624" s="4"/>
      <c r="N624" s="4"/>
      <c r="O624" s="4"/>
      <c r="P624" s="4"/>
      <c r="Q624" s="4"/>
      <c r="R624" s="12"/>
      <c r="S624" s="12"/>
      <c r="T624" s="12"/>
      <c r="U624" s="12"/>
      <c r="V624" s="12"/>
      <c r="W624" s="12"/>
      <c r="X624" s="12"/>
      <c r="Y624" s="12"/>
      <c r="Z624" s="12"/>
      <c r="AA624" s="12"/>
      <c r="AB624" s="12"/>
      <c r="AC624" s="12"/>
      <c r="AD624" s="12"/>
    </row>
    <row r="625" spans="1:30" ht="13.5" customHeight="1">
      <c r="A625" s="4"/>
      <c r="B625" s="4"/>
      <c r="C625" s="4"/>
      <c r="D625" s="4"/>
      <c r="E625" s="4"/>
      <c r="F625" s="4"/>
      <c r="G625" s="4"/>
      <c r="H625" s="4"/>
      <c r="I625" s="4"/>
      <c r="J625" s="4"/>
      <c r="K625" s="4"/>
      <c r="L625" s="4"/>
      <c r="M625" s="4"/>
      <c r="N625" s="4"/>
      <c r="O625" s="4"/>
      <c r="P625" s="4"/>
      <c r="Q625" s="4"/>
      <c r="R625" s="12"/>
      <c r="S625" s="12"/>
      <c r="T625" s="12"/>
      <c r="U625" s="12"/>
      <c r="V625" s="12"/>
      <c r="W625" s="12"/>
      <c r="X625" s="12"/>
      <c r="Y625" s="12"/>
      <c r="Z625" s="12"/>
      <c r="AA625" s="12"/>
      <c r="AB625" s="12"/>
      <c r="AC625" s="12"/>
      <c r="AD625" s="12"/>
    </row>
    <row r="626" spans="1:30" ht="13.5" customHeight="1">
      <c r="A626" s="4"/>
      <c r="B626" s="4"/>
      <c r="C626" s="4"/>
      <c r="D626" s="4"/>
      <c r="E626" s="4"/>
      <c r="F626" s="4"/>
      <c r="G626" s="4"/>
      <c r="H626" s="4"/>
      <c r="I626" s="4"/>
      <c r="J626" s="4"/>
      <c r="K626" s="4"/>
      <c r="L626" s="4"/>
      <c r="M626" s="4"/>
      <c r="N626" s="4"/>
      <c r="O626" s="4"/>
      <c r="P626" s="4"/>
      <c r="Q626" s="4"/>
      <c r="R626" s="12"/>
      <c r="S626" s="12"/>
      <c r="T626" s="12"/>
      <c r="U626" s="12"/>
      <c r="V626" s="12"/>
      <c r="W626" s="12"/>
      <c r="X626" s="12"/>
      <c r="Y626" s="12"/>
      <c r="Z626" s="12"/>
      <c r="AA626" s="12"/>
      <c r="AB626" s="12"/>
      <c r="AC626" s="12"/>
      <c r="AD626" s="12"/>
    </row>
    <row r="627" spans="1:30" ht="13.5" customHeight="1">
      <c r="A627" s="4"/>
      <c r="B627" s="4"/>
      <c r="C627" s="4"/>
      <c r="D627" s="4"/>
      <c r="E627" s="4"/>
      <c r="F627" s="4"/>
      <c r="G627" s="4"/>
      <c r="H627" s="4"/>
      <c r="I627" s="4"/>
      <c r="J627" s="4"/>
      <c r="K627" s="4"/>
      <c r="L627" s="4"/>
      <c r="M627" s="4"/>
      <c r="N627" s="4"/>
      <c r="O627" s="4"/>
      <c r="P627" s="4"/>
      <c r="Q627" s="4"/>
      <c r="R627" s="12"/>
      <c r="S627" s="12"/>
      <c r="T627" s="12"/>
      <c r="U627" s="12"/>
      <c r="V627" s="12"/>
      <c r="W627" s="12"/>
      <c r="X627" s="12"/>
      <c r="Y627" s="12"/>
      <c r="Z627" s="12"/>
      <c r="AA627" s="12"/>
      <c r="AB627" s="12"/>
      <c r="AC627" s="12"/>
      <c r="AD627" s="12"/>
    </row>
    <row r="628" spans="1:30" ht="13.5" customHeight="1">
      <c r="A628" s="4"/>
      <c r="B628" s="4"/>
      <c r="C628" s="4"/>
      <c r="D628" s="4"/>
      <c r="E628" s="4"/>
      <c r="F628" s="4"/>
      <c r="G628" s="4"/>
      <c r="H628" s="4"/>
      <c r="I628" s="4"/>
      <c r="J628" s="4"/>
      <c r="K628" s="4"/>
      <c r="L628" s="4"/>
      <c r="M628" s="4"/>
      <c r="N628" s="4"/>
      <c r="O628" s="4"/>
      <c r="P628" s="4"/>
      <c r="Q628" s="4"/>
      <c r="R628" s="12"/>
      <c r="S628" s="12"/>
      <c r="T628" s="12"/>
      <c r="U628" s="12"/>
      <c r="V628" s="12"/>
      <c r="W628" s="12"/>
      <c r="X628" s="12"/>
      <c r="Y628" s="12"/>
      <c r="Z628" s="12"/>
      <c r="AA628" s="12"/>
      <c r="AB628" s="12"/>
      <c r="AC628" s="12"/>
      <c r="AD628" s="12"/>
    </row>
    <row r="629" spans="1:30" ht="13.5" customHeight="1">
      <c r="A629" s="4"/>
      <c r="B629" s="4"/>
      <c r="C629" s="4"/>
      <c r="D629" s="4"/>
      <c r="E629" s="4"/>
      <c r="F629" s="4"/>
      <c r="G629" s="4"/>
      <c r="H629" s="4"/>
      <c r="I629" s="4"/>
      <c r="J629" s="4"/>
      <c r="K629" s="4"/>
      <c r="L629" s="4"/>
      <c r="M629" s="4"/>
      <c r="N629" s="4"/>
      <c r="O629" s="4"/>
      <c r="P629" s="4"/>
      <c r="Q629" s="4"/>
      <c r="R629" s="12"/>
      <c r="S629" s="12"/>
      <c r="T629" s="12"/>
      <c r="U629" s="12"/>
      <c r="V629" s="12"/>
      <c r="W629" s="12"/>
      <c r="X629" s="12"/>
      <c r="Y629" s="12"/>
      <c r="Z629" s="12"/>
      <c r="AA629" s="12"/>
      <c r="AB629" s="12"/>
      <c r="AC629" s="12"/>
      <c r="AD629" s="12"/>
    </row>
    <row r="630" spans="1:30" ht="13.5" customHeight="1">
      <c r="A630" s="4"/>
      <c r="B630" s="4"/>
      <c r="C630" s="4"/>
      <c r="D630" s="4"/>
      <c r="E630" s="4"/>
      <c r="F630" s="4"/>
      <c r="G630" s="4"/>
      <c r="H630" s="4"/>
      <c r="I630" s="4"/>
      <c r="J630" s="4"/>
      <c r="K630" s="4"/>
      <c r="L630" s="4"/>
      <c r="M630" s="4"/>
      <c r="N630" s="4"/>
      <c r="O630" s="4"/>
      <c r="P630" s="4"/>
      <c r="Q630" s="4"/>
      <c r="R630" s="12"/>
      <c r="S630" s="12"/>
      <c r="T630" s="12"/>
      <c r="U630" s="12"/>
      <c r="V630" s="12"/>
      <c r="W630" s="12"/>
      <c r="X630" s="12"/>
      <c r="Y630" s="12"/>
      <c r="Z630" s="12"/>
      <c r="AA630" s="12"/>
      <c r="AB630" s="12"/>
      <c r="AC630" s="12"/>
      <c r="AD630" s="12"/>
    </row>
    <row r="631" spans="1:30" ht="13.5" customHeight="1">
      <c r="A631" s="4"/>
      <c r="B631" s="4"/>
      <c r="C631" s="4"/>
      <c r="D631" s="4"/>
      <c r="E631" s="4"/>
      <c r="F631" s="4"/>
      <c r="G631" s="4"/>
      <c r="H631" s="4"/>
      <c r="I631" s="4"/>
      <c r="J631" s="4"/>
      <c r="K631" s="4"/>
      <c r="L631" s="4"/>
      <c r="M631" s="4"/>
      <c r="N631" s="4"/>
      <c r="O631" s="4"/>
      <c r="P631" s="4"/>
      <c r="Q631" s="4"/>
      <c r="R631" s="12"/>
      <c r="S631" s="12"/>
      <c r="T631" s="12"/>
      <c r="U631" s="12"/>
      <c r="V631" s="12"/>
      <c r="W631" s="12"/>
      <c r="X631" s="12"/>
      <c r="Y631" s="12"/>
      <c r="Z631" s="12"/>
      <c r="AA631" s="12"/>
      <c r="AB631" s="12"/>
      <c r="AC631" s="12"/>
      <c r="AD631" s="12"/>
    </row>
    <row r="632" spans="1:30" ht="13.5" customHeight="1">
      <c r="A632" s="4"/>
      <c r="B632" s="4"/>
      <c r="C632" s="4"/>
      <c r="D632" s="4"/>
      <c r="E632" s="4"/>
      <c r="F632" s="4"/>
      <c r="G632" s="4"/>
      <c r="H632" s="4"/>
      <c r="I632" s="4"/>
      <c r="J632" s="4"/>
      <c r="K632" s="4"/>
      <c r="L632" s="4"/>
      <c r="M632" s="4"/>
      <c r="N632" s="4"/>
      <c r="O632" s="4"/>
      <c r="P632" s="4"/>
      <c r="Q632" s="4"/>
      <c r="R632" s="12"/>
      <c r="S632" s="12"/>
      <c r="T632" s="12"/>
      <c r="U632" s="12"/>
      <c r="V632" s="12"/>
      <c r="W632" s="12"/>
      <c r="X632" s="12"/>
      <c r="Y632" s="12"/>
      <c r="Z632" s="12"/>
      <c r="AA632" s="12"/>
      <c r="AB632" s="12"/>
      <c r="AC632" s="12"/>
      <c r="AD632" s="12"/>
    </row>
    <row r="633" spans="1:30" ht="13.5" customHeight="1">
      <c r="A633" s="4"/>
      <c r="B633" s="4"/>
      <c r="C633" s="4"/>
      <c r="D633" s="4"/>
      <c r="E633" s="4"/>
      <c r="F633" s="4"/>
      <c r="G633" s="4"/>
      <c r="H633" s="4"/>
      <c r="I633" s="4"/>
      <c r="J633" s="4"/>
      <c r="K633" s="4"/>
      <c r="L633" s="4"/>
      <c r="M633" s="4"/>
      <c r="N633" s="4"/>
      <c r="O633" s="4"/>
      <c r="P633" s="4"/>
      <c r="Q633" s="4"/>
      <c r="R633" s="12"/>
      <c r="S633" s="12"/>
      <c r="T633" s="12"/>
      <c r="U633" s="12"/>
      <c r="V633" s="12"/>
      <c r="W633" s="12"/>
      <c r="X633" s="12"/>
      <c r="Y633" s="12"/>
      <c r="Z633" s="12"/>
      <c r="AA633" s="12"/>
      <c r="AB633" s="12"/>
      <c r="AC633" s="12"/>
      <c r="AD633" s="12"/>
    </row>
    <row r="634" spans="1:30" ht="13.5" customHeight="1">
      <c r="A634" s="4"/>
      <c r="B634" s="4"/>
      <c r="C634" s="4"/>
      <c r="D634" s="4"/>
      <c r="E634" s="4"/>
      <c r="F634" s="4"/>
      <c r="G634" s="4"/>
      <c r="H634" s="4"/>
      <c r="I634" s="4"/>
      <c r="J634" s="4"/>
      <c r="K634" s="4"/>
      <c r="L634" s="4"/>
      <c r="M634" s="4"/>
      <c r="N634" s="4"/>
      <c r="O634" s="4"/>
      <c r="P634" s="4"/>
      <c r="Q634" s="4"/>
      <c r="R634" s="12"/>
      <c r="S634" s="12"/>
      <c r="T634" s="12"/>
      <c r="U634" s="12"/>
      <c r="V634" s="12"/>
      <c r="W634" s="12"/>
      <c r="X634" s="12"/>
      <c r="Y634" s="12"/>
      <c r="Z634" s="12"/>
      <c r="AA634" s="12"/>
      <c r="AB634" s="12"/>
      <c r="AC634" s="12"/>
      <c r="AD634" s="12"/>
    </row>
    <row r="635" spans="1:30" ht="13.5" customHeight="1">
      <c r="A635" s="4"/>
      <c r="B635" s="4"/>
      <c r="C635" s="4"/>
      <c r="D635" s="4"/>
      <c r="E635" s="4"/>
      <c r="F635" s="4"/>
      <c r="G635" s="4"/>
      <c r="H635" s="4"/>
      <c r="I635" s="4"/>
      <c r="J635" s="4"/>
      <c r="K635" s="4"/>
      <c r="L635" s="4"/>
      <c r="M635" s="4"/>
      <c r="N635" s="4"/>
      <c r="O635" s="4"/>
      <c r="P635" s="4"/>
      <c r="Q635" s="4"/>
      <c r="R635" s="12"/>
      <c r="S635" s="12"/>
      <c r="T635" s="12"/>
      <c r="U635" s="12"/>
      <c r="V635" s="12"/>
      <c r="W635" s="12"/>
      <c r="X635" s="12"/>
      <c r="Y635" s="12"/>
      <c r="Z635" s="12"/>
      <c r="AA635" s="12"/>
      <c r="AB635" s="12"/>
      <c r="AC635" s="12"/>
      <c r="AD635" s="12"/>
    </row>
    <row r="636" spans="1:30" ht="13.5" customHeight="1">
      <c r="A636" s="4"/>
      <c r="B636" s="4"/>
      <c r="C636" s="4"/>
      <c r="D636" s="4"/>
      <c r="E636" s="4"/>
      <c r="F636" s="4"/>
      <c r="G636" s="4"/>
      <c r="H636" s="4"/>
      <c r="I636" s="4"/>
      <c r="J636" s="4"/>
      <c r="K636" s="4"/>
      <c r="L636" s="4"/>
      <c r="M636" s="4"/>
      <c r="N636" s="4"/>
      <c r="O636" s="4"/>
      <c r="P636" s="4"/>
      <c r="Q636" s="4"/>
      <c r="R636" s="12"/>
      <c r="S636" s="12"/>
      <c r="T636" s="12"/>
      <c r="U636" s="12"/>
      <c r="V636" s="12"/>
      <c r="W636" s="12"/>
      <c r="X636" s="12"/>
      <c r="Y636" s="12"/>
      <c r="Z636" s="12"/>
      <c r="AA636" s="12"/>
      <c r="AB636" s="12"/>
      <c r="AC636" s="12"/>
      <c r="AD636" s="12"/>
    </row>
    <row r="637" spans="1:30" ht="13.5" customHeight="1">
      <c r="A637" s="4"/>
      <c r="B637" s="4"/>
      <c r="C637" s="4"/>
      <c r="D637" s="4"/>
      <c r="E637" s="4"/>
      <c r="F637" s="4"/>
      <c r="G637" s="4"/>
      <c r="H637" s="4"/>
      <c r="I637" s="4"/>
      <c r="J637" s="4"/>
      <c r="K637" s="4"/>
      <c r="L637" s="4"/>
      <c r="M637" s="4"/>
      <c r="N637" s="4"/>
      <c r="O637" s="4"/>
      <c r="P637" s="4"/>
      <c r="Q637" s="4"/>
      <c r="R637" s="12"/>
      <c r="S637" s="12"/>
      <c r="T637" s="12"/>
      <c r="U637" s="12"/>
      <c r="V637" s="12"/>
      <c r="W637" s="12"/>
      <c r="X637" s="12"/>
      <c r="Y637" s="12"/>
      <c r="Z637" s="12"/>
      <c r="AA637" s="12"/>
      <c r="AB637" s="12"/>
      <c r="AC637" s="12"/>
      <c r="AD637" s="12"/>
    </row>
    <row r="638" spans="1:30" ht="13.5" customHeight="1">
      <c r="A638" s="4"/>
      <c r="B638" s="4"/>
      <c r="C638" s="4"/>
      <c r="D638" s="4"/>
      <c r="E638" s="4"/>
      <c r="F638" s="4"/>
      <c r="G638" s="4"/>
      <c r="H638" s="4"/>
      <c r="I638" s="4"/>
      <c r="J638" s="4"/>
      <c r="K638" s="4"/>
      <c r="L638" s="4"/>
      <c r="M638" s="4"/>
      <c r="N638" s="4"/>
      <c r="O638" s="4"/>
      <c r="P638" s="4"/>
      <c r="Q638" s="4"/>
      <c r="R638" s="12"/>
      <c r="S638" s="12"/>
      <c r="T638" s="12"/>
      <c r="U638" s="12"/>
      <c r="V638" s="12"/>
      <c r="W638" s="12"/>
      <c r="X638" s="12"/>
      <c r="Y638" s="12"/>
      <c r="Z638" s="12"/>
      <c r="AA638" s="12"/>
      <c r="AB638" s="12"/>
      <c r="AC638" s="12"/>
      <c r="AD638" s="12"/>
    </row>
    <row r="639" spans="1:30" ht="13.5" customHeight="1">
      <c r="A639" s="4"/>
      <c r="B639" s="4"/>
      <c r="C639" s="4"/>
      <c r="D639" s="4"/>
      <c r="E639" s="4"/>
      <c r="F639" s="4"/>
      <c r="G639" s="4"/>
      <c r="H639" s="4"/>
      <c r="I639" s="4"/>
      <c r="J639" s="4"/>
      <c r="K639" s="4"/>
      <c r="L639" s="4"/>
      <c r="M639" s="4"/>
      <c r="N639" s="4"/>
      <c r="O639" s="4"/>
      <c r="P639" s="4"/>
      <c r="Q639" s="4"/>
      <c r="R639" s="12"/>
      <c r="S639" s="12"/>
      <c r="T639" s="12"/>
      <c r="U639" s="12"/>
      <c r="V639" s="12"/>
      <c r="W639" s="12"/>
      <c r="X639" s="12"/>
      <c r="Y639" s="12"/>
      <c r="Z639" s="12"/>
      <c r="AA639" s="12"/>
      <c r="AB639" s="12"/>
      <c r="AC639" s="12"/>
      <c r="AD639" s="12"/>
    </row>
    <row r="640" spans="1:30" ht="13.5" customHeight="1">
      <c r="A640" s="4"/>
      <c r="B640" s="4"/>
      <c r="C640" s="4"/>
      <c r="D640" s="4"/>
      <c r="E640" s="4"/>
      <c r="F640" s="4"/>
      <c r="G640" s="4"/>
      <c r="H640" s="4"/>
      <c r="I640" s="4"/>
      <c r="J640" s="4"/>
      <c r="K640" s="4"/>
      <c r="L640" s="4"/>
      <c r="M640" s="4"/>
      <c r="N640" s="4"/>
      <c r="O640" s="4"/>
      <c r="P640" s="4"/>
      <c r="Q640" s="4"/>
      <c r="R640" s="12"/>
      <c r="S640" s="12"/>
      <c r="T640" s="12"/>
      <c r="U640" s="12"/>
      <c r="V640" s="12"/>
      <c r="W640" s="12"/>
      <c r="X640" s="12"/>
      <c r="Y640" s="12"/>
      <c r="Z640" s="12"/>
      <c r="AA640" s="12"/>
      <c r="AB640" s="12"/>
      <c r="AC640" s="12"/>
      <c r="AD640" s="12"/>
    </row>
    <row r="641" spans="1:30" ht="13.5" customHeight="1">
      <c r="A641" s="4"/>
      <c r="B641" s="4"/>
      <c r="C641" s="4"/>
      <c r="D641" s="4"/>
      <c r="E641" s="4"/>
      <c r="F641" s="4"/>
      <c r="G641" s="4"/>
      <c r="H641" s="4"/>
      <c r="I641" s="4"/>
      <c r="J641" s="4"/>
      <c r="K641" s="4"/>
      <c r="L641" s="4"/>
      <c r="M641" s="4"/>
      <c r="N641" s="4"/>
      <c r="O641" s="4"/>
      <c r="P641" s="4"/>
      <c r="Q641" s="4"/>
      <c r="R641" s="12"/>
      <c r="S641" s="12"/>
      <c r="T641" s="12"/>
      <c r="U641" s="12"/>
      <c r="V641" s="12"/>
      <c r="W641" s="12"/>
      <c r="X641" s="12"/>
      <c r="Y641" s="12"/>
      <c r="Z641" s="12"/>
      <c r="AA641" s="12"/>
      <c r="AB641" s="12"/>
      <c r="AC641" s="12"/>
      <c r="AD641" s="12"/>
    </row>
    <row r="642" spans="1:30" ht="13.5" customHeight="1">
      <c r="A642" s="4"/>
      <c r="B642" s="4"/>
      <c r="C642" s="4"/>
      <c r="D642" s="4"/>
      <c r="E642" s="4"/>
      <c r="F642" s="4"/>
      <c r="G642" s="4"/>
      <c r="H642" s="4"/>
      <c r="I642" s="4"/>
      <c r="J642" s="4"/>
      <c r="K642" s="4"/>
      <c r="L642" s="4"/>
      <c r="M642" s="4"/>
      <c r="N642" s="4"/>
      <c r="O642" s="4"/>
      <c r="P642" s="4"/>
      <c r="Q642" s="4"/>
      <c r="R642" s="12"/>
      <c r="S642" s="12"/>
      <c r="T642" s="12"/>
      <c r="U642" s="12"/>
      <c r="V642" s="12"/>
      <c r="W642" s="12"/>
      <c r="X642" s="12"/>
      <c r="Y642" s="12"/>
      <c r="Z642" s="12"/>
      <c r="AA642" s="12"/>
      <c r="AB642" s="12"/>
      <c r="AC642" s="12"/>
      <c r="AD642" s="12"/>
    </row>
    <row r="643" spans="1:30" ht="13.5" customHeight="1">
      <c r="A643" s="4"/>
      <c r="B643" s="4"/>
      <c r="C643" s="4"/>
      <c r="D643" s="4"/>
      <c r="E643" s="4"/>
      <c r="F643" s="4"/>
      <c r="G643" s="4"/>
      <c r="H643" s="4"/>
      <c r="I643" s="4"/>
      <c r="J643" s="4"/>
      <c r="K643" s="4"/>
      <c r="L643" s="4"/>
      <c r="M643" s="4"/>
      <c r="N643" s="4"/>
      <c r="O643" s="4"/>
      <c r="P643" s="4"/>
      <c r="Q643" s="4"/>
      <c r="R643" s="12"/>
      <c r="S643" s="12"/>
      <c r="T643" s="12"/>
      <c r="U643" s="12"/>
      <c r="V643" s="12"/>
      <c r="W643" s="12"/>
      <c r="X643" s="12"/>
      <c r="Y643" s="12"/>
      <c r="Z643" s="12"/>
      <c r="AA643" s="12"/>
      <c r="AB643" s="12"/>
      <c r="AC643" s="12"/>
      <c r="AD643" s="12"/>
    </row>
    <row r="644" spans="1:30" ht="13.5" customHeight="1">
      <c r="A644" s="4"/>
      <c r="B644" s="4"/>
      <c r="C644" s="4"/>
      <c r="D644" s="4"/>
      <c r="E644" s="4"/>
      <c r="F644" s="4"/>
      <c r="G644" s="4"/>
      <c r="H644" s="4"/>
      <c r="I644" s="4"/>
      <c r="J644" s="4"/>
      <c r="K644" s="4"/>
      <c r="L644" s="4"/>
      <c r="M644" s="4"/>
      <c r="N644" s="4"/>
      <c r="O644" s="4"/>
      <c r="P644" s="4"/>
      <c r="Q644" s="4"/>
      <c r="R644" s="12"/>
      <c r="S644" s="12"/>
      <c r="T644" s="12"/>
      <c r="U644" s="12"/>
      <c r="V644" s="12"/>
      <c r="W644" s="12"/>
      <c r="X644" s="12"/>
      <c r="Y644" s="12"/>
      <c r="Z644" s="12"/>
      <c r="AA644" s="12"/>
      <c r="AB644" s="12"/>
      <c r="AC644" s="12"/>
      <c r="AD644" s="12"/>
    </row>
    <row r="645" spans="1:30" ht="13.5" customHeight="1">
      <c r="A645" s="4"/>
      <c r="B645" s="4"/>
      <c r="C645" s="4"/>
      <c r="D645" s="4"/>
      <c r="E645" s="4"/>
      <c r="F645" s="4"/>
      <c r="G645" s="4"/>
      <c r="H645" s="4"/>
      <c r="I645" s="4"/>
      <c r="J645" s="4"/>
      <c r="K645" s="4"/>
      <c r="L645" s="4"/>
      <c r="M645" s="4"/>
      <c r="N645" s="4"/>
      <c r="O645" s="4"/>
      <c r="P645" s="4"/>
      <c r="Q645" s="4"/>
      <c r="R645" s="12"/>
      <c r="S645" s="12"/>
      <c r="T645" s="12"/>
      <c r="U645" s="12"/>
      <c r="V645" s="12"/>
      <c r="W645" s="12"/>
      <c r="X645" s="12"/>
      <c r="Y645" s="12"/>
      <c r="Z645" s="12"/>
      <c r="AA645" s="12"/>
      <c r="AB645" s="12"/>
      <c r="AC645" s="12"/>
      <c r="AD645" s="12"/>
    </row>
    <row r="646" spans="1:30" ht="13.5" customHeight="1">
      <c r="A646" s="4"/>
      <c r="B646" s="4"/>
      <c r="C646" s="4"/>
      <c r="D646" s="4"/>
      <c r="E646" s="4"/>
      <c r="F646" s="4"/>
      <c r="G646" s="4"/>
      <c r="H646" s="4"/>
      <c r="I646" s="4"/>
      <c r="J646" s="4"/>
      <c r="K646" s="4"/>
      <c r="L646" s="4"/>
      <c r="M646" s="4"/>
      <c r="N646" s="4"/>
      <c r="O646" s="4"/>
      <c r="P646" s="4"/>
      <c r="Q646" s="4"/>
      <c r="R646" s="12"/>
      <c r="S646" s="12"/>
      <c r="T646" s="12"/>
      <c r="U646" s="12"/>
      <c r="V646" s="12"/>
      <c r="W646" s="12"/>
      <c r="X646" s="12"/>
      <c r="Y646" s="12"/>
      <c r="Z646" s="12"/>
      <c r="AA646" s="12"/>
      <c r="AB646" s="12"/>
      <c r="AC646" s="12"/>
      <c r="AD646" s="12"/>
    </row>
    <row r="647" spans="1:30" ht="13.5" customHeight="1">
      <c r="A647" s="4"/>
      <c r="B647" s="4"/>
      <c r="C647" s="4"/>
      <c r="D647" s="4"/>
      <c r="E647" s="4"/>
      <c r="F647" s="4"/>
      <c r="G647" s="4"/>
      <c r="H647" s="4"/>
      <c r="I647" s="4"/>
      <c r="J647" s="4"/>
      <c r="K647" s="4"/>
      <c r="L647" s="4"/>
      <c r="M647" s="4"/>
      <c r="N647" s="4"/>
      <c r="O647" s="4"/>
      <c r="P647" s="4"/>
      <c r="Q647" s="4"/>
      <c r="R647" s="12"/>
      <c r="S647" s="12"/>
      <c r="T647" s="12"/>
      <c r="U647" s="12"/>
      <c r="V647" s="12"/>
      <c r="W647" s="12"/>
      <c r="X647" s="12"/>
      <c r="Y647" s="12"/>
      <c r="Z647" s="12"/>
      <c r="AA647" s="12"/>
      <c r="AB647" s="12"/>
      <c r="AC647" s="12"/>
      <c r="AD647" s="12"/>
    </row>
    <row r="648" spans="1:30" ht="13.5" customHeight="1">
      <c r="A648" s="4"/>
      <c r="B648" s="4"/>
      <c r="C648" s="4"/>
      <c r="D648" s="4"/>
      <c r="E648" s="4"/>
      <c r="F648" s="4"/>
      <c r="G648" s="4"/>
      <c r="H648" s="4"/>
      <c r="I648" s="4"/>
      <c r="J648" s="4"/>
      <c r="K648" s="4"/>
      <c r="L648" s="4"/>
      <c r="M648" s="4"/>
      <c r="N648" s="4"/>
      <c r="O648" s="4"/>
      <c r="P648" s="4"/>
      <c r="Q648" s="4"/>
      <c r="R648" s="12"/>
      <c r="S648" s="12"/>
      <c r="T648" s="12"/>
      <c r="U648" s="12"/>
      <c r="V648" s="12"/>
      <c r="W648" s="12"/>
      <c r="X648" s="12"/>
      <c r="Y648" s="12"/>
      <c r="Z648" s="12"/>
      <c r="AA648" s="12"/>
      <c r="AB648" s="12"/>
      <c r="AC648" s="12"/>
      <c r="AD648" s="12"/>
    </row>
    <row r="649" spans="1:30" ht="13.5" customHeight="1">
      <c r="A649" s="4"/>
      <c r="B649" s="4"/>
      <c r="C649" s="4"/>
      <c r="D649" s="4"/>
      <c r="E649" s="4"/>
      <c r="F649" s="4"/>
      <c r="G649" s="4"/>
      <c r="H649" s="4"/>
      <c r="I649" s="4"/>
      <c r="J649" s="4"/>
      <c r="K649" s="4"/>
      <c r="L649" s="4"/>
      <c r="M649" s="4"/>
      <c r="N649" s="4"/>
      <c r="O649" s="4"/>
      <c r="P649" s="4"/>
      <c r="Q649" s="4"/>
      <c r="R649" s="12"/>
      <c r="S649" s="12"/>
      <c r="T649" s="12"/>
      <c r="U649" s="12"/>
      <c r="V649" s="12"/>
      <c r="W649" s="12"/>
      <c r="X649" s="12"/>
      <c r="Y649" s="12"/>
      <c r="Z649" s="12"/>
      <c r="AA649" s="12"/>
      <c r="AB649" s="12"/>
      <c r="AC649" s="12"/>
      <c r="AD649" s="12"/>
    </row>
    <row r="650" spans="1:30" ht="13.5" customHeight="1">
      <c r="A650" s="4"/>
      <c r="B650" s="4"/>
      <c r="C650" s="4"/>
      <c r="D650" s="4"/>
      <c r="E650" s="4"/>
      <c r="F650" s="4"/>
      <c r="G650" s="4"/>
      <c r="H650" s="4"/>
      <c r="I650" s="4"/>
      <c r="J650" s="4"/>
      <c r="K650" s="4"/>
      <c r="L650" s="4"/>
      <c r="M650" s="4"/>
      <c r="N650" s="4"/>
      <c r="O650" s="4"/>
      <c r="P650" s="4"/>
      <c r="Q650" s="4"/>
      <c r="R650" s="12"/>
      <c r="S650" s="12"/>
      <c r="T650" s="12"/>
      <c r="U650" s="12"/>
      <c r="V650" s="12"/>
      <c r="W650" s="12"/>
      <c r="X650" s="12"/>
      <c r="Y650" s="12"/>
      <c r="Z650" s="12"/>
      <c r="AA650" s="12"/>
      <c r="AB650" s="12"/>
      <c r="AC650" s="12"/>
      <c r="AD650" s="12"/>
    </row>
    <row r="651" spans="1:30" ht="13.5" customHeight="1">
      <c r="A651" s="4"/>
      <c r="B651" s="4"/>
      <c r="C651" s="4"/>
      <c r="D651" s="4"/>
      <c r="E651" s="4"/>
      <c r="F651" s="4"/>
      <c r="G651" s="4"/>
      <c r="H651" s="4"/>
      <c r="I651" s="4"/>
      <c r="J651" s="4"/>
      <c r="K651" s="4"/>
      <c r="L651" s="4"/>
      <c r="M651" s="4"/>
      <c r="N651" s="4"/>
      <c r="O651" s="4"/>
      <c r="P651" s="4"/>
      <c r="Q651" s="4"/>
      <c r="R651" s="12"/>
      <c r="S651" s="12"/>
      <c r="T651" s="12"/>
      <c r="U651" s="12"/>
      <c r="V651" s="12"/>
      <c r="W651" s="12"/>
      <c r="X651" s="12"/>
      <c r="Y651" s="12"/>
      <c r="Z651" s="12"/>
      <c r="AA651" s="12"/>
      <c r="AB651" s="12"/>
      <c r="AC651" s="12"/>
      <c r="AD651" s="12"/>
    </row>
    <row r="652" spans="1:30" ht="13.5" customHeight="1">
      <c r="A652" s="4"/>
      <c r="B652" s="4"/>
      <c r="C652" s="4"/>
      <c r="D652" s="4"/>
      <c r="E652" s="4"/>
      <c r="F652" s="4"/>
      <c r="G652" s="4"/>
      <c r="H652" s="4"/>
      <c r="I652" s="4"/>
      <c r="J652" s="4"/>
      <c r="K652" s="4"/>
      <c r="L652" s="4"/>
      <c r="M652" s="4"/>
      <c r="N652" s="4"/>
      <c r="O652" s="4"/>
      <c r="P652" s="4"/>
      <c r="Q652" s="4"/>
      <c r="R652" s="12"/>
      <c r="S652" s="12"/>
      <c r="T652" s="12"/>
      <c r="U652" s="12"/>
      <c r="V652" s="12"/>
      <c r="W652" s="12"/>
      <c r="X652" s="12"/>
      <c r="Y652" s="12"/>
      <c r="Z652" s="12"/>
      <c r="AA652" s="12"/>
      <c r="AB652" s="12"/>
      <c r="AC652" s="12"/>
      <c r="AD652" s="12"/>
    </row>
    <row r="653" spans="1:30" ht="13.5" customHeight="1">
      <c r="A653" s="4"/>
      <c r="B653" s="4"/>
      <c r="C653" s="4"/>
      <c r="D653" s="4"/>
      <c r="E653" s="4"/>
      <c r="F653" s="4"/>
      <c r="G653" s="4"/>
      <c r="H653" s="4"/>
      <c r="I653" s="4"/>
      <c r="J653" s="4"/>
      <c r="K653" s="4"/>
      <c r="L653" s="4"/>
      <c r="M653" s="4"/>
      <c r="N653" s="4"/>
      <c r="O653" s="4"/>
      <c r="P653" s="4"/>
      <c r="Q653" s="4"/>
      <c r="R653" s="12"/>
      <c r="S653" s="12"/>
      <c r="T653" s="12"/>
      <c r="U653" s="12"/>
      <c r="V653" s="12"/>
      <c r="W653" s="12"/>
      <c r="X653" s="12"/>
      <c r="Y653" s="12"/>
      <c r="Z653" s="12"/>
      <c r="AA653" s="12"/>
      <c r="AB653" s="12"/>
      <c r="AC653" s="12"/>
      <c r="AD653" s="12"/>
    </row>
    <row r="654" spans="1:30" ht="13.5" customHeight="1">
      <c r="A654" s="4"/>
      <c r="B654" s="4"/>
      <c r="C654" s="4"/>
      <c r="D654" s="4"/>
      <c r="E654" s="4"/>
      <c r="F654" s="4"/>
      <c r="G654" s="4"/>
      <c r="H654" s="4"/>
      <c r="I654" s="4"/>
      <c r="J654" s="4"/>
      <c r="K654" s="4"/>
      <c r="L654" s="4"/>
      <c r="M654" s="4"/>
      <c r="N654" s="4"/>
      <c r="O654" s="4"/>
      <c r="P654" s="4"/>
      <c r="Q654" s="4"/>
      <c r="R654" s="12"/>
      <c r="S654" s="12"/>
      <c r="T654" s="12"/>
      <c r="U654" s="12"/>
      <c r="V654" s="12"/>
      <c r="W654" s="12"/>
      <c r="X654" s="12"/>
      <c r="Y654" s="12"/>
      <c r="Z654" s="12"/>
      <c r="AA654" s="12"/>
      <c r="AB654" s="12"/>
      <c r="AC654" s="12"/>
      <c r="AD654" s="12"/>
    </row>
    <row r="655" spans="1:30" ht="13.5" customHeight="1">
      <c r="A655" s="4"/>
      <c r="B655" s="4"/>
      <c r="C655" s="4"/>
      <c r="D655" s="4"/>
      <c r="E655" s="4"/>
      <c r="F655" s="4"/>
      <c r="G655" s="4"/>
      <c r="H655" s="4"/>
      <c r="I655" s="4"/>
      <c r="J655" s="4"/>
      <c r="K655" s="4"/>
      <c r="L655" s="4"/>
      <c r="M655" s="4"/>
      <c r="N655" s="4"/>
      <c r="O655" s="4"/>
      <c r="P655" s="4"/>
      <c r="Q655" s="4"/>
      <c r="R655" s="12"/>
      <c r="S655" s="12"/>
      <c r="T655" s="12"/>
      <c r="U655" s="12"/>
      <c r="V655" s="12"/>
      <c r="W655" s="12"/>
      <c r="X655" s="12"/>
      <c r="Y655" s="12"/>
      <c r="Z655" s="12"/>
      <c r="AA655" s="12"/>
      <c r="AB655" s="12"/>
      <c r="AC655" s="12"/>
      <c r="AD655" s="12"/>
    </row>
    <row r="656" spans="1:30" ht="13.5" customHeight="1">
      <c r="A656" s="4"/>
      <c r="B656" s="4"/>
      <c r="C656" s="4"/>
      <c r="D656" s="4"/>
      <c r="E656" s="4"/>
      <c r="F656" s="4"/>
      <c r="G656" s="4"/>
      <c r="H656" s="4"/>
      <c r="I656" s="4"/>
      <c r="J656" s="4"/>
      <c r="K656" s="4"/>
      <c r="L656" s="4"/>
      <c r="M656" s="4"/>
      <c r="N656" s="4"/>
      <c r="O656" s="4"/>
      <c r="P656" s="4"/>
      <c r="Q656" s="4"/>
      <c r="R656" s="12"/>
      <c r="S656" s="12"/>
      <c r="T656" s="12"/>
      <c r="U656" s="12"/>
      <c r="V656" s="12"/>
      <c r="W656" s="12"/>
      <c r="X656" s="12"/>
      <c r="Y656" s="12"/>
      <c r="Z656" s="12"/>
      <c r="AA656" s="12"/>
      <c r="AB656" s="12"/>
      <c r="AC656" s="12"/>
      <c r="AD656" s="12"/>
    </row>
    <row r="657" spans="1:30" ht="13.5" customHeight="1">
      <c r="A657" s="4"/>
      <c r="B657" s="4"/>
      <c r="C657" s="4"/>
      <c r="D657" s="4"/>
      <c r="E657" s="4"/>
      <c r="F657" s="4"/>
      <c r="G657" s="4"/>
      <c r="H657" s="4"/>
      <c r="I657" s="4"/>
      <c r="J657" s="4"/>
      <c r="K657" s="4"/>
      <c r="L657" s="4"/>
      <c r="M657" s="4"/>
      <c r="N657" s="4"/>
      <c r="O657" s="4"/>
      <c r="P657" s="4"/>
      <c r="Q657" s="4"/>
      <c r="R657" s="12"/>
      <c r="S657" s="12"/>
      <c r="T657" s="12"/>
      <c r="U657" s="12"/>
      <c r="V657" s="12"/>
      <c r="W657" s="12"/>
      <c r="X657" s="12"/>
      <c r="Y657" s="12"/>
      <c r="Z657" s="12"/>
      <c r="AA657" s="12"/>
      <c r="AB657" s="12"/>
      <c r="AC657" s="12"/>
      <c r="AD657" s="12"/>
    </row>
    <row r="658" spans="1:30" ht="13.5" customHeight="1">
      <c r="A658" s="4"/>
      <c r="B658" s="4"/>
      <c r="C658" s="4"/>
      <c r="D658" s="4"/>
      <c r="E658" s="4"/>
      <c r="F658" s="4"/>
      <c r="G658" s="4"/>
      <c r="H658" s="4"/>
      <c r="I658" s="4"/>
      <c r="J658" s="4"/>
      <c r="K658" s="4"/>
      <c r="L658" s="4"/>
      <c r="M658" s="4"/>
      <c r="N658" s="4"/>
      <c r="O658" s="4"/>
      <c r="P658" s="4"/>
      <c r="Q658" s="4"/>
      <c r="R658" s="12"/>
      <c r="S658" s="12"/>
      <c r="T658" s="12"/>
      <c r="U658" s="12"/>
      <c r="V658" s="12"/>
      <c r="W658" s="12"/>
      <c r="X658" s="12"/>
      <c r="Y658" s="12"/>
      <c r="Z658" s="12"/>
      <c r="AA658" s="12"/>
      <c r="AB658" s="12"/>
      <c r="AC658" s="12"/>
      <c r="AD658" s="12"/>
    </row>
    <row r="659" spans="1:30" ht="13.5" customHeight="1">
      <c r="A659" s="4"/>
      <c r="B659" s="4"/>
      <c r="C659" s="4"/>
      <c r="D659" s="4"/>
      <c r="E659" s="4"/>
      <c r="F659" s="4"/>
      <c r="G659" s="4"/>
      <c r="H659" s="4"/>
      <c r="I659" s="4"/>
      <c r="J659" s="4"/>
      <c r="K659" s="4"/>
      <c r="L659" s="4"/>
      <c r="M659" s="4"/>
      <c r="N659" s="4"/>
      <c r="O659" s="4"/>
      <c r="P659" s="4"/>
      <c r="Q659" s="4"/>
      <c r="R659" s="12"/>
      <c r="S659" s="12"/>
      <c r="T659" s="12"/>
      <c r="U659" s="12"/>
      <c r="V659" s="12"/>
      <c r="W659" s="12"/>
      <c r="X659" s="12"/>
      <c r="Y659" s="12"/>
      <c r="Z659" s="12"/>
      <c r="AA659" s="12"/>
      <c r="AB659" s="12"/>
      <c r="AC659" s="12"/>
      <c r="AD659" s="12"/>
    </row>
    <row r="660" spans="1:30" ht="13.5" customHeight="1">
      <c r="A660" s="4"/>
      <c r="B660" s="4"/>
      <c r="C660" s="4"/>
      <c r="D660" s="4"/>
      <c r="E660" s="4"/>
      <c r="F660" s="4"/>
      <c r="G660" s="4"/>
      <c r="H660" s="4"/>
      <c r="I660" s="4"/>
      <c r="J660" s="4"/>
      <c r="K660" s="4"/>
      <c r="L660" s="4"/>
      <c r="M660" s="4"/>
      <c r="N660" s="4"/>
      <c r="O660" s="4"/>
      <c r="P660" s="4"/>
      <c r="Q660" s="4"/>
      <c r="R660" s="12"/>
      <c r="S660" s="12"/>
      <c r="T660" s="12"/>
      <c r="U660" s="12"/>
      <c r="V660" s="12"/>
      <c r="W660" s="12"/>
      <c r="X660" s="12"/>
      <c r="Y660" s="12"/>
      <c r="Z660" s="12"/>
      <c r="AA660" s="12"/>
      <c r="AB660" s="12"/>
      <c r="AC660" s="12"/>
      <c r="AD660" s="12"/>
    </row>
    <row r="661" spans="1:30" ht="13.5" customHeight="1">
      <c r="A661" s="4"/>
      <c r="B661" s="4"/>
      <c r="C661" s="4"/>
      <c r="D661" s="4"/>
      <c r="E661" s="4"/>
      <c r="F661" s="4"/>
      <c r="G661" s="4"/>
      <c r="H661" s="4"/>
      <c r="I661" s="4"/>
      <c r="J661" s="4"/>
      <c r="K661" s="4"/>
      <c r="L661" s="4"/>
      <c r="M661" s="4"/>
      <c r="N661" s="4"/>
      <c r="O661" s="4"/>
      <c r="P661" s="4"/>
      <c r="Q661" s="4"/>
      <c r="R661" s="12"/>
      <c r="S661" s="12"/>
      <c r="T661" s="12"/>
      <c r="U661" s="12"/>
      <c r="V661" s="12"/>
      <c r="W661" s="12"/>
      <c r="X661" s="12"/>
      <c r="Y661" s="12"/>
      <c r="Z661" s="12"/>
      <c r="AA661" s="12"/>
      <c r="AB661" s="12"/>
      <c r="AC661" s="12"/>
      <c r="AD661" s="12"/>
    </row>
    <row r="662" spans="1:30" ht="13.5" customHeight="1">
      <c r="A662" s="4"/>
      <c r="B662" s="4"/>
      <c r="C662" s="4"/>
      <c r="D662" s="4"/>
      <c r="E662" s="4"/>
      <c r="F662" s="4"/>
      <c r="G662" s="4"/>
      <c r="H662" s="4"/>
      <c r="I662" s="4"/>
      <c r="J662" s="4"/>
      <c r="K662" s="4"/>
      <c r="L662" s="4"/>
      <c r="M662" s="4"/>
      <c r="N662" s="4"/>
      <c r="O662" s="4"/>
      <c r="P662" s="4"/>
      <c r="Q662" s="4"/>
      <c r="R662" s="12"/>
      <c r="S662" s="12"/>
      <c r="T662" s="12"/>
      <c r="U662" s="12"/>
      <c r="V662" s="12"/>
      <c r="W662" s="12"/>
      <c r="X662" s="12"/>
      <c r="Y662" s="12"/>
      <c r="Z662" s="12"/>
      <c r="AA662" s="12"/>
      <c r="AB662" s="12"/>
      <c r="AC662" s="12"/>
      <c r="AD662" s="12"/>
    </row>
    <row r="663" spans="1:30" ht="13.5" customHeight="1">
      <c r="A663" s="4"/>
      <c r="B663" s="4"/>
      <c r="C663" s="4"/>
      <c r="D663" s="4"/>
      <c r="E663" s="4"/>
      <c r="F663" s="4"/>
      <c r="G663" s="4"/>
      <c r="H663" s="4"/>
      <c r="I663" s="4"/>
      <c r="J663" s="4"/>
      <c r="K663" s="4"/>
      <c r="L663" s="4"/>
      <c r="M663" s="4"/>
      <c r="N663" s="4"/>
      <c r="O663" s="4"/>
      <c r="P663" s="4"/>
      <c r="Q663" s="4"/>
      <c r="R663" s="12"/>
      <c r="S663" s="12"/>
      <c r="T663" s="12"/>
      <c r="U663" s="12"/>
      <c r="V663" s="12"/>
      <c r="W663" s="12"/>
      <c r="X663" s="12"/>
      <c r="Y663" s="12"/>
      <c r="Z663" s="12"/>
      <c r="AA663" s="12"/>
      <c r="AB663" s="12"/>
      <c r="AC663" s="12"/>
      <c r="AD663" s="12"/>
    </row>
    <row r="664" spans="1:30" ht="13.5" customHeight="1">
      <c r="A664" s="4"/>
      <c r="B664" s="4"/>
      <c r="C664" s="4"/>
      <c r="D664" s="4"/>
      <c r="E664" s="4"/>
      <c r="F664" s="4"/>
      <c r="G664" s="4"/>
      <c r="H664" s="4"/>
      <c r="I664" s="4"/>
      <c r="J664" s="4"/>
      <c r="K664" s="4"/>
      <c r="L664" s="4"/>
      <c r="M664" s="4"/>
      <c r="N664" s="4"/>
      <c r="O664" s="4"/>
      <c r="P664" s="4"/>
      <c r="Q664" s="4"/>
      <c r="R664" s="12"/>
      <c r="S664" s="12"/>
      <c r="T664" s="12"/>
      <c r="U664" s="12"/>
      <c r="V664" s="12"/>
      <c r="W664" s="12"/>
      <c r="X664" s="12"/>
      <c r="Y664" s="12"/>
      <c r="Z664" s="12"/>
      <c r="AA664" s="12"/>
      <c r="AB664" s="12"/>
      <c r="AC664" s="12"/>
      <c r="AD664" s="12"/>
    </row>
    <row r="665" spans="1:30" ht="13.5" customHeight="1">
      <c r="A665" s="4"/>
      <c r="B665" s="4"/>
      <c r="C665" s="4"/>
      <c r="D665" s="4"/>
      <c r="E665" s="4"/>
      <c r="F665" s="4"/>
      <c r="G665" s="4"/>
      <c r="H665" s="4"/>
      <c r="I665" s="4"/>
      <c r="J665" s="4"/>
      <c r="K665" s="4"/>
      <c r="L665" s="4"/>
      <c r="M665" s="4"/>
      <c r="N665" s="4"/>
      <c r="O665" s="4"/>
      <c r="P665" s="4"/>
      <c r="Q665" s="4"/>
      <c r="R665" s="12"/>
      <c r="S665" s="12"/>
      <c r="T665" s="12"/>
      <c r="U665" s="12"/>
      <c r="V665" s="12"/>
      <c r="W665" s="12"/>
      <c r="X665" s="12"/>
      <c r="Y665" s="12"/>
      <c r="Z665" s="12"/>
      <c r="AA665" s="12"/>
      <c r="AB665" s="12"/>
      <c r="AC665" s="12"/>
      <c r="AD665" s="12"/>
    </row>
    <row r="666" spans="1:30" ht="13.5" customHeight="1">
      <c r="A666" s="4"/>
      <c r="B666" s="4"/>
      <c r="C666" s="4"/>
      <c r="D666" s="4"/>
      <c r="E666" s="4"/>
      <c r="F666" s="4"/>
      <c r="G666" s="4"/>
      <c r="H666" s="4"/>
      <c r="I666" s="4"/>
      <c r="J666" s="4"/>
      <c r="K666" s="4"/>
      <c r="L666" s="4"/>
      <c r="M666" s="4"/>
      <c r="N666" s="4"/>
      <c r="O666" s="4"/>
      <c r="P666" s="4"/>
      <c r="Q666" s="4"/>
      <c r="R666" s="12"/>
      <c r="S666" s="12"/>
      <c r="T666" s="12"/>
      <c r="U666" s="12"/>
      <c r="V666" s="12"/>
      <c r="W666" s="12"/>
      <c r="X666" s="12"/>
      <c r="Y666" s="12"/>
      <c r="Z666" s="12"/>
      <c r="AA666" s="12"/>
      <c r="AB666" s="12"/>
      <c r="AC666" s="12"/>
      <c r="AD666" s="12"/>
    </row>
    <row r="667" spans="1:30" ht="13.5" customHeight="1">
      <c r="A667" s="4"/>
      <c r="B667" s="4"/>
      <c r="C667" s="4"/>
      <c r="D667" s="4"/>
      <c r="E667" s="4"/>
      <c r="F667" s="4"/>
      <c r="G667" s="4"/>
      <c r="H667" s="4"/>
      <c r="I667" s="4"/>
      <c r="J667" s="4"/>
      <c r="K667" s="4"/>
      <c r="L667" s="4"/>
      <c r="M667" s="4"/>
      <c r="N667" s="4"/>
      <c r="O667" s="4"/>
      <c r="P667" s="4"/>
      <c r="Q667" s="4"/>
      <c r="R667" s="12"/>
      <c r="S667" s="12"/>
      <c r="T667" s="12"/>
      <c r="U667" s="12"/>
      <c r="V667" s="12"/>
      <c r="W667" s="12"/>
      <c r="X667" s="12"/>
      <c r="Y667" s="12"/>
      <c r="Z667" s="12"/>
      <c r="AA667" s="12"/>
      <c r="AB667" s="12"/>
      <c r="AC667" s="12"/>
      <c r="AD667" s="12"/>
    </row>
    <row r="668" spans="1:30" ht="13.5" customHeight="1">
      <c r="A668" s="4"/>
      <c r="B668" s="4"/>
      <c r="C668" s="4"/>
      <c r="D668" s="4"/>
      <c r="E668" s="4"/>
      <c r="F668" s="4"/>
      <c r="G668" s="4"/>
      <c r="H668" s="4"/>
      <c r="I668" s="4"/>
      <c r="J668" s="4"/>
      <c r="K668" s="4"/>
      <c r="L668" s="4"/>
      <c r="M668" s="4"/>
      <c r="N668" s="4"/>
      <c r="O668" s="4"/>
      <c r="P668" s="4"/>
      <c r="Q668" s="4"/>
      <c r="R668" s="12"/>
      <c r="S668" s="12"/>
      <c r="T668" s="12"/>
      <c r="U668" s="12"/>
      <c r="V668" s="12"/>
      <c r="W668" s="12"/>
      <c r="X668" s="12"/>
      <c r="Y668" s="12"/>
      <c r="Z668" s="12"/>
      <c r="AA668" s="12"/>
      <c r="AB668" s="12"/>
      <c r="AC668" s="12"/>
      <c r="AD668" s="12"/>
    </row>
    <row r="669" spans="1:30" ht="13.5" customHeight="1">
      <c r="A669" s="4"/>
      <c r="B669" s="4"/>
      <c r="C669" s="4"/>
      <c r="D669" s="4"/>
      <c r="E669" s="4"/>
      <c r="F669" s="4"/>
      <c r="G669" s="4"/>
      <c r="H669" s="4"/>
      <c r="I669" s="4"/>
      <c r="J669" s="4"/>
      <c r="K669" s="4"/>
      <c r="L669" s="4"/>
      <c r="M669" s="4"/>
      <c r="N669" s="4"/>
      <c r="O669" s="4"/>
      <c r="P669" s="4"/>
      <c r="Q669" s="4"/>
      <c r="R669" s="12"/>
      <c r="S669" s="12"/>
      <c r="T669" s="12"/>
      <c r="U669" s="12"/>
      <c r="V669" s="12"/>
      <c r="W669" s="12"/>
      <c r="X669" s="12"/>
      <c r="Y669" s="12"/>
      <c r="Z669" s="12"/>
      <c r="AA669" s="12"/>
      <c r="AB669" s="12"/>
      <c r="AC669" s="12"/>
      <c r="AD669" s="12"/>
    </row>
    <row r="670" spans="1:30" ht="13.5" customHeight="1">
      <c r="A670" s="4"/>
      <c r="B670" s="4"/>
      <c r="C670" s="4"/>
      <c r="D670" s="4"/>
      <c r="E670" s="4"/>
      <c r="F670" s="4"/>
      <c r="G670" s="4"/>
      <c r="H670" s="4"/>
      <c r="I670" s="4"/>
      <c r="J670" s="4"/>
      <c r="K670" s="4"/>
      <c r="L670" s="4"/>
      <c r="M670" s="4"/>
      <c r="N670" s="4"/>
      <c r="O670" s="4"/>
      <c r="P670" s="4"/>
      <c r="Q670" s="4"/>
      <c r="R670" s="12"/>
      <c r="S670" s="12"/>
      <c r="T670" s="12"/>
      <c r="U670" s="12"/>
      <c r="V670" s="12"/>
      <c r="W670" s="12"/>
      <c r="X670" s="12"/>
      <c r="Y670" s="12"/>
      <c r="Z670" s="12"/>
      <c r="AA670" s="12"/>
      <c r="AB670" s="12"/>
      <c r="AC670" s="12"/>
      <c r="AD670" s="12"/>
    </row>
    <row r="671" spans="1:30" ht="13.5" customHeight="1">
      <c r="A671" s="4"/>
      <c r="B671" s="4"/>
      <c r="C671" s="4"/>
      <c r="D671" s="4"/>
      <c r="E671" s="4"/>
      <c r="F671" s="4"/>
      <c r="G671" s="4"/>
      <c r="H671" s="4"/>
      <c r="I671" s="4"/>
      <c r="J671" s="4"/>
      <c r="K671" s="4"/>
      <c r="L671" s="4"/>
      <c r="M671" s="4"/>
      <c r="N671" s="4"/>
      <c r="O671" s="4"/>
      <c r="P671" s="4"/>
      <c r="Q671" s="4"/>
      <c r="R671" s="12"/>
      <c r="S671" s="12"/>
      <c r="T671" s="12"/>
      <c r="U671" s="12"/>
      <c r="V671" s="12"/>
      <c r="W671" s="12"/>
      <c r="X671" s="12"/>
      <c r="Y671" s="12"/>
      <c r="Z671" s="12"/>
      <c r="AA671" s="12"/>
      <c r="AB671" s="12"/>
      <c r="AC671" s="12"/>
      <c r="AD671" s="12"/>
    </row>
    <row r="672" spans="1:30" ht="13.5" customHeight="1">
      <c r="A672" s="4"/>
      <c r="B672" s="4"/>
      <c r="C672" s="4"/>
      <c r="D672" s="4"/>
      <c r="E672" s="4"/>
      <c r="F672" s="4"/>
      <c r="G672" s="4"/>
      <c r="H672" s="4"/>
      <c r="I672" s="4"/>
      <c r="J672" s="4"/>
      <c r="K672" s="4"/>
      <c r="L672" s="4"/>
      <c r="M672" s="4"/>
      <c r="N672" s="4"/>
      <c r="O672" s="4"/>
      <c r="P672" s="4"/>
      <c r="Q672" s="4"/>
      <c r="R672" s="12"/>
      <c r="S672" s="12"/>
      <c r="T672" s="12"/>
      <c r="U672" s="12"/>
      <c r="V672" s="12"/>
      <c r="W672" s="12"/>
      <c r="X672" s="12"/>
      <c r="Y672" s="12"/>
      <c r="Z672" s="12"/>
      <c r="AA672" s="12"/>
      <c r="AB672" s="12"/>
      <c r="AC672" s="12"/>
      <c r="AD672" s="12"/>
    </row>
    <row r="673" spans="1:30" ht="13.5" customHeight="1">
      <c r="A673" s="4"/>
      <c r="B673" s="4"/>
      <c r="C673" s="4"/>
      <c r="D673" s="4"/>
      <c r="E673" s="4"/>
      <c r="F673" s="4"/>
      <c r="G673" s="4"/>
      <c r="H673" s="4"/>
      <c r="I673" s="4"/>
      <c r="J673" s="4"/>
      <c r="K673" s="4"/>
      <c r="L673" s="4"/>
      <c r="M673" s="4"/>
      <c r="N673" s="4"/>
      <c r="O673" s="4"/>
      <c r="P673" s="4"/>
      <c r="Q673" s="4"/>
      <c r="R673" s="12"/>
      <c r="S673" s="12"/>
      <c r="T673" s="12"/>
      <c r="U673" s="12"/>
      <c r="V673" s="12"/>
      <c r="W673" s="12"/>
      <c r="X673" s="12"/>
      <c r="Y673" s="12"/>
      <c r="Z673" s="12"/>
      <c r="AA673" s="12"/>
      <c r="AB673" s="12"/>
      <c r="AC673" s="12"/>
      <c r="AD673" s="12"/>
    </row>
    <row r="674" spans="1:30" ht="13.5" customHeight="1">
      <c r="A674" s="4"/>
      <c r="B674" s="4"/>
      <c r="C674" s="4"/>
      <c r="D674" s="4"/>
      <c r="E674" s="4"/>
      <c r="F674" s="4"/>
      <c r="G674" s="4"/>
      <c r="H674" s="4"/>
      <c r="I674" s="4"/>
      <c r="J674" s="4"/>
      <c r="K674" s="4"/>
      <c r="L674" s="4"/>
      <c r="M674" s="4"/>
      <c r="N674" s="4"/>
      <c r="O674" s="4"/>
      <c r="P674" s="4"/>
      <c r="Q674" s="4"/>
      <c r="R674" s="12"/>
      <c r="S674" s="12"/>
      <c r="T674" s="12"/>
      <c r="U674" s="12"/>
      <c r="V674" s="12"/>
      <c r="W674" s="12"/>
      <c r="X674" s="12"/>
      <c r="Y674" s="12"/>
      <c r="Z674" s="12"/>
      <c r="AA674" s="12"/>
      <c r="AB674" s="12"/>
      <c r="AC674" s="12"/>
      <c r="AD674" s="12"/>
    </row>
    <row r="675" spans="1:30" ht="13.5" customHeight="1">
      <c r="A675" s="4"/>
      <c r="B675" s="4"/>
      <c r="C675" s="4"/>
      <c r="D675" s="4"/>
      <c r="E675" s="4"/>
      <c r="F675" s="4"/>
      <c r="G675" s="4"/>
      <c r="H675" s="4"/>
      <c r="I675" s="4"/>
      <c r="J675" s="4"/>
      <c r="K675" s="4"/>
      <c r="L675" s="4"/>
      <c r="M675" s="4"/>
      <c r="N675" s="4"/>
      <c r="O675" s="4"/>
      <c r="P675" s="4"/>
      <c r="Q675" s="4"/>
      <c r="R675" s="12"/>
      <c r="S675" s="12"/>
      <c r="T675" s="12"/>
      <c r="U675" s="12"/>
      <c r="V675" s="12"/>
      <c r="W675" s="12"/>
      <c r="X675" s="12"/>
      <c r="Y675" s="12"/>
      <c r="Z675" s="12"/>
      <c r="AA675" s="12"/>
      <c r="AB675" s="12"/>
      <c r="AC675" s="12"/>
      <c r="AD675" s="12"/>
    </row>
    <row r="676" spans="1:30" ht="13.5" customHeight="1">
      <c r="A676" s="4"/>
      <c r="B676" s="4"/>
      <c r="C676" s="4"/>
      <c r="D676" s="4"/>
      <c r="E676" s="4"/>
      <c r="F676" s="4"/>
      <c r="G676" s="4"/>
      <c r="H676" s="4"/>
      <c r="I676" s="4"/>
      <c r="J676" s="4"/>
      <c r="K676" s="4"/>
      <c r="L676" s="4"/>
      <c r="M676" s="4"/>
      <c r="N676" s="4"/>
      <c r="O676" s="4"/>
      <c r="P676" s="4"/>
      <c r="Q676" s="4"/>
      <c r="R676" s="12"/>
      <c r="S676" s="12"/>
      <c r="T676" s="12"/>
      <c r="U676" s="12"/>
      <c r="V676" s="12"/>
      <c r="W676" s="12"/>
      <c r="X676" s="12"/>
      <c r="Y676" s="12"/>
      <c r="Z676" s="12"/>
      <c r="AA676" s="12"/>
      <c r="AB676" s="12"/>
      <c r="AC676" s="12"/>
      <c r="AD676" s="12"/>
    </row>
    <row r="677" spans="1:30" ht="13.5" customHeight="1">
      <c r="A677" s="4"/>
      <c r="B677" s="4"/>
      <c r="C677" s="4"/>
      <c r="D677" s="4"/>
      <c r="E677" s="4"/>
      <c r="F677" s="4"/>
      <c r="G677" s="4"/>
      <c r="H677" s="4"/>
      <c r="I677" s="4"/>
      <c r="J677" s="4"/>
      <c r="K677" s="4"/>
      <c r="L677" s="4"/>
      <c r="M677" s="4"/>
      <c r="N677" s="4"/>
      <c r="O677" s="4"/>
      <c r="P677" s="4"/>
      <c r="Q677" s="4"/>
      <c r="R677" s="12"/>
      <c r="S677" s="12"/>
      <c r="T677" s="12"/>
      <c r="U677" s="12"/>
      <c r="V677" s="12"/>
      <c r="W677" s="12"/>
      <c r="X677" s="12"/>
      <c r="Y677" s="12"/>
      <c r="Z677" s="12"/>
      <c r="AA677" s="12"/>
      <c r="AB677" s="12"/>
      <c r="AC677" s="12"/>
      <c r="AD677" s="12"/>
    </row>
    <row r="678" spans="1:30" ht="13.5" customHeight="1">
      <c r="A678" s="4"/>
      <c r="B678" s="4"/>
      <c r="C678" s="4"/>
      <c r="D678" s="4"/>
      <c r="E678" s="4"/>
      <c r="F678" s="4"/>
      <c r="G678" s="4"/>
      <c r="H678" s="4"/>
      <c r="I678" s="4"/>
      <c r="J678" s="4"/>
      <c r="K678" s="4"/>
      <c r="L678" s="4"/>
      <c r="M678" s="4"/>
      <c r="N678" s="4"/>
      <c r="O678" s="4"/>
      <c r="P678" s="4"/>
      <c r="Q678" s="4"/>
      <c r="R678" s="12"/>
      <c r="S678" s="12"/>
      <c r="T678" s="12"/>
      <c r="U678" s="12"/>
      <c r="V678" s="12"/>
      <c r="W678" s="12"/>
      <c r="X678" s="12"/>
      <c r="Y678" s="12"/>
      <c r="Z678" s="12"/>
      <c r="AA678" s="12"/>
      <c r="AB678" s="12"/>
      <c r="AC678" s="12"/>
      <c r="AD678" s="12"/>
    </row>
    <row r="679" spans="1:30" ht="13.5" customHeight="1">
      <c r="A679" s="4"/>
      <c r="B679" s="4"/>
      <c r="C679" s="4"/>
      <c r="D679" s="4"/>
      <c r="E679" s="4"/>
      <c r="F679" s="4"/>
      <c r="G679" s="4"/>
      <c r="H679" s="4"/>
      <c r="I679" s="4"/>
      <c r="J679" s="4"/>
      <c r="K679" s="4"/>
      <c r="L679" s="4"/>
      <c r="M679" s="4"/>
      <c r="N679" s="4"/>
      <c r="O679" s="4"/>
      <c r="P679" s="4"/>
      <c r="Q679" s="4"/>
      <c r="R679" s="12"/>
      <c r="S679" s="12"/>
      <c r="T679" s="12"/>
      <c r="U679" s="12"/>
      <c r="V679" s="12"/>
      <c r="W679" s="12"/>
      <c r="X679" s="12"/>
      <c r="Y679" s="12"/>
      <c r="Z679" s="12"/>
      <c r="AA679" s="12"/>
      <c r="AB679" s="12"/>
      <c r="AC679" s="12"/>
      <c r="AD679" s="12"/>
    </row>
    <row r="680" spans="1:30" ht="13.5" customHeight="1">
      <c r="A680" s="4"/>
      <c r="B680" s="4"/>
      <c r="C680" s="4"/>
      <c r="D680" s="4"/>
      <c r="E680" s="4"/>
      <c r="F680" s="4"/>
      <c r="G680" s="4"/>
      <c r="H680" s="4"/>
      <c r="I680" s="4"/>
      <c r="J680" s="4"/>
      <c r="K680" s="4"/>
      <c r="L680" s="4"/>
      <c r="M680" s="4"/>
      <c r="N680" s="4"/>
      <c r="O680" s="4"/>
      <c r="P680" s="4"/>
      <c r="Q680" s="4"/>
      <c r="R680" s="12"/>
      <c r="S680" s="12"/>
      <c r="T680" s="12"/>
      <c r="U680" s="12"/>
      <c r="V680" s="12"/>
      <c r="W680" s="12"/>
      <c r="X680" s="12"/>
      <c r="Y680" s="12"/>
      <c r="Z680" s="12"/>
      <c r="AA680" s="12"/>
      <c r="AB680" s="12"/>
      <c r="AC680" s="12"/>
      <c r="AD680" s="12"/>
    </row>
    <row r="681" spans="1:30" ht="13.5" customHeight="1">
      <c r="A681" s="4"/>
      <c r="B681" s="4"/>
      <c r="C681" s="4"/>
      <c r="D681" s="4"/>
      <c r="E681" s="4"/>
      <c r="F681" s="4"/>
      <c r="G681" s="4"/>
      <c r="H681" s="4"/>
      <c r="I681" s="4"/>
      <c r="J681" s="4"/>
      <c r="K681" s="4"/>
      <c r="L681" s="4"/>
      <c r="M681" s="4"/>
      <c r="N681" s="4"/>
      <c r="O681" s="4"/>
      <c r="P681" s="4"/>
      <c r="Q681" s="4"/>
      <c r="R681" s="12"/>
      <c r="S681" s="12"/>
      <c r="T681" s="12"/>
      <c r="U681" s="12"/>
      <c r="V681" s="12"/>
      <c r="W681" s="12"/>
      <c r="X681" s="12"/>
      <c r="Y681" s="12"/>
      <c r="Z681" s="12"/>
      <c r="AA681" s="12"/>
      <c r="AB681" s="12"/>
      <c r="AC681" s="12"/>
      <c r="AD681" s="12"/>
    </row>
    <row r="682" spans="1:30" ht="13.5" customHeight="1">
      <c r="A682" s="4"/>
      <c r="B682" s="4"/>
      <c r="C682" s="4"/>
      <c r="D682" s="4"/>
      <c r="E682" s="4"/>
      <c r="F682" s="4"/>
      <c r="G682" s="4"/>
      <c r="H682" s="4"/>
      <c r="I682" s="4"/>
      <c r="J682" s="4"/>
      <c r="K682" s="4"/>
      <c r="L682" s="4"/>
      <c r="M682" s="4"/>
      <c r="N682" s="4"/>
      <c r="O682" s="4"/>
      <c r="P682" s="4"/>
      <c r="Q682" s="4"/>
      <c r="R682" s="12"/>
      <c r="S682" s="12"/>
      <c r="T682" s="12"/>
      <c r="U682" s="12"/>
      <c r="V682" s="12"/>
      <c r="W682" s="12"/>
      <c r="X682" s="12"/>
      <c r="Y682" s="12"/>
      <c r="Z682" s="12"/>
      <c r="AA682" s="12"/>
      <c r="AB682" s="12"/>
      <c r="AC682" s="12"/>
      <c r="AD682" s="12"/>
    </row>
    <row r="683" spans="1:30" ht="13.5" customHeight="1">
      <c r="A683" s="4"/>
      <c r="B683" s="4"/>
      <c r="C683" s="4"/>
      <c r="D683" s="4"/>
      <c r="E683" s="4"/>
      <c r="F683" s="4"/>
      <c r="G683" s="4"/>
      <c r="H683" s="4"/>
      <c r="I683" s="4"/>
      <c r="J683" s="4"/>
      <c r="K683" s="4"/>
      <c r="L683" s="4"/>
      <c r="M683" s="4"/>
      <c r="N683" s="4"/>
      <c r="O683" s="4"/>
      <c r="P683" s="4"/>
      <c r="Q683" s="4"/>
      <c r="R683" s="12"/>
      <c r="S683" s="12"/>
      <c r="T683" s="12"/>
      <c r="U683" s="12"/>
      <c r="V683" s="12"/>
      <c r="W683" s="12"/>
      <c r="X683" s="12"/>
      <c r="Y683" s="12"/>
      <c r="Z683" s="12"/>
      <c r="AA683" s="12"/>
      <c r="AB683" s="12"/>
      <c r="AC683" s="12"/>
      <c r="AD683" s="12"/>
    </row>
    <row r="684" spans="1:30" ht="13.5" customHeight="1">
      <c r="A684" s="4"/>
      <c r="B684" s="4"/>
      <c r="C684" s="4"/>
      <c r="D684" s="4"/>
      <c r="E684" s="4"/>
      <c r="F684" s="4"/>
      <c r="G684" s="4"/>
      <c r="H684" s="4"/>
      <c r="I684" s="4"/>
      <c r="J684" s="4"/>
      <c r="K684" s="4"/>
      <c r="L684" s="4"/>
      <c r="M684" s="4"/>
      <c r="N684" s="4"/>
      <c r="O684" s="4"/>
      <c r="P684" s="4"/>
      <c r="Q684" s="4"/>
      <c r="R684" s="12"/>
      <c r="S684" s="12"/>
      <c r="T684" s="12"/>
      <c r="U684" s="12"/>
      <c r="V684" s="12"/>
      <c r="W684" s="12"/>
      <c r="X684" s="12"/>
      <c r="Y684" s="12"/>
      <c r="Z684" s="12"/>
      <c r="AA684" s="12"/>
      <c r="AB684" s="12"/>
      <c r="AC684" s="12"/>
      <c r="AD684" s="12"/>
    </row>
    <row r="685" spans="1:30" ht="13.5" customHeight="1">
      <c r="A685" s="4"/>
      <c r="B685" s="4"/>
      <c r="C685" s="4"/>
      <c r="D685" s="4"/>
      <c r="E685" s="4"/>
      <c r="F685" s="4"/>
      <c r="G685" s="4"/>
      <c r="H685" s="4"/>
      <c r="I685" s="4"/>
      <c r="J685" s="4"/>
      <c r="K685" s="4"/>
      <c r="L685" s="4"/>
      <c r="M685" s="4"/>
      <c r="N685" s="4"/>
      <c r="O685" s="4"/>
      <c r="P685" s="4"/>
      <c r="Q685" s="4"/>
      <c r="R685" s="12"/>
      <c r="S685" s="12"/>
      <c r="T685" s="12"/>
      <c r="U685" s="12"/>
      <c r="V685" s="12"/>
      <c r="W685" s="12"/>
      <c r="X685" s="12"/>
      <c r="Y685" s="12"/>
      <c r="Z685" s="12"/>
      <c r="AA685" s="12"/>
      <c r="AB685" s="12"/>
      <c r="AC685" s="12"/>
      <c r="AD685" s="12"/>
    </row>
    <row r="686" spans="1:30" ht="13.5" customHeight="1">
      <c r="A686" s="4"/>
      <c r="B686" s="4"/>
      <c r="C686" s="4"/>
      <c r="D686" s="4"/>
      <c r="E686" s="4"/>
      <c r="F686" s="4"/>
      <c r="G686" s="4"/>
      <c r="H686" s="4"/>
      <c r="I686" s="4"/>
      <c r="J686" s="4"/>
      <c r="K686" s="4"/>
      <c r="L686" s="4"/>
      <c r="M686" s="4"/>
      <c r="N686" s="4"/>
      <c r="O686" s="4"/>
      <c r="P686" s="4"/>
      <c r="Q686" s="4"/>
      <c r="R686" s="12"/>
      <c r="S686" s="12"/>
      <c r="T686" s="12"/>
      <c r="U686" s="12"/>
      <c r="V686" s="12"/>
      <c r="W686" s="12"/>
      <c r="X686" s="12"/>
      <c r="Y686" s="12"/>
      <c r="Z686" s="12"/>
      <c r="AA686" s="12"/>
      <c r="AB686" s="12"/>
      <c r="AC686" s="12"/>
      <c r="AD686" s="12"/>
    </row>
    <row r="687" spans="1:30" ht="13.5" customHeight="1">
      <c r="A687" s="4"/>
      <c r="B687" s="4"/>
      <c r="C687" s="4"/>
      <c r="D687" s="4"/>
      <c r="E687" s="4"/>
      <c r="F687" s="4"/>
      <c r="G687" s="4"/>
      <c r="H687" s="4"/>
      <c r="I687" s="4"/>
      <c r="J687" s="4"/>
      <c r="K687" s="4"/>
      <c r="L687" s="4"/>
      <c r="M687" s="4"/>
      <c r="N687" s="4"/>
      <c r="O687" s="4"/>
      <c r="P687" s="4"/>
      <c r="Q687" s="4"/>
      <c r="R687" s="12"/>
      <c r="S687" s="12"/>
      <c r="T687" s="12"/>
      <c r="U687" s="12"/>
      <c r="V687" s="12"/>
      <c r="W687" s="12"/>
      <c r="X687" s="12"/>
      <c r="Y687" s="12"/>
      <c r="Z687" s="12"/>
      <c r="AA687" s="12"/>
      <c r="AB687" s="12"/>
      <c r="AC687" s="12"/>
      <c r="AD687" s="12"/>
    </row>
    <row r="688" spans="1:30" ht="13.5" customHeight="1">
      <c r="A688" s="4"/>
      <c r="B688" s="4"/>
      <c r="C688" s="4"/>
      <c r="D688" s="4"/>
      <c r="E688" s="4"/>
      <c r="F688" s="4"/>
      <c r="G688" s="4"/>
      <c r="H688" s="4"/>
      <c r="I688" s="4"/>
      <c r="J688" s="4"/>
      <c r="K688" s="4"/>
      <c r="L688" s="4"/>
      <c r="M688" s="4"/>
      <c r="N688" s="4"/>
      <c r="O688" s="4"/>
      <c r="P688" s="4"/>
      <c r="Q688" s="4"/>
      <c r="R688" s="12"/>
      <c r="S688" s="12"/>
      <c r="T688" s="12"/>
      <c r="U688" s="12"/>
      <c r="V688" s="12"/>
      <c r="W688" s="12"/>
      <c r="X688" s="12"/>
      <c r="Y688" s="12"/>
      <c r="Z688" s="12"/>
      <c r="AA688" s="12"/>
      <c r="AB688" s="12"/>
      <c r="AC688" s="12"/>
      <c r="AD688" s="12"/>
    </row>
    <row r="689" spans="1:30" ht="13.5" customHeight="1">
      <c r="A689" s="4"/>
      <c r="B689" s="4"/>
      <c r="C689" s="4"/>
      <c r="D689" s="4"/>
      <c r="E689" s="4"/>
      <c r="F689" s="4"/>
      <c r="G689" s="4"/>
      <c r="H689" s="4"/>
      <c r="I689" s="4"/>
      <c r="J689" s="4"/>
      <c r="K689" s="4"/>
      <c r="L689" s="4"/>
      <c r="M689" s="4"/>
      <c r="N689" s="4"/>
      <c r="O689" s="4"/>
      <c r="P689" s="4"/>
      <c r="Q689" s="4"/>
      <c r="R689" s="12"/>
      <c r="S689" s="12"/>
      <c r="T689" s="12"/>
      <c r="U689" s="12"/>
      <c r="V689" s="12"/>
      <c r="W689" s="12"/>
      <c r="X689" s="12"/>
      <c r="Y689" s="12"/>
      <c r="Z689" s="12"/>
      <c r="AA689" s="12"/>
      <c r="AB689" s="12"/>
      <c r="AC689" s="12"/>
      <c r="AD689" s="12"/>
    </row>
    <row r="690" spans="1:30" ht="13.5" customHeight="1">
      <c r="A690" s="4"/>
      <c r="B690" s="4"/>
      <c r="C690" s="4"/>
      <c r="D690" s="4"/>
      <c r="E690" s="4"/>
      <c r="F690" s="4"/>
      <c r="G690" s="4"/>
      <c r="H690" s="4"/>
      <c r="I690" s="4"/>
      <c r="J690" s="4"/>
      <c r="K690" s="4"/>
      <c r="L690" s="4"/>
      <c r="M690" s="4"/>
      <c r="N690" s="4"/>
      <c r="O690" s="4"/>
      <c r="P690" s="4"/>
      <c r="Q690" s="4"/>
      <c r="R690" s="12"/>
      <c r="S690" s="12"/>
      <c r="T690" s="12"/>
      <c r="U690" s="12"/>
      <c r="V690" s="12"/>
      <c r="W690" s="12"/>
      <c r="X690" s="12"/>
      <c r="Y690" s="12"/>
      <c r="Z690" s="12"/>
      <c r="AA690" s="12"/>
      <c r="AB690" s="12"/>
      <c r="AC690" s="12"/>
      <c r="AD690" s="12"/>
    </row>
    <row r="691" spans="1:30" ht="13.5" customHeight="1">
      <c r="A691" s="4"/>
      <c r="B691" s="4"/>
      <c r="C691" s="4"/>
      <c r="D691" s="4"/>
      <c r="E691" s="4"/>
      <c r="F691" s="4"/>
      <c r="G691" s="4"/>
      <c r="H691" s="4"/>
      <c r="I691" s="4"/>
      <c r="J691" s="4"/>
      <c r="K691" s="4"/>
      <c r="L691" s="4"/>
      <c r="M691" s="4"/>
      <c r="N691" s="4"/>
      <c r="O691" s="4"/>
      <c r="P691" s="4"/>
      <c r="Q691" s="4"/>
      <c r="R691" s="12"/>
      <c r="S691" s="12"/>
      <c r="T691" s="12"/>
      <c r="U691" s="12"/>
      <c r="V691" s="12"/>
      <c r="W691" s="12"/>
      <c r="X691" s="12"/>
      <c r="Y691" s="12"/>
      <c r="Z691" s="12"/>
      <c r="AA691" s="12"/>
      <c r="AB691" s="12"/>
      <c r="AC691" s="12"/>
      <c r="AD691" s="12"/>
    </row>
    <row r="692" spans="1:30" ht="13.5" customHeight="1">
      <c r="A692" s="4"/>
      <c r="B692" s="4"/>
      <c r="C692" s="4"/>
      <c r="D692" s="4"/>
      <c r="E692" s="4"/>
      <c r="F692" s="4"/>
      <c r="G692" s="4"/>
      <c r="H692" s="4"/>
      <c r="I692" s="4"/>
      <c r="J692" s="4"/>
      <c r="K692" s="4"/>
      <c r="L692" s="4"/>
      <c r="M692" s="4"/>
      <c r="N692" s="4"/>
      <c r="O692" s="4"/>
      <c r="P692" s="4"/>
      <c r="Q692" s="4"/>
      <c r="R692" s="12"/>
      <c r="S692" s="12"/>
      <c r="T692" s="12"/>
      <c r="U692" s="12"/>
      <c r="V692" s="12"/>
      <c r="W692" s="12"/>
      <c r="X692" s="12"/>
      <c r="Y692" s="12"/>
      <c r="Z692" s="12"/>
      <c r="AA692" s="12"/>
      <c r="AB692" s="12"/>
      <c r="AC692" s="12"/>
      <c r="AD692" s="12"/>
    </row>
    <row r="693" spans="1:30" ht="13.5" customHeight="1">
      <c r="A693" s="4"/>
      <c r="B693" s="4"/>
      <c r="C693" s="4"/>
      <c r="D693" s="4"/>
      <c r="E693" s="4"/>
      <c r="F693" s="4"/>
      <c r="G693" s="4"/>
      <c r="H693" s="4"/>
      <c r="I693" s="4"/>
      <c r="J693" s="4"/>
      <c r="K693" s="4"/>
      <c r="L693" s="4"/>
      <c r="M693" s="4"/>
      <c r="N693" s="4"/>
      <c r="O693" s="4"/>
      <c r="P693" s="4"/>
      <c r="Q693" s="4"/>
      <c r="R693" s="12"/>
      <c r="S693" s="12"/>
      <c r="T693" s="12"/>
      <c r="U693" s="12"/>
      <c r="V693" s="12"/>
      <c r="W693" s="12"/>
      <c r="X693" s="12"/>
      <c r="Y693" s="12"/>
      <c r="Z693" s="12"/>
      <c r="AA693" s="12"/>
      <c r="AB693" s="12"/>
      <c r="AC693" s="12"/>
      <c r="AD693" s="12"/>
    </row>
    <row r="694" spans="1:30" ht="13.5" customHeight="1">
      <c r="A694" s="4"/>
      <c r="B694" s="4"/>
      <c r="C694" s="4"/>
      <c r="D694" s="4"/>
      <c r="E694" s="4"/>
      <c r="F694" s="4"/>
      <c r="G694" s="4"/>
      <c r="H694" s="4"/>
      <c r="I694" s="4"/>
      <c r="J694" s="4"/>
      <c r="K694" s="4"/>
      <c r="L694" s="4"/>
      <c r="M694" s="4"/>
      <c r="N694" s="4"/>
      <c r="O694" s="4"/>
      <c r="P694" s="4"/>
      <c r="Q694" s="4"/>
      <c r="R694" s="12"/>
      <c r="S694" s="12"/>
      <c r="T694" s="12"/>
      <c r="U694" s="12"/>
      <c r="V694" s="12"/>
      <c r="W694" s="12"/>
      <c r="X694" s="12"/>
      <c r="Y694" s="12"/>
      <c r="Z694" s="12"/>
      <c r="AA694" s="12"/>
      <c r="AB694" s="12"/>
      <c r="AC694" s="12"/>
      <c r="AD694" s="12"/>
    </row>
    <row r="695" spans="1:30" ht="13.5" customHeight="1">
      <c r="A695" s="4"/>
      <c r="B695" s="4"/>
      <c r="C695" s="4"/>
      <c r="D695" s="4"/>
      <c r="E695" s="4"/>
      <c r="F695" s="4"/>
      <c r="G695" s="4"/>
      <c r="H695" s="4"/>
      <c r="I695" s="4"/>
      <c r="J695" s="4"/>
      <c r="K695" s="4"/>
      <c r="L695" s="4"/>
      <c r="M695" s="4"/>
      <c r="N695" s="4"/>
      <c r="O695" s="4"/>
      <c r="P695" s="4"/>
      <c r="Q695" s="4"/>
      <c r="R695" s="12"/>
      <c r="S695" s="12"/>
      <c r="T695" s="12"/>
      <c r="U695" s="12"/>
      <c r="V695" s="12"/>
      <c r="W695" s="12"/>
      <c r="X695" s="12"/>
      <c r="Y695" s="12"/>
      <c r="Z695" s="12"/>
      <c r="AA695" s="12"/>
      <c r="AB695" s="12"/>
      <c r="AC695" s="12"/>
      <c r="AD695" s="12"/>
    </row>
    <row r="696" spans="1:30" ht="13.5" customHeight="1">
      <c r="A696" s="4"/>
      <c r="B696" s="4"/>
      <c r="C696" s="4"/>
      <c r="D696" s="4"/>
      <c r="E696" s="4"/>
      <c r="F696" s="4"/>
      <c r="G696" s="4"/>
      <c r="H696" s="4"/>
      <c r="I696" s="4"/>
      <c r="J696" s="4"/>
      <c r="K696" s="4"/>
      <c r="L696" s="4"/>
      <c r="M696" s="4"/>
      <c r="N696" s="4"/>
      <c r="O696" s="4"/>
      <c r="P696" s="4"/>
      <c r="Q696" s="4"/>
      <c r="R696" s="12"/>
      <c r="S696" s="12"/>
      <c r="T696" s="12"/>
      <c r="U696" s="12"/>
      <c r="V696" s="12"/>
      <c r="W696" s="12"/>
      <c r="X696" s="12"/>
      <c r="Y696" s="12"/>
      <c r="Z696" s="12"/>
      <c r="AA696" s="12"/>
      <c r="AB696" s="12"/>
      <c r="AC696" s="12"/>
      <c r="AD696" s="12"/>
    </row>
    <row r="697" spans="1:30" ht="13.5" customHeight="1">
      <c r="A697" s="4"/>
      <c r="B697" s="4"/>
      <c r="C697" s="4"/>
      <c r="D697" s="4"/>
      <c r="E697" s="4"/>
      <c r="F697" s="4"/>
      <c r="G697" s="4"/>
      <c r="H697" s="4"/>
      <c r="I697" s="4"/>
      <c r="J697" s="4"/>
      <c r="K697" s="4"/>
      <c r="L697" s="4"/>
      <c r="M697" s="4"/>
      <c r="N697" s="4"/>
      <c r="O697" s="4"/>
      <c r="P697" s="4"/>
      <c r="Q697" s="4"/>
      <c r="R697" s="12"/>
      <c r="S697" s="12"/>
      <c r="T697" s="12"/>
      <c r="U697" s="12"/>
      <c r="V697" s="12"/>
      <c r="W697" s="12"/>
      <c r="X697" s="12"/>
      <c r="Y697" s="12"/>
      <c r="Z697" s="12"/>
      <c r="AA697" s="12"/>
      <c r="AB697" s="12"/>
      <c r="AC697" s="12"/>
      <c r="AD697" s="12"/>
    </row>
    <row r="698" spans="1:30" ht="13.5" customHeight="1">
      <c r="A698" s="4"/>
      <c r="B698" s="4"/>
      <c r="C698" s="4"/>
      <c r="D698" s="4"/>
      <c r="E698" s="4"/>
      <c r="F698" s="4"/>
      <c r="G698" s="4"/>
      <c r="H698" s="4"/>
      <c r="I698" s="4"/>
      <c r="J698" s="4"/>
      <c r="K698" s="4"/>
      <c r="L698" s="4"/>
      <c r="M698" s="4"/>
      <c r="N698" s="4"/>
      <c r="O698" s="4"/>
      <c r="P698" s="4"/>
      <c r="Q698" s="4"/>
      <c r="R698" s="12"/>
      <c r="S698" s="12"/>
      <c r="T698" s="12"/>
      <c r="U698" s="12"/>
      <c r="V698" s="12"/>
      <c r="W698" s="12"/>
      <c r="X698" s="12"/>
      <c r="Y698" s="12"/>
      <c r="Z698" s="12"/>
      <c r="AA698" s="12"/>
      <c r="AB698" s="12"/>
      <c r="AC698" s="12"/>
      <c r="AD698" s="12"/>
    </row>
    <row r="699" spans="1:30" ht="13.5" customHeight="1">
      <c r="A699" s="4"/>
      <c r="B699" s="4"/>
      <c r="C699" s="4"/>
      <c r="D699" s="4"/>
      <c r="E699" s="4"/>
      <c r="F699" s="4"/>
      <c r="G699" s="4"/>
      <c r="H699" s="4"/>
      <c r="I699" s="4"/>
      <c r="J699" s="4"/>
      <c r="K699" s="4"/>
      <c r="L699" s="4"/>
      <c r="M699" s="4"/>
      <c r="N699" s="4"/>
      <c r="O699" s="4"/>
      <c r="P699" s="4"/>
      <c r="Q699" s="4"/>
      <c r="R699" s="12"/>
      <c r="S699" s="12"/>
      <c r="T699" s="12"/>
      <c r="U699" s="12"/>
      <c r="V699" s="12"/>
      <c r="W699" s="12"/>
      <c r="X699" s="12"/>
      <c r="Y699" s="12"/>
      <c r="Z699" s="12"/>
      <c r="AA699" s="12"/>
      <c r="AB699" s="12"/>
      <c r="AC699" s="12"/>
      <c r="AD699" s="12"/>
    </row>
    <row r="700" spans="1:30" ht="13.5" customHeight="1">
      <c r="A700" s="4"/>
      <c r="B700" s="4"/>
      <c r="C700" s="4"/>
      <c r="D700" s="4"/>
      <c r="E700" s="4"/>
      <c r="F700" s="4"/>
      <c r="G700" s="4"/>
      <c r="H700" s="4"/>
      <c r="I700" s="4"/>
      <c r="J700" s="4"/>
      <c r="K700" s="4"/>
      <c r="L700" s="4"/>
      <c r="M700" s="4"/>
      <c r="N700" s="4"/>
      <c r="O700" s="4"/>
      <c r="P700" s="4"/>
      <c r="Q700" s="4"/>
      <c r="R700" s="12"/>
      <c r="S700" s="12"/>
      <c r="T700" s="12"/>
      <c r="U700" s="12"/>
      <c r="V700" s="12"/>
      <c r="W700" s="12"/>
      <c r="X700" s="12"/>
      <c r="Y700" s="12"/>
      <c r="Z700" s="12"/>
      <c r="AA700" s="12"/>
      <c r="AB700" s="12"/>
      <c r="AC700" s="12"/>
      <c r="AD700" s="12"/>
    </row>
    <row r="701" spans="1:30" ht="13.5" customHeight="1">
      <c r="A701" s="4"/>
      <c r="B701" s="4"/>
      <c r="C701" s="4"/>
      <c r="D701" s="4"/>
      <c r="E701" s="4"/>
      <c r="F701" s="4"/>
      <c r="G701" s="4"/>
      <c r="H701" s="4"/>
      <c r="I701" s="4"/>
      <c r="J701" s="4"/>
      <c r="K701" s="4"/>
      <c r="L701" s="4"/>
      <c r="M701" s="4"/>
      <c r="N701" s="4"/>
      <c r="O701" s="4"/>
      <c r="P701" s="4"/>
      <c r="Q701" s="4"/>
      <c r="R701" s="12"/>
      <c r="S701" s="12"/>
      <c r="T701" s="12"/>
      <c r="U701" s="12"/>
      <c r="V701" s="12"/>
      <c r="W701" s="12"/>
      <c r="X701" s="12"/>
      <c r="Y701" s="12"/>
      <c r="Z701" s="12"/>
      <c r="AA701" s="12"/>
      <c r="AB701" s="12"/>
      <c r="AC701" s="12"/>
      <c r="AD701" s="12"/>
    </row>
    <row r="702" spans="1:30" ht="13.5" customHeight="1">
      <c r="A702" s="4"/>
      <c r="B702" s="4"/>
      <c r="C702" s="4"/>
      <c r="D702" s="4"/>
      <c r="E702" s="4"/>
      <c r="F702" s="4"/>
      <c r="G702" s="4"/>
      <c r="H702" s="4"/>
      <c r="I702" s="4"/>
      <c r="J702" s="4"/>
      <c r="K702" s="4"/>
      <c r="L702" s="4"/>
      <c r="M702" s="4"/>
      <c r="N702" s="4"/>
      <c r="O702" s="4"/>
      <c r="P702" s="4"/>
      <c r="Q702" s="4"/>
      <c r="R702" s="12"/>
      <c r="S702" s="12"/>
      <c r="T702" s="12"/>
      <c r="U702" s="12"/>
      <c r="V702" s="12"/>
      <c r="W702" s="12"/>
      <c r="X702" s="12"/>
      <c r="Y702" s="12"/>
      <c r="Z702" s="12"/>
      <c r="AA702" s="12"/>
      <c r="AB702" s="12"/>
      <c r="AC702" s="12"/>
      <c r="AD702" s="12"/>
    </row>
    <row r="703" spans="1:30" ht="13.5" customHeight="1">
      <c r="A703" s="4"/>
      <c r="B703" s="4"/>
      <c r="C703" s="4"/>
      <c r="D703" s="4"/>
      <c r="E703" s="4"/>
      <c r="F703" s="4"/>
      <c r="G703" s="4"/>
      <c r="H703" s="4"/>
      <c r="I703" s="4"/>
      <c r="J703" s="4"/>
      <c r="K703" s="4"/>
      <c r="L703" s="4"/>
      <c r="M703" s="4"/>
      <c r="N703" s="4"/>
      <c r="O703" s="4"/>
      <c r="P703" s="4"/>
      <c r="Q703" s="4"/>
      <c r="R703" s="12"/>
      <c r="S703" s="12"/>
      <c r="T703" s="12"/>
      <c r="U703" s="12"/>
      <c r="V703" s="12"/>
      <c r="W703" s="12"/>
      <c r="X703" s="12"/>
      <c r="Y703" s="12"/>
      <c r="Z703" s="12"/>
      <c r="AA703" s="12"/>
      <c r="AB703" s="12"/>
      <c r="AC703" s="12"/>
      <c r="AD703" s="12"/>
    </row>
    <row r="704" spans="1:30" ht="13.5" customHeight="1">
      <c r="A704" s="4"/>
      <c r="B704" s="4"/>
      <c r="C704" s="4"/>
      <c r="D704" s="4"/>
      <c r="E704" s="4"/>
      <c r="F704" s="4"/>
      <c r="G704" s="4"/>
      <c r="H704" s="4"/>
      <c r="I704" s="4"/>
      <c r="J704" s="4"/>
      <c r="K704" s="4"/>
      <c r="L704" s="4"/>
      <c r="M704" s="4"/>
      <c r="N704" s="4"/>
      <c r="O704" s="4"/>
      <c r="P704" s="4"/>
      <c r="Q704" s="4"/>
      <c r="R704" s="12"/>
      <c r="S704" s="12"/>
      <c r="T704" s="12"/>
      <c r="U704" s="12"/>
      <c r="V704" s="12"/>
      <c r="W704" s="12"/>
      <c r="X704" s="12"/>
      <c r="Y704" s="12"/>
      <c r="Z704" s="12"/>
      <c r="AA704" s="12"/>
      <c r="AB704" s="12"/>
      <c r="AC704" s="12"/>
      <c r="AD704" s="12"/>
    </row>
    <row r="705" spans="1:30" ht="13.5" customHeight="1">
      <c r="A705" s="4"/>
      <c r="B705" s="4"/>
      <c r="C705" s="4"/>
      <c r="D705" s="4"/>
      <c r="E705" s="4"/>
      <c r="F705" s="4"/>
      <c r="G705" s="4"/>
      <c r="H705" s="4"/>
      <c r="I705" s="4"/>
      <c r="J705" s="4"/>
      <c r="K705" s="4"/>
      <c r="L705" s="4"/>
      <c r="M705" s="4"/>
      <c r="N705" s="4"/>
      <c r="O705" s="4"/>
      <c r="P705" s="4"/>
      <c r="Q705" s="4"/>
      <c r="R705" s="12"/>
      <c r="S705" s="12"/>
      <c r="T705" s="12"/>
      <c r="U705" s="12"/>
      <c r="V705" s="12"/>
      <c r="W705" s="12"/>
      <c r="X705" s="12"/>
      <c r="Y705" s="12"/>
      <c r="Z705" s="12"/>
      <c r="AA705" s="12"/>
      <c r="AB705" s="12"/>
      <c r="AC705" s="12"/>
      <c r="AD705" s="12"/>
    </row>
    <row r="706" spans="1:30" ht="13.5" customHeight="1">
      <c r="A706" s="4"/>
      <c r="B706" s="4"/>
      <c r="C706" s="4"/>
      <c r="D706" s="4"/>
      <c r="E706" s="4"/>
      <c r="F706" s="4"/>
      <c r="G706" s="4"/>
      <c r="H706" s="4"/>
      <c r="I706" s="4"/>
      <c r="J706" s="4"/>
      <c r="K706" s="4"/>
      <c r="L706" s="4"/>
      <c r="M706" s="4"/>
      <c r="N706" s="4"/>
      <c r="O706" s="4"/>
      <c r="P706" s="4"/>
      <c r="Q706" s="4"/>
      <c r="R706" s="12"/>
      <c r="S706" s="12"/>
      <c r="T706" s="12"/>
      <c r="U706" s="12"/>
      <c r="V706" s="12"/>
      <c r="W706" s="12"/>
      <c r="X706" s="12"/>
      <c r="Y706" s="12"/>
      <c r="Z706" s="12"/>
      <c r="AA706" s="12"/>
      <c r="AB706" s="12"/>
      <c r="AC706" s="12"/>
      <c r="AD706" s="12"/>
    </row>
    <row r="707" spans="1:30" ht="13.5" customHeight="1">
      <c r="A707" s="4"/>
      <c r="B707" s="4"/>
      <c r="C707" s="4"/>
      <c r="D707" s="4"/>
      <c r="E707" s="4"/>
      <c r="F707" s="4"/>
      <c r="G707" s="4"/>
      <c r="H707" s="4"/>
      <c r="I707" s="4"/>
      <c r="J707" s="4"/>
      <c r="K707" s="4"/>
      <c r="L707" s="4"/>
      <c r="M707" s="4"/>
      <c r="N707" s="4"/>
      <c r="O707" s="4"/>
      <c r="P707" s="4"/>
      <c r="Q707" s="4"/>
      <c r="R707" s="12"/>
      <c r="S707" s="12"/>
      <c r="T707" s="12"/>
      <c r="U707" s="12"/>
      <c r="V707" s="12"/>
      <c r="W707" s="12"/>
      <c r="X707" s="12"/>
      <c r="Y707" s="12"/>
      <c r="Z707" s="12"/>
      <c r="AA707" s="12"/>
      <c r="AB707" s="12"/>
      <c r="AC707" s="12"/>
      <c r="AD707" s="12"/>
    </row>
    <row r="708" spans="1:30" ht="13.5" customHeight="1">
      <c r="A708" s="4"/>
      <c r="B708" s="4"/>
      <c r="C708" s="4"/>
      <c r="D708" s="4"/>
      <c r="E708" s="4"/>
      <c r="F708" s="4"/>
      <c r="G708" s="4"/>
      <c r="H708" s="4"/>
      <c r="I708" s="4"/>
      <c r="J708" s="4"/>
      <c r="K708" s="4"/>
      <c r="L708" s="4"/>
      <c r="M708" s="4"/>
      <c r="N708" s="4"/>
      <c r="O708" s="4"/>
      <c r="P708" s="4"/>
      <c r="Q708" s="4"/>
      <c r="R708" s="12"/>
      <c r="S708" s="12"/>
      <c r="T708" s="12"/>
      <c r="U708" s="12"/>
      <c r="V708" s="12"/>
      <c r="W708" s="12"/>
      <c r="X708" s="12"/>
      <c r="Y708" s="12"/>
      <c r="Z708" s="12"/>
      <c r="AA708" s="12"/>
      <c r="AB708" s="12"/>
      <c r="AC708" s="12"/>
      <c r="AD708" s="12"/>
    </row>
    <row r="709" spans="1:30" ht="13.5" customHeight="1">
      <c r="A709" s="4"/>
      <c r="B709" s="4"/>
      <c r="C709" s="4"/>
      <c r="D709" s="4"/>
      <c r="E709" s="4"/>
      <c r="F709" s="4"/>
      <c r="G709" s="4"/>
      <c r="H709" s="4"/>
      <c r="I709" s="4"/>
      <c r="J709" s="4"/>
      <c r="K709" s="4"/>
      <c r="L709" s="4"/>
      <c r="M709" s="4"/>
      <c r="N709" s="4"/>
      <c r="O709" s="4"/>
      <c r="P709" s="4"/>
      <c r="Q709" s="4"/>
      <c r="R709" s="12"/>
      <c r="S709" s="12"/>
      <c r="T709" s="12"/>
      <c r="U709" s="12"/>
      <c r="V709" s="12"/>
      <c r="W709" s="12"/>
      <c r="X709" s="12"/>
      <c r="Y709" s="12"/>
      <c r="Z709" s="12"/>
      <c r="AA709" s="12"/>
      <c r="AB709" s="12"/>
      <c r="AC709" s="12"/>
      <c r="AD709" s="12"/>
    </row>
    <row r="710" spans="1:30" ht="13.5" customHeight="1">
      <c r="A710" s="4"/>
      <c r="B710" s="4"/>
      <c r="C710" s="4"/>
      <c r="D710" s="4"/>
      <c r="E710" s="4"/>
      <c r="F710" s="4"/>
      <c r="G710" s="4"/>
      <c r="H710" s="4"/>
      <c r="I710" s="4"/>
      <c r="J710" s="4"/>
      <c r="K710" s="4"/>
      <c r="L710" s="4"/>
      <c r="M710" s="4"/>
      <c r="N710" s="4"/>
      <c r="O710" s="4"/>
      <c r="P710" s="4"/>
      <c r="Q710" s="4"/>
      <c r="R710" s="12"/>
      <c r="S710" s="12"/>
      <c r="T710" s="12"/>
      <c r="U710" s="12"/>
      <c r="V710" s="12"/>
      <c r="W710" s="12"/>
      <c r="X710" s="12"/>
      <c r="Y710" s="12"/>
      <c r="Z710" s="12"/>
      <c r="AA710" s="12"/>
      <c r="AB710" s="12"/>
      <c r="AC710" s="12"/>
      <c r="AD710" s="12"/>
    </row>
    <row r="711" spans="1:30" ht="13.5" customHeight="1">
      <c r="A711" s="4"/>
      <c r="B711" s="4"/>
      <c r="C711" s="4"/>
      <c r="D711" s="4"/>
      <c r="E711" s="4"/>
      <c r="F711" s="4"/>
      <c r="G711" s="4"/>
      <c r="H711" s="4"/>
      <c r="I711" s="4"/>
      <c r="J711" s="4"/>
      <c r="K711" s="4"/>
      <c r="L711" s="4"/>
      <c r="M711" s="4"/>
      <c r="N711" s="4"/>
      <c r="O711" s="4"/>
      <c r="P711" s="4"/>
      <c r="Q711" s="4"/>
      <c r="R711" s="12"/>
      <c r="S711" s="12"/>
      <c r="T711" s="12"/>
      <c r="U711" s="12"/>
      <c r="V711" s="12"/>
      <c r="W711" s="12"/>
      <c r="X711" s="12"/>
      <c r="Y711" s="12"/>
      <c r="Z711" s="12"/>
      <c r="AA711" s="12"/>
      <c r="AB711" s="12"/>
      <c r="AC711" s="12"/>
      <c r="AD711" s="12"/>
    </row>
    <row r="712" spans="1:30" ht="13.5" customHeight="1">
      <c r="A712" s="4"/>
      <c r="B712" s="4"/>
      <c r="C712" s="4"/>
      <c r="D712" s="4"/>
      <c r="E712" s="4"/>
      <c r="F712" s="4"/>
      <c r="G712" s="4"/>
      <c r="H712" s="4"/>
      <c r="I712" s="4"/>
      <c r="J712" s="4"/>
      <c r="K712" s="4"/>
      <c r="L712" s="4"/>
      <c r="M712" s="4"/>
      <c r="N712" s="4"/>
      <c r="O712" s="4"/>
      <c r="P712" s="4"/>
      <c r="Q712" s="4"/>
      <c r="R712" s="12"/>
      <c r="S712" s="12"/>
      <c r="T712" s="12"/>
      <c r="U712" s="12"/>
      <c r="V712" s="12"/>
      <c r="W712" s="12"/>
      <c r="X712" s="12"/>
      <c r="Y712" s="12"/>
      <c r="Z712" s="12"/>
      <c r="AA712" s="12"/>
      <c r="AB712" s="12"/>
      <c r="AC712" s="12"/>
      <c r="AD712" s="12"/>
    </row>
    <row r="713" spans="1:30" ht="13.5" customHeight="1">
      <c r="A713" s="4"/>
      <c r="B713" s="4"/>
      <c r="C713" s="4"/>
      <c r="D713" s="4"/>
      <c r="E713" s="4"/>
      <c r="F713" s="4"/>
      <c r="G713" s="4"/>
      <c r="H713" s="4"/>
      <c r="I713" s="4"/>
      <c r="J713" s="4"/>
      <c r="K713" s="4"/>
      <c r="L713" s="4"/>
      <c r="M713" s="4"/>
      <c r="N713" s="4"/>
      <c r="O713" s="4"/>
      <c r="P713" s="4"/>
      <c r="Q713" s="4"/>
      <c r="R713" s="12"/>
      <c r="S713" s="12"/>
      <c r="T713" s="12"/>
      <c r="U713" s="12"/>
      <c r="V713" s="12"/>
      <c r="W713" s="12"/>
      <c r="X713" s="12"/>
      <c r="Y713" s="12"/>
      <c r="Z713" s="12"/>
      <c r="AA713" s="12"/>
      <c r="AB713" s="12"/>
      <c r="AC713" s="12"/>
      <c r="AD713" s="12"/>
    </row>
    <row r="714" spans="1:30" ht="13.5" customHeight="1">
      <c r="A714" s="4"/>
      <c r="B714" s="4"/>
      <c r="C714" s="4"/>
      <c r="D714" s="4"/>
      <c r="E714" s="4"/>
      <c r="F714" s="4"/>
      <c r="G714" s="4"/>
      <c r="H714" s="4"/>
      <c r="I714" s="4"/>
      <c r="J714" s="4"/>
      <c r="K714" s="4"/>
      <c r="L714" s="4"/>
      <c r="M714" s="4"/>
      <c r="N714" s="4"/>
      <c r="O714" s="4"/>
      <c r="P714" s="4"/>
      <c r="Q714" s="4"/>
      <c r="R714" s="12"/>
      <c r="S714" s="12"/>
      <c r="T714" s="12"/>
      <c r="U714" s="12"/>
      <c r="V714" s="12"/>
      <c r="W714" s="12"/>
      <c r="X714" s="12"/>
      <c r="Y714" s="12"/>
      <c r="Z714" s="12"/>
      <c r="AA714" s="12"/>
      <c r="AB714" s="12"/>
      <c r="AC714" s="12"/>
      <c r="AD714" s="12"/>
    </row>
    <row r="715" spans="1:30" ht="13.5" customHeight="1">
      <c r="A715" s="4"/>
      <c r="B715" s="4"/>
      <c r="C715" s="4"/>
      <c r="D715" s="4"/>
      <c r="E715" s="4"/>
      <c r="F715" s="4"/>
      <c r="G715" s="4"/>
      <c r="H715" s="4"/>
      <c r="I715" s="4"/>
      <c r="J715" s="4"/>
      <c r="K715" s="4"/>
      <c r="L715" s="4"/>
      <c r="M715" s="4"/>
      <c r="N715" s="4"/>
      <c r="O715" s="4"/>
      <c r="P715" s="4"/>
      <c r="Q715" s="4"/>
      <c r="R715" s="12"/>
      <c r="S715" s="12"/>
      <c r="T715" s="12"/>
      <c r="U715" s="12"/>
      <c r="V715" s="12"/>
      <c r="W715" s="12"/>
      <c r="X715" s="12"/>
      <c r="Y715" s="12"/>
      <c r="Z715" s="12"/>
      <c r="AA715" s="12"/>
      <c r="AB715" s="12"/>
      <c r="AC715" s="12"/>
      <c r="AD715" s="12"/>
    </row>
    <row r="716" spans="1:30" ht="13.5" customHeight="1">
      <c r="A716" s="4"/>
      <c r="B716" s="4"/>
      <c r="C716" s="4"/>
      <c r="D716" s="4"/>
      <c r="E716" s="4"/>
      <c r="F716" s="4"/>
      <c r="G716" s="4"/>
      <c r="H716" s="4"/>
      <c r="I716" s="4"/>
      <c r="J716" s="4"/>
      <c r="K716" s="4"/>
      <c r="L716" s="4"/>
      <c r="M716" s="4"/>
      <c r="N716" s="4"/>
      <c r="O716" s="4"/>
      <c r="P716" s="4"/>
      <c r="Q716" s="4"/>
      <c r="R716" s="12"/>
      <c r="S716" s="12"/>
      <c r="T716" s="12"/>
      <c r="U716" s="12"/>
      <c r="V716" s="12"/>
      <c r="W716" s="12"/>
      <c r="X716" s="12"/>
      <c r="Y716" s="12"/>
      <c r="Z716" s="12"/>
      <c r="AA716" s="12"/>
      <c r="AB716" s="12"/>
      <c r="AC716" s="12"/>
      <c r="AD716" s="12"/>
    </row>
    <row r="717" spans="1:30" ht="13.5" customHeight="1">
      <c r="A717" s="4"/>
      <c r="B717" s="4"/>
      <c r="C717" s="4"/>
      <c r="D717" s="4"/>
      <c r="E717" s="4"/>
      <c r="F717" s="4"/>
      <c r="G717" s="4"/>
      <c r="H717" s="4"/>
      <c r="I717" s="4"/>
      <c r="J717" s="4"/>
      <c r="K717" s="4"/>
      <c r="L717" s="4"/>
      <c r="M717" s="4"/>
      <c r="N717" s="4"/>
      <c r="O717" s="4"/>
      <c r="P717" s="4"/>
      <c r="Q717" s="4"/>
      <c r="R717" s="12"/>
      <c r="S717" s="12"/>
      <c r="T717" s="12"/>
      <c r="U717" s="12"/>
      <c r="V717" s="12"/>
      <c r="W717" s="12"/>
      <c r="X717" s="12"/>
      <c r="Y717" s="12"/>
      <c r="Z717" s="12"/>
      <c r="AA717" s="12"/>
      <c r="AB717" s="12"/>
      <c r="AC717" s="12"/>
      <c r="AD717" s="12"/>
    </row>
    <row r="718" spans="1:30" ht="13.5" customHeight="1">
      <c r="A718" s="4"/>
      <c r="B718" s="4"/>
      <c r="C718" s="4"/>
      <c r="D718" s="4"/>
      <c r="E718" s="4"/>
      <c r="F718" s="4"/>
      <c r="G718" s="4"/>
      <c r="H718" s="4"/>
      <c r="I718" s="4"/>
      <c r="J718" s="4"/>
      <c r="K718" s="4"/>
      <c r="L718" s="4"/>
      <c r="M718" s="4"/>
      <c r="N718" s="4"/>
      <c r="O718" s="4"/>
      <c r="P718" s="4"/>
      <c r="Q718" s="4"/>
      <c r="R718" s="12"/>
      <c r="S718" s="12"/>
      <c r="T718" s="12"/>
      <c r="U718" s="12"/>
      <c r="V718" s="12"/>
      <c r="W718" s="12"/>
      <c r="X718" s="12"/>
      <c r="Y718" s="12"/>
      <c r="Z718" s="12"/>
      <c r="AA718" s="12"/>
      <c r="AB718" s="12"/>
      <c r="AC718" s="12"/>
      <c r="AD718" s="12"/>
    </row>
    <row r="719" spans="1:30" ht="13.5" customHeight="1">
      <c r="A719" s="4"/>
      <c r="B719" s="4"/>
      <c r="C719" s="4"/>
      <c r="D719" s="4"/>
      <c r="E719" s="4"/>
      <c r="F719" s="4"/>
      <c r="G719" s="4"/>
      <c r="H719" s="4"/>
      <c r="I719" s="4"/>
      <c r="J719" s="4"/>
      <c r="K719" s="4"/>
      <c r="L719" s="4"/>
      <c r="M719" s="4"/>
      <c r="N719" s="4"/>
      <c r="O719" s="4"/>
      <c r="P719" s="4"/>
      <c r="Q719" s="4"/>
      <c r="R719" s="12"/>
      <c r="S719" s="12"/>
      <c r="T719" s="12"/>
      <c r="U719" s="12"/>
      <c r="V719" s="12"/>
      <c r="W719" s="12"/>
      <c r="X719" s="12"/>
      <c r="Y719" s="12"/>
      <c r="Z719" s="12"/>
      <c r="AA719" s="12"/>
      <c r="AB719" s="12"/>
      <c r="AC719" s="12"/>
      <c r="AD719" s="12"/>
    </row>
    <row r="720" spans="1:30" ht="13.5" customHeight="1">
      <c r="A720" s="4"/>
      <c r="B720" s="4"/>
      <c r="C720" s="4"/>
      <c r="D720" s="4"/>
      <c r="E720" s="4"/>
      <c r="F720" s="4"/>
      <c r="G720" s="4"/>
      <c r="H720" s="4"/>
      <c r="I720" s="4"/>
      <c r="J720" s="4"/>
      <c r="K720" s="4"/>
      <c r="L720" s="4"/>
      <c r="M720" s="4"/>
      <c r="N720" s="4"/>
      <c r="O720" s="4"/>
      <c r="P720" s="4"/>
      <c r="Q720" s="4"/>
      <c r="R720" s="12"/>
      <c r="S720" s="12"/>
      <c r="T720" s="12"/>
      <c r="U720" s="12"/>
      <c r="V720" s="12"/>
      <c r="W720" s="12"/>
      <c r="X720" s="12"/>
      <c r="Y720" s="12"/>
      <c r="Z720" s="12"/>
      <c r="AA720" s="12"/>
      <c r="AB720" s="12"/>
      <c r="AC720" s="12"/>
      <c r="AD720" s="12"/>
    </row>
    <row r="721" spans="1:30" ht="13.5" customHeight="1">
      <c r="A721" s="4"/>
      <c r="B721" s="4"/>
      <c r="C721" s="4"/>
      <c r="D721" s="4"/>
      <c r="E721" s="4"/>
      <c r="F721" s="4"/>
      <c r="G721" s="4"/>
      <c r="H721" s="4"/>
      <c r="I721" s="4"/>
      <c r="J721" s="4"/>
      <c r="K721" s="4"/>
      <c r="L721" s="4"/>
      <c r="M721" s="4"/>
      <c r="N721" s="4"/>
      <c r="O721" s="4"/>
      <c r="P721" s="4"/>
      <c r="Q721" s="4"/>
      <c r="R721" s="12"/>
      <c r="S721" s="12"/>
      <c r="T721" s="12"/>
      <c r="U721" s="12"/>
      <c r="V721" s="12"/>
      <c r="W721" s="12"/>
      <c r="X721" s="12"/>
      <c r="Y721" s="12"/>
      <c r="Z721" s="12"/>
      <c r="AA721" s="12"/>
      <c r="AB721" s="12"/>
      <c r="AC721" s="12"/>
      <c r="AD721" s="12"/>
    </row>
    <row r="722" spans="1:30" ht="13.5" customHeight="1">
      <c r="A722" s="4"/>
      <c r="B722" s="4"/>
      <c r="C722" s="4"/>
      <c r="D722" s="4"/>
      <c r="E722" s="4"/>
      <c r="F722" s="4"/>
      <c r="G722" s="4"/>
      <c r="H722" s="4"/>
      <c r="I722" s="4"/>
      <c r="J722" s="4"/>
      <c r="K722" s="4"/>
      <c r="L722" s="4"/>
      <c r="M722" s="4"/>
      <c r="N722" s="4"/>
      <c r="O722" s="4"/>
      <c r="P722" s="4"/>
      <c r="Q722" s="4"/>
      <c r="R722" s="12"/>
      <c r="S722" s="12"/>
      <c r="T722" s="12"/>
      <c r="U722" s="12"/>
      <c r="V722" s="12"/>
      <c r="W722" s="12"/>
      <c r="X722" s="12"/>
      <c r="Y722" s="12"/>
      <c r="Z722" s="12"/>
      <c r="AA722" s="12"/>
      <c r="AB722" s="12"/>
      <c r="AC722" s="12"/>
      <c r="AD722" s="12"/>
    </row>
    <row r="723" spans="1:30" ht="13.5" customHeight="1">
      <c r="A723" s="4"/>
      <c r="B723" s="4"/>
      <c r="C723" s="4"/>
      <c r="D723" s="4"/>
      <c r="E723" s="4"/>
      <c r="F723" s="4"/>
      <c r="G723" s="4"/>
      <c r="H723" s="4"/>
      <c r="I723" s="4"/>
      <c r="J723" s="4"/>
      <c r="K723" s="4"/>
      <c r="L723" s="4"/>
      <c r="M723" s="4"/>
      <c r="N723" s="4"/>
      <c r="O723" s="4"/>
      <c r="P723" s="4"/>
      <c r="Q723" s="4"/>
      <c r="R723" s="12"/>
      <c r="S723" s="12"/>
      <c r="T723" s="12"/>
      <c r="U723" s="12"/>
      <c r="V723" s="12"/>
      <c r="W723" s="12"/>
      <c r="X723" s="12"/>
      <c r="Y723" s="12"/>
      <c r="Z723" s="12"/>
      <c r="AA723" s="12"/>
      <c r="AB723" s="12"/>
      <c r="AC723" s="12"/>
      <c r="AD723" s="12"/>
    </row>
    <row r="724" spans="1:30" ht="13.5" customHeight="1">
      <c r="A724" s="4"/>
      <c r="B724" s="4"/>
      <c r="C724" s="4"/>
      <c r="D724" s="4"/>
      <c r="E724" s="4"/>
      <c r="F724" s="4"/>
      <c r="G724" s="4"/>
      <c r="H724" s="4"/>
      <c r="I724" s="4"/>
      <c r="J724" s="4"/>
      <c r="K724" s="4"/>
      <c r="L724" s="4"/>
      <c r="M724" s="4"/>
      <c r="N724" s="4"/>
      <c r="O724" s="4"/>
      <c r="P724" s="4"/>
      <c r="Q724" s="4"/>
      <c r="R724" s="12"/>
      <c r="S724" s="12"/>
      <c r="T724" s="12"/>
      <c r="U724" s="12"/>
      <c r="V724" s="12"/>
      <c r="W724" s="12"/>
      <c r="X724" s="12"/>
      <c r="Y724" s="12"/>
      <c r="Z724" s="12"/>
      <c r="AA724" s="12"/>
      <c r="AB724" s="12"/>
      <c r="AC724" s="12"/>
      <c r="AD724" s="12"/>
    </row>
    <row r="725" spans="1:30" ht="13.5" customHeight="1">
      <c r="A725" s="4"/>
      <c r="B725" s="4"/>
      <c r="C725" s="4"/>
      <c r="D725" s="4"/>
      <c r="E725" s="4"/>
      <c r="F725" s="4"/>
      <c r="G725" s="4"/>
      <c r="H725" s="4"/>
      <c r="I725" s="4"/>
      <c r="J725" s="4"/>
      <c r="K725" s="4"/>
      <c r="L725" s="4"/>
      <c r="M725" s="4"/>
      <c r="N725" s="4"/>
      <c r="O725" s="4"/>
      <c r="P725" s="4"/>
      <c r="Q725" s="4"/>
      <c r="R725" s="12"/>
      <c r="S725" s="12"/>
      <c r="T725" s="12"/>
      <c r="U725" s="12"/>
      <c r="V725" s="12"/>
      <c r="W725" s="12"/>
      <c r="X725" s="12"/>
      <c r="Y725" s="12"/>
      <c r="Z725" s="12"/>
      <c r="AA725" s="12"/>
      <c r="AB725" s="12"/>
      <c r="AC725" s="12"/>
      <c r="AD725" s="12"/>
    </row>
    <row r="726" spans="1:30" ht="13.5" customHeight="1">
      <c r="A726" s="4"/>
      <c r="B726" s="4"/>
      <c r="C726" s="4"/>
      <c r="D726" s="4"/>
      <c r="E726" s="4"/>
      <c r="F726" s="4"/>
      <c r="G726" s="4"/>
      <c r="H726" s="4"/>
      <c r="I726" s="4"/>
      <c r="J726" s="4"/>
      <c r="K726" s="4"/>
      <c r="L726" s="4"/>
      <c r="M726" s="4"/>
      <c r="N726" s="4"/>
      <c r="O726" s="4"/>
      <c r="P726" s="4"/>
      <c r="Q726" s="4"/>
      <c r="R726" s="12"/>
      <c r="S726" s="12"/>
      <c r="T726" s="12"/>
      <c r="U726" s="12"/>
      <c r="V726" s="12"/>
      <c r="W726" s="12"/>
      <c r="X726" s="12"/>
      <c r="Y726" s="12"/>
      <c r="Z726" s="12"/>
      <c r="AA726" s="12"/>
      <c r="AB726" s="12"/>
      <c r="AC726" s="12"/>
      <c r="AD726" s="12"/>
    </row>
    <row r="727" spans="1:30" ht="13.5" customHeight="1">
      <c r="A727" s="4"/>
      <c r="B727" s="4"/>
      <c r="C727" s="4"/>
      <c r="D727" s="4"/>
      <c r="E727" s="4"/>
      <c r="F727" s="4"/>
      <c r="G727" s="4"/>
      <c r="H727" s="4"/>
      <c r="I727" s="4"/>
      <c r="J727" s="4"/>
      <c r="K727" s="4"/>
      <c r="L727" s="4"/>
      <c r="M727" s="4"/>
      <c r="N727" s="4"/>
      <c r="O727" s="4"/>
      <c r="P727" s="4"/>
      <c r="Q727" s="4"/>
      <c r="R727" s="12"/>
      <c r="S727" s="12"/>
      <c r="T727" s="12"/>
      <c r="U727" s="12"/>
      <c r="V727" s="12"/>
      <c r="W727" s="12"/>
      <c r="X727" s="12"/>
      <c r="Y727" s="12"/>
      <c r="Z727" s="12"/>
      <c r="AA727" s="12"/>
      <c r="AB727" s="12"/>
      <c r="AC727" s="12"/>
      <c r="AD727" s="12"/>
    </row>
    <row r="728" spans="1:30" ht="13.5" customHeight="1">
      <c r="A728" s="4"/>
      <c r="B728" s="4"/>
      <c r="C728" s="4"/>
      <c r="D728" s="4"/>
      <c r="E728" s="4"/>
      <c r="F728" s="4"/>
      <c r="G728" s="4"/>
      <c r="H728" s="4"/>
      <c r="I728" s="4"/>
      <c r="J728" s="4"/>
      <c r="K728" s="4"/>
      <c r="L728" s="4"/>
      <c r="M728" s="4"/>
      <c r="N728" s="4"/>
      <c r="O728" s="4"/>
      <c r="P728" s="4"/>
      <c r="Q728" s="4"/>
      <c r="R728" s="12"/>
      <c r="S728" s="12"/>
      <c r="T728" s="12"/>
      <c r="U728" s="12"/>
      <c r="V728" s="12"/>
      <c r="W728" s="12"/>
      <c r="X728" s="12"/>
      <c r="Y728" s="12"/>
      <c r="Z728" s="12"/>
      <c r="AA728" s="12"/>
      <c r="AB728" s="12"/>
      <c r="AC728" s="12"/>
      <c r="AD728" s="12"/>
    </row>
    <row r="729" spans="1:30" ht="13.5" customHeight="1">
      <c r="A729" s="4"/>
      <c r="B729" s="4"/>
      <c r="C729" s="4"/>
      <c r="D729" s="4"/>
      <c r="E729" s="4"/>
      <c r="F729" s="4"/>
      <c r="G729" s="4"/>
      <c r="H729" s="4"/>
      <c r="I729" s="4"/>
      <c r="J729" s="4"/>
      <c r="K729" s="4"/>
      <c r="L729" s="4"/>
      <c r="M729" s="4"/>
      <c r="N729" s="4"/>
      <c r="O729" s="4"/>
      <c r="P729" s="4"/>
      <c r="Q729" s="4"/>
      <c r="R729" s="12"/>
      <c r="S729" s="12"/>
      <c r="T729" s="12"/>
      <c r="U729" s="12"/>
      <c r="V729" s="12"/>
      <c r="W729" s="12"/>
      <c r="X729" s="12"/>
      <c r="Y729" s="12"/>
      <c r="Z729" s="12"/>
      <c r="AA729" s="12"/>
      <c r="AB729" s="12"/>
      <c r="AC729" s="12"/>
      <c r="AD729" s="12"/>
    </row>
    <row r="730" spans="1:30" ht="13.5" customHeight="1">
      <c r="A730" s="4"/>
      <c r="B730" s="4"/>
      <c r="C730" s="4"/>
      <c r="D730" s="4"/>
      <c r="E730" s="4"/>
      <c r="F730" s="4"/>
      <c r="G730" s="4"/>
      <c r="H730" s="4"/>
      <c r="I730" s="4"/>
      <c r="J730" s="4"/>
      <c r="K730" s="4"/>
      <c r="L730" s="4"/>
      <c r="M730" s="4"/>
      <c r="N730" s="4"/>
      <c r="O730" s="4"/>
      <c r="P730" s="4"/>
      <c r="Q730" s="4"/>
      <c r="R730" s="12"/>
      <c r="S730" s="12"/>
      <c r="T730" s="12"/>
      <c r="U730" s="12"/>
      <c r="V730" s="12"/>
      <c r="W730" s="12"/>
      <c r="X730" s="12"/>
      <c r="Y730" s="12"/>
      <c r="Z730" s="12"/>
      <c r="AA730" s="12"/>
      <c r="AB730" s="12"/>
      <c r="AC730" s="12"/>
      <c r="AD730" s="12"/>
    </row>
    <row r="731" spans="1:30" ht="13.5" customHeight="1">
      <c r="A731" s="4"/>
      <c r="B731" s="4"/>
      <c r="C731" s="4"/>
      <c r="D731" s="4"/>
      <c r="E731" s="4"/>
      <c r="F731" s="4"/>
      <c r="G731" s="4"/>
      <c r="H731" s="4"/>
      <c r="I731" s="4"/>
      <c r="J731" s="4"/>
      <c r="K731" s="4"/>
      <c r="L731" s="4"/>
      <c r="M731" s="4"/>
      <c r="N731" s="4"/>
      <c r="O731" s="4"/>
      <c r="P731" s="4"/>
      <c r="Q731" s="4"/>
      <c r="R731" s="12"/>
      <c r="S731" s="12"/>
      <c r="T731" s="12"/>
      <c r="U731" s="12"/>
      <c r="V731" s="12"/>
      <c r="W731" s="12"/>
      <c r="X731" s="12"/>
      <c r="Y731" s="12"/>
      <c r="Z731" s="12"/>
      <c r="AA731" s="12"/>
      <c r="AB731" s="12"/>
      <c r="AC731" s="12"/>
      <c r="AD731" s="12"/>
    </row>
    <row r="732" spans="1:30" ht="13.5" customHeight="1">
      <c r="A732" s="4"/>
      <c r="B732" s="4"/>
      <c r="C732" s="4"/>
      <c r="D732" s="4"/>
      <c r="E732" s="4"/>
      <c r="F732" s="4"/>
      <c r="G732" s="4"/>
      <c r="H732" s="4"/>
      <c r="I732" s="4"/>
      <c r="J732" s="4"/>
      <c r="K732" s="4"/>
      <c r="L732" s="4"/>
      <c r="M732" s="4"/>
      <c r="N732" s="4"/>
      <c r="O732" s="4"/>
      <c r="P732" s="4"/>
      <c r="Q732" s="4"/>
      <c r="R732" s="12"/>
      <c r="S732" s="12"/>
      <c r="T732" s="12"/>
      <c r="U732" s="12"/>
      <c r="V732" s="12"/>
      <c r="W732" s="12"/>
      <c r="X732" s="12"/>
      <c r="Y732" s="12"/>
      <c r="Z732" s="12"/>
      <c r="AA732" s="12"/>
      <c r="AB732" s="12"/>
      <c r="AC732" s="12"/>
      <c r="AD732" s="12"/>
    </row>
    <row r="733" spans="1:30" ht="13.5" customHeight="1">
      <c r="A733" s="4"/>
      <c r="B733" s="4"/>
      <c r="C733" s="4"/>
      <c r="D733" s="4"/>
      <c r="E733" s="4"/>
      <c r="F733" s="4"/>
      <c r="G733" s="4"/>
      <c r="H733" s="4"/>
      <c r="I733" s="4"/>
      <c r="J733" s="4"/>
      <c r="K733" s="4"/>
      <c r="L733" s="4"/>
      <c r="M733" s="4"/>
      <c r="N733" s="4"/>
      <c r="O733" s="4"/>
      <c r="P733" s="4"/>
      <c r="Q733" s="4"/>
      <c r="R733" s="12"/>
      <c r="S733" s="12"/>
      <c r="T733" s="12"/>
      <c r="U733" s="12"/>
      <c r="V733" s="12"/>
      <c r="W733" s="12"/>
      <c r="X733" s="12"/>
      <c r="Y733" s="12"/>
      <c r="Z733" s="12"/>
      <c r="AA733" s="12"/>
      <c r="AB733" s="12"/>
      <c r="AC733" s="12"/>
      <c r="AD733" s="12"/>
    </row>
    <row r="734" spans="1:30" ht="13.5" customHeight="1">
      <c r="A734" s="4"/>
      <c r="B734" s="4"/>
      <c r="C734" s="4"/>
      <c r="D734" s="4"/>
      <c r="E734" s="4"/>
      <c r="F734" s="4"/>
      <c r="G734" s="4"/>
      <c r="H734" s="4"/>
      <c r="I734" s="4"/>
      <c r="J734" s="4"/>
      <c r="K734" s="4"/>
      <c r="L734" s="4"/>
      <c r="M734" s="4"/>
      <c r="N734" s="4"/>
      <c r="O734" s="4"/>
      <c r="P734" s="4"/>
      <c r="Q734" s="4"/>
      <c r="R734" s="12"/>
      <c r="S734" s="12"/>
      <c r="T734" s="12"/>
      <c r="U734" s="12"/>
      <c r="V734" s="12"/>
      <c r="W734" s="12"/>
      <c r="X734" s="12"/>
      <c r="Y734" s="12"/>
      <c r="Z734" s="12"/>
      <c r="AA734" s="12"/>
      <c r="AB734" s="12"/>
      <c r="AC734" s="12"/>
      <c r="AD734" s="12"/>
    </row>
    <row r="735" spans="1:30" ht="13.5" customHeight="1">
      <c r="A735" s="4"/>
      <c r="B735" s="4"/>
      <c r="C735" s="4"/>
      <c r="D735" s="4"/>
      <c r="E735" s="4"/>
      <c r="F735" s="4"/>
      <c r="G735" s="4"/>
      <c r="H735" s="4"/>
      <c r="I735" s="4"/>
      <c r="J735" s="4"/>
      <c r="K735" s="4"/>
      <c r="L735" s="4"/>
      <c r="M735" s="4"/>
      <c r="N735" s="4"/>
      <c r="O735" s="4"/>
      <c r="P735" s="4"/>
      <c r="Q735" s="4"/>
      <c r="R735" s="12"/>
      <c r="S735" s="12"/>
      <c r="T735" s="12"/>
      <c r="U735" s="12"/>
      <c r="V735" s="12"/>
      <c r="W735" s="12"/>
      <c r="X735" s="12"/>
      <c r="Y735" s="12"/>
      <c r="Z735" s="12"/>
      <c r="AA735" s="12"/>
      <c r="AB735" s="12"/>
      <c r="AC735" s="12"/>
      <c r="AD735" s="12"/>
    </row>
    <row r="736" spans="1:30" ht="13.5" customHeight="1">
      <c r="A736" s="4"/>
      <c r="B736" s="4"/>
      <c r="C736" s="4"/>
      <c r="D736" s="4"/>
      <c r="E736" s="4"/>
      <c r="F736" s="4"/>
      <c r="G736" s="4"/>
      <c r="H736" s="4"/>
      <c r="I736" s="4"/>
      <c r="J736" s="4"/>
      <c r="K736" s="4"/>
      <c r="L736" s="4"/>
      <c r="M736" s="4"/>
      <c r="N736" s="4"/>
      <c r="O736" s="4"/>
      <c r="P736" s="4"/>
      <c r="Q736" s="4"/>
      <c r="R736" s="12"/>
      <c r="S736" s="12"/>
      <c r="T736" s="12"/>
      <c r="U736" s="12"/>
      <c r="V736" s="12"/>
      <c r="W736" s="12"/>
      <c r="X736" s="12"/>
      <c r="Y736" s="12"/>
      <c r="Z736" s="12"/>
      <c r="AA736" s="12"/>
      <c r="AB736" s="12"/>
      <c r="AC736" s="12"/>
      <c r="AD736" s="12"/>
    </row>
    <row r="737" spans="1:30" ht="13.5" customHeight="1">
      <c r="A737" s="4"/>
      <c r="B737" s="4"/>
      <c r="C737" s="4"/>
      <c r="D737" s="4"/>
      <c r="E737" s="4"/>
      <c r="F737" s="4"/>
      <c r="G737" s="4"/>
      <c r="H737" s="4"/>
      <c r="I737" s="4"/>
      <c r="J737" s="4"/>
      <c r="K737" s="4"/>
      <c r="L737" s="4"/>
      <c r="M737" s="4"/>
      <c r="N737" s="4"/>
      <c r="O737" s="4"/>
      <c r="P737" s="4"/>
      <c r="Q737" s="4"/>
      <c r="R737" s="12"/>
      <c r="S737" s="12"/>
      <c r="T737" s="12"/>
      <c r="U737" s="12"/>
      <c r="V737" s="12"/>
      <c r="W737" s="12"/>
      <c r="X737" s="12"/>
      <c r="Y737" s="12"/>
      <c r="Z737" s="12"/>
      <c r="AA737" s="12"/>
      <c r="AB737" s="12"/>
      <c r="AC737" s="12"/>
      <c r="AD737" s="12"/>
    </row>
    <row r="738" spans="1:30" ht="13.5" customHeight="1">
      <c r="A738" s="4"/>
      <c r="B738" s="4"/>
      <c r="C738" s="4"/>
      <c r="D738" s="4"/>
      <c r="E738" s="4"/>
      <c r="F738" s="4"/>
      <c r="G738" s="4"/>
      <c r="H738" s="4"/>
      <c r="I738" s="4"/>
      <c r="J738" s="4"/>
      <c r="K738" s="4"/>
      <c r="L738" s="4"/>
      <c r="M738" s="4"/>
      <c r="N738" s="4"/>
      <c r="O738" s="4"/>
      <c r="P738" s="4"/>
      <c r="Q738" s="4"/>
      <c r="R738" s="12"/>
      <c r="S738" s="12"/>
      <c r="T738" s="12"/>
      <c r="U738" s="12"/>
      <c r="V738" s="12"/>
      <c r="W738" s="12"/>
      <c r="X738" s="12"/>
      <c r="Y738" s="12"/>
      <c r="Z738" s="12"/>
      <c r="AA738" s="12"/>
      <c r="AB738" s="12"/>
      <c r="AC738" s="12"/>
      <c r="AD738" s="12"/>
    </row>
    <row r="739" spans="1:30" ht="13.5" customHeight="1">
      <c r="A739" s="4"/>
      <c r="B739" s="4"/>
      <c r="C739" s="4"/>
      <c r="D739" s="4"/>
      <c r="E739" s="4"/>
      <c r="F739" s="4"/>
      <c r="G739" s="4"/>
      <c r="H739" s="4"/>
      <c r="I739" s="4"/>
      <c r="J739" s="4"/>
      <c r="K739" s="4"/>
      <c r="L739" s="4"/>
      <c r="M739" s="4"/>
      <c r="N739" s="4"/>
      <c r="O739" s="4"/>
      <c r="P739" s="4"/>
      <c r="Q739" s="4"/>
      <c r="R739" s="12"/>
      <c r="S739" s="12"/>
      <c r="T739" s="12"/>
      <c r="U739" s="12"/>
      <c r="V739" s="12"/>
      <c r="W739" s="12"/>
      <c r="X739" s="12"/>
      <c r="Y739" s="12"/>
      <c r="Z739" s="12"/>
      <c r="AA739" s="12"/>
      <c r="AB739" s="12"/>
      <c r="AC739" s="12"/>
      <c r="AD739" s="12"/>
    </row>
    <row r="740" spans="1:30" ht="13.5" customHeight="1">
      <c r="A740" s="4"/>
      <c r="B740" s="4"/>
      <c r="C740" s="4"/>
      <c r="D740" s="4"/>
      <c r="E740" s="4"/>
      <c r="F740" s="4"/>
      <c r="G740" s="4"/>
      <c r="H740" s="4"/>
      <c r="I740" s="4"/>
      <c r="J740" s="4"/>
      <c r="K740" s="4"/>
      <c r="L740" s="4"/>
      <c r="M740" s="4"/>
      <c r="N740" s="4"/>
      <c r="O740" s="4"/>
      <c r="P740" s="4"/>
      <c r="Q740" s="4"/>
      <c r="R740" s="12"/>
      <c r="S740" s="12"/>
      <c r="T740" s="12"/>
      <c r="U740" s="12"/>
      <c r="V740" s="12"/>
      <c r="W740" s="12"/>
      <c r="X740" s="12"/>
      <c r="Y740" s="12"/>
      <c r="Z740" s="12"/>
      <c r="AA740" s="12"/>
      <c r="AB740" s="12"/>
      <c r="AC740" s="12"/>
      <c r="AD740" s="12"/>
    </row>
    <row r="741" spans="1:30" ht="13.5" customHeight="1">
      <c r="A741" s="4"/>
      <c r="B741" s="4"/>
      <c r="C741" s="4"/>
      <c r="D741" s="4"/>
      <c r="E741" s="4"/>
      <c r="F741" s="4"/>
      <c r="G741" s="4"/>
      <c r="H741" s="4"/>
      <c r="I741" s="4"/>
      <c r="J741" s="4"/>
      <c r="K741" s="4"/>
      <c r="L741" s="4"/>
      <c r="M741" s="4"/>
      <c r="N741" s="4"/>
      <c r="O741" s="4"/>
      <c r="P741" s="4"/>
      <c r="Q741" s="4"/>
      <c r="R741" s="12"/>
      <c r="S741" s="12"/>
      <c r="T741" s="12"/>
      <c r="U741" s="12"/>
      <c r="V741" s="12"/>
      <c r="W741" s="12"/>
      <c r="X741" s="12"/>
      <c r="Y741" s="12"/>
      <c r="Z741" s="12"/>
      <c r="AA741" s="12"/>
      <c r="AB741" s="12"/>
      <c r="AC741" s="12"/>
      <c r="AD741" s="12"/>
    </row>
    <row r="742" spans="1:30" ht="13.5" customHeight="1">
      <c r="A742" s="4"/>
      <c r="B742" s="4"/>
      <c r="C742" s="4"/>
      <c r="D742" s="4"/>
      <c r="E742" s="4"/>
      <c r="F742" s="4"/>
      <c r="G742" s="4"/>
      <c r="H742" s="4"/>
      <c r="I742" s="4"/>
      <c r="J742" s="4"/>
      <c r="K742" s="4"/>
      <c r="L742" s="4"/>
      <c r="M742" s="4"/>
      <c r="N742" s="4"/>
      <c r="O742" s="4"/>
      <c r="P742" s="4"/>
      <c r="Q742" s="4"/>
      <c r="R742" s="12"/>
      <c r="S742" s="12"/>
      <c r="T742" s="12"/>
      <c r="U742" s="12"/>
      <c r="V742" s="12"/>
      <c r="W742" s="12"/>
      <c r="X742" s="12"/>
      <c r="Y742" s="12"/>
      <c r="Z742" s="12"/>
      <c r="AA742" s="12"/>
      <c r="AB742" s="12"/>
      <c r="AC742" s="12"/>
      <c r="AD742" s="12"/>
    </row>
    <row r="743" spans="1:30" ht="13.5" customHeight="1">
      <c r="A743" s="4"/>
      <c r="B743" s="4"/>
      <c r="C743" s="4"/>
      <c r="D743" s="4"/>
      <c r="E743" s="4"/>
      <c r="F743" s="4"/>
      <c r="G743" s="4"/>
      <c r="H743" s="4"/>
      <c r="I743" s="4"/>
      <c r="J743" s="4"/>
      <c r="K743" s="4"/>
      <c r="L743" s="4"/>
      <c r="M743" s="4"/>
      <c r="N743" s="4"/>
      <c r="O743" s="4"/>
      <c r="P743" s="4"/>
      <c r="Q743" s="4"/>
      <c r="R743" s="12"/>
      <c r="S743" s="12"/>
      <c r="T743" s="12"/>
      <c r="U743" s="12"/>
      <c r="V743" s="12"/>
      <c r="W743" s="12"/>
      <c r="X743" s="12"/>
      <c r="Y743" s="12"/>
      <c r="Z743" s="12"/>
      <c r="AA743" s="12"/>
      <c r="AB743" s="12"/>
      <c r="AC743" s="12"/>
      <c r="AD743" s="12"/>
    </row>
    <row r="744" spans="1:30" ht="13.5" customHeight="1">
      <c r="A744" s="4"/>
      <c r="B744" s="4"/>
      <c r="C744" s="4"/>
      <c r="D744" s="4"/>
      <c r="E744" s="4"/>
      <c r="F744" s="4"/>
      <c r="G744" s="4"/>
      <c r="H744" s="4"/>
      <c r="I744" s="4"/>
      <c r="J744" s="4"/>
      <c r="K744" s="4"/>
      <c r="L744" s="4"/>
      <c r="M744" s="4"/>
      <c r="N744" s="4"/>
      <c r="O744" s="4"/>
      <c r="P744" s="4"/>
      <c r="Q744" s="4"/>
      <c r="R744" s="12"/>
      <c r="S744" s="12"/>
      <c r="T744" s="12"/>
      <c r="U744" s="12"/>
      <c r="V744" s="12"/>
      <c r="W744" s="12"/>
      <c r="X744" s="12"/>
      <c r="Y744" s="12"/>
      <c r="Z744" s="12"/>
      <c r="AA744" s="12"/>
      <c r="AB744" s="12"/>
      <c r="AC744" s="12"/>
      <c r="AD744" s="12"/>
    </row>
    <row r="745" spans="1:30" ht="13.5" customHeight="1">
      <c r="A745" s="4"/>
      <c r="B745" s="4"/>
      <c r="C745" s="4"/>
      <c r="D745" s="4"/>
      <c r="E745" s="4"/>
      <c r="F745" s="4"/>
      <c r="G745" s="4"/>
      <c r="H745" s="4"/>
      <c r="I745" s="4"/>
      <c r="J745" s="4"/>
      <c r="K745" s="4"/>
      <c r="L745" s="4"/>
      <c r="M745" s="4"/>
      <c r="N745" s="4"/>
      <c r="O745" s="4"/>
      <c r="P745" s="4"/>
      <c r="Q745" s="4"/>
      <c r="R745" s="12"/>
      <c r="S745" s="12"/>
      <c r="T745" s="12"/>
      <c r="U745" s="12"/>
      <c r="V745" s="12"/>
      <c r="W745" s="12"/>
      <c r="X745" s="12"/>
      <c r="Y745" s="12"/>
      <c r="Z745" s="12"/>
      <c r="AA745" s="12"/>
      <c r="AB745" s="12"/>
      <c r="AC745" s="12"/>
      <c r="AD745" s="12"/>
    </row>
    <row r="746" spans="1:30" ht="13.5" customHeight="1">
      <c r="A746" s="4"/>
      <c r="B746" s="4"/>
      <c r="C746" s="4"/>
      <c r="D746" s="4"/>
      <c r="E746" s="4"/>
      <c r="F746" s="4"/>
      <c r="G746" s="4"/>
      <c r="H746" s="4"/>
      <c r="I746" s="4"/>
      <c r="J746" s="4"/>
      <c r="K746" s="4"/>
      <c r="L746" s="4"/>
      <c r="M746" s="4"/>
      <c r="N746" s="4"/>
      <c r="O746" s="4"/>
      <c r="P746" s="4"/>
      <c r="Q746" s="4"/>
      <c r="R746" s="12"/>
      <c r="S746" s="12"/>
      <c r="T746" s="12"/>
      <c r="U746" s="12"/>
      <c r="V746" s="12"/>
      <c r="W746" s="12"/>
      <c r="X746" s="12"/>
      <c r="Y746" s="12"/>
      <c r="Z746" s="12"/>
      <c r="AA746" s="12"/>
      <c r="AB746" s="12"/>
      <c r="AC746" s="12"/>
      <c r="AD746" s="12"/>
    </row>
    <row r="747" spans="1:30" ht="13.5" customHeight="1">
      <c r="A747" s="4"/>
      <c r="B747" s="4"/>
      <c r="C747" s="4"/>
      <c r="D747" s="4"/>
      <c r="E747" s="4"/>
      <c r="F747" s="4"/>
      <c r="G747" s="4"/>
      <c r="H747" s="4"/>
      <c r="I747" s="4"/>
      <c r="J747" s="4"/>
      <c r="K747" s="4"/>
      <c r="L747" s="4"/>
      <c r="M747" s="4"/>
      <c r="N747" s="4"/>
      <c r="O747" s="4"/>
      <c r="P747" s="4"/>
      <c r="Q747" s="4"/>
      <c r="R747" s="12"/>
      <c r="S747" s="12"/>
      <c r="T747" s="12"/>
      <c r="U747" s="12"/>
      <c r="V747" s="12"/>
      <c r="W747" s="12"/>
      <c r="X747" s="12"/>
      <c r="Y747" s="12"/>
      <c r="Z747" s="12"/>
      <c r="AA747" s="12"/>
      <c r="AB747" s="12"/>
      <c r="AC747" s="12"/>
      <c r="AD747" s="12"/>
    </row>
    <row r="748" spans="1:30" ht="13.5" customHeight="1">
      <c r="A748" s="4"/>
      <c r="B748" s="4"/>
      <c r="C748" s="4"/>
      <c r="D748" s="4"/>
      <c r="E748" s="4"/>
      <c r="F748" s="4"/>
      <c r="G748" s="4"/>
      <c r="H748" s="4"/>
      <c r="I748" s="4"/>
      <c r="J748" s="4"/>
      <c r="K748" s="4"/>
      <c r="L748" s="4"/>
      <c r="M748" s="4"/>
      <c r="N748" s="4"/>
      <c r="O748" s="4"/>
      <c r="P748" s="4"/>
      <c r="Q748" s="4"/>
      <c r="R748" s="12"/>
      <c r="S748" s="12"/>
      <c r="T748" s="12"/>
      <c r="U748" s="12"/>
      <c r="V748" s="12"/>
      <c r="W748" s="12"/>
      <c r="X748" s="12"/>
      <c r="Y748" s="12"/>
      <c r="Z748" s="12"/>
      <c r="AA748" s="12"/>
      <c r="AB748" s="12"/>
      <c r="AC748" s="12"/>
      <c r="AD748" s="12"/>
    </row>
    <row r="749" spans="1:30" ht="13.5" customHeight="1">
      <c r="A749" s="4"/>
      <c r="B749" s="4"/>
      <c r="C749" s="4"/>
      <c r="D749" s="4"/>
      <c r="E749" s="4"/>
      <c r="F749" s="4"/>
      <c r="G749" s="4"/>
      <c r="H749" s="4"/>
      <c r="I749" s="4"/>
      <c r="J749" s="4"/>
      <c r="K749" s="4"/>
      <c r="L749" s="4"/>
      <c r="M749" s="4"/>
      <c r="N749" s="4"/>
      <c r="O749" s="4"/>
      <c r="P749" s="4"/>
      <c r="Q749" s="4"/>
      <c r="R749" s="12"/>
      <c r="S749" s="12"/>
      <c r="T749" s="12"/>
      <c r="U749" s="12"/>
      <c r="V749" s="12"/>
      <c r="W749" s="12"/>
      <c r="X749" s="12"/>
      <c r="Y749" s="12"/>
      <c r="Z749" s="12"/>
      <c r="AA749" s="12"/>
      <c r="AB749" s="12"/>
      <c r="AC749" s="12"/>
      <c r="AD749" s="12"/>
    </row>
    <row r="750" spans="1:30" ht="13.5" customHeight="1">
      <c r="A750" s="4"/>
      <c r="B750" s="4"/>
      <c r="C750" s="4"/>
      <c r="D750" s="4"/>
      <c r="E750" s="4"/>
      <c r="F750" s="4"/>
      <c r="G750" s="4"/>
      <c r="H750" s="4"/>
      <c r="I750" s="4"/>
      <c r="J750" s="4"/>
      <c r="K750" s="4"/>
      <c r="L750" s="4"/>
      <c r="M750" s="4"/>
      <c r="N750" s="4"/>
      <c r="O750" s="4"/>
      <c r="P750" s="4"/>
      <c r="Q750" s="4"/>
      <c r="R750" s="12"/>
      <c r="S750" s="12"/>
      <c r="T750" s="12"/>
      <c r="U750" s="12"/>
      <c r="V750" s="12"/>
      <c r="W750" s="12"/>
      <c r="X750" s="12"/>
      <c r="Y750" s="12"/>
      <c r="Z750" s="12"/>
      <c r="AA750" s="12"/>
      <c r="AB750" s="12"/>
      <c r="AC750" s="12"/>
      <c r="AD750" s="12"/>
    </row>
    <row r="751" spans="1:30" ht="13.5" customHeight="1">
      <c r="A751" s="4"/>
      <c r="B751" s="4"/>
      <c r="C751" s="4"/>
      <c r="D751" s="4"/>
      <c r="E751" s="4"/>
      <c r="F751" s="4"/>
      <c r="G751" s="4"/>
      <c r="H751" s="4"/>
      <c r="I751" s="4"/>
      <c r="J751" s="4"/>
      <c r="K751" s="4"/>
      <c r="L751" s="4"/>
      <c r="M751" s="4"/>
      <c r="N751" s="4"/>
      <c r="O751" s="4"/>
      <c r="P751" s="4"/>
      <c r="Q751" s="4"/>
      <c r="R751" s="12"/>
      <c r="S751" s="12"/>
      <c r="T751" s="12"/>
      <c r="U751" s="12"/>
      <c r="V751" s="12"/>
      <c r="W751" s="12"/>
      <c r="X751" s="12"/>
      <c r="Y751" s="12"/>
      <c r="Z751" s="12"/>
      <c r="AA751" s="12"/>
      <c r="AB751" s="12"/>
      <c r="AC751" s="12"/>
      <c r="AD751" s="12"/>
    </row>
    <row r="752" spans="1:30" ht="13.5" customHeight="1">
      <c r="A752" s="4"/>
      <c r="B752" s="4"/>
      <c r="C752" s="4"/>
      <c r="D752" s="4"/>
      <c r="E752" s="4"/>
      <c r="F752" s="4"/>
      <c r="G752" s="4"/>
      <c r="H752" s="4"/>
      <c r="I752" s="4"/>
      <c r="J752" s="4"/>
      <c r="K752" s="4"/>
      <c r="L752" s="4"/>
      <c r="M752" s="4"/>
      <c r="N752" s="4"/>
      <c r="O752" s="4"/>
      <c r="P752" s="4"/>
      <c r="Q752" s="4"/>
      <c r="R752" s="12"/>
      <c r="S752" s="12"/>
      <c r="T752" s="12"/>
      <c r="U752" s="12"/>
      <c r="V752" s="12"/>
      <c r="W752" s="12"/>
      <c r="X752" s="12"/>
      <c r="Y752" s="12"/>
      <c r="Z752" s="12"/>
      <c r="AA752" s="12"/>
      <c r="AB752" s="12"/>
      <c r="AC752" s="12"/>
      <c r="AD752" s="12"/>
    </row>
    <row r="753" spans="1:30" ht="13.5" customHeight="1">
      <c r="A753" s="4"/>
      <c r="B753" s="4"/>
      <c r="C753" s="4"/>
      <c r="D753" s="4"/>
      <c r="E753" s="4"/>
      <c r="F753" s="4"/>
      <c r="G753" s="4"/>
      <c r="H753" s="4"/>
      <c r="I753" s="4"/>
      <c r="J753" s="4"/>
      <c r="K753" s="4"/>
      <c r="L753" s="4"/>
      <c r="M753" s="4"/>
      <c r="N753" s="4"/>
      <c r="O753" s="4"/>
      <c r="P753" s="4"/>
      <c r="Q753" s="4"/>
      <c r="R753" s="12"/>
      <c r="S753" s="12"/>
      <c r="T753" s="12"/>
      <c r="U753" s="12"/>
      <c r="V753" s="12"/>
      <c r="W753" s="12"/>
      <c r="X753" s="12"/>
      <c r="Y753" s="12"/>
      <c r="Z753" s="12"/>
      <c r="AA753" s="12"/>
      <c r="AB753" s="12"/>
      <c r="AC753" s="12"/>
      <c r="AD753" s="12"/>
    </row>
    <row r="754" spans="1:30" ht="13.5" customHeight="1">
      <c r="A754" s="4"/>
      <c r="B754" s="4"/>
      <c r="C754" s="4"/>
      <c r="D754" s="4"/>
      <c r="E754" s="4"/>
      <c r="F754" s="4"/>
      <c r="G754" s="4"/>
      <c r="H754" s="4"/>
      <c r="I754" s="4"/>
      <c r="J754" s="4"/>
      <c r="K754" s="4"/>
      <c r="L754" s="4"/>
      <c r="M754" s="4"/>
      <c r="N754" s="4"/>
      <c r="O754" s="4"/>
      <c r="P754" s="4"/>
      <c r="Q754" s="4"/>
      <c r="R754" s="12"/>
      <c r="S754" s="12"/>
      <c r="T754" s="12"/>
      <c r="U754" s="12"/>
      <c r="V754" s="12"/>
      <c r="W754" s="12"/>
      <c r="X754" s="12"/>
      <c r="Y754" s="12"/>
      <c r="Z754" s="12"/>
      <c r="AA754" s="12"/>
      <c r="AB754" s="12"/>
      <c r="AC754" s="12"/>
      <c r="AD754" s="12"/>
    </row>
    <row r="755" spans="1:30" ht="13.5" customHeight="1">
      <c r="A755" s="4"/>
      <c r="B755" s="4"/>
      <c r="C755" s="4"/>
      <c r="D755" s="4"/>
      <c r="E755" s="4"/>
      <c r="F755" s="4"/>
      <c r="G755" s="4"/>
      <c r="H755" s="4"/>
      <c r="I755" s="4"/>
      <c r="J755" s="4"/>
      <c r="K755" s="4"/>
      <c r="L755" s="4"/>
      <c r="M755" s="4"/>
      <c r="N755" s="4"/>
      <c r="O755" s="4"/>
      <c r="P755" s="4"/>
      <c r="Q755" s="4"/>
      <c r="R755" s="12"/>
      <c r="S755" s="12"/>
      <c r="T755" s="12"/>
      <c r="U755" s="12"/>
      <c r="V755" s="12"/>
      <c r="W755" s="12"/>
      <c r="X755" s="12"/>
      <c r="Y755" s="12"/>
      <c r="Z755" s="12"/>
      <c r="AA755" s="12"/>
      <c r="AB755" s="12"/>
      <c r="AC755" s="12"/>
      <c r="AD755" s="12"/>
    </row>
    <row r="756" spans="1:30" ht="13.5" customHeight="1">
      <c r="A756" s="4"/>
      <c r="B756" s="4"/>
      <c r="C756" s="4"/>
      <c r="D756" s="4"/>
      <c r="E756" s="4"/>
      <c r="F756" s="4"/>
      <c r="G756" s="4"/>
      <c r="H756" s="4"/>
      <c r="I756" s="4"/>
      <c r="J756" s="4"/>
      <c r="K756" s="4"/>
      <c r="L756" s="4"/>
      <c r="M756" s="4"/>
      <c r="N756" s="4"/>
      <c r="O756" s="4"/>
      <c r="P756" s="4"/>
      <c r="Q756" s="4"/>
      <c r="R756" s="12"/>
      <c r="S756" s="12"/>
      <c r="T756" s="12"/>
      <c r="U756" s="12"/>
      <c r="V756" s="12"/>
      <c r="W756" s="12"/>
      <c r="X756" s="12"/>
      <c r="Y756" s="12"/>
      <c r="Z756" s="12"/>
      <c r="AA756" s="12"/>
      <c r="AB756" s="12"/>
      <c r="AC756" s="12"/>
      <c r="AD756" s="12"/>
    </row>
    <row r="757" spans="1:30" ht="13.5" customHeight="1">
      <c r="A757" s="4"/>
      <c r="B757" s="4"/>
      <c r="C757" s="4"/>
      <c r="D757" s="4"/>
      <c r="E757" s="4"/>
      <c r="F757" s="4"/>
      <c r="G757" s="4"/>
      <c r="H757" s="4"/>
      <c r="I757" s="4"/>
      <c r="J757" s="4"/>
      <c r="K757" s="4"/>
      <c r="L757" s="4"/>
      <c r="M757" s="4"/>
      <c r="N757" s="4"/>
      <c r="O757" s="4"/>
      <c r="P757" s="4"/>
      <c r="Q757" s="4"/>
      <c r="R757" s="12"/>
      <c r="S757" s="12"/>
      <c r="T757" s="12"/>
      <c r="U757" s="12"/>
      <c r="V757" s="12"/>
      <c r="W757" s="12"/>
      <c r="X757" s="12"/>
      <c r="Y757" s="12"/>
      <c r="Z757" s="12"/>
      <c r="AA757" s="12"/>
      <c r="AB757" s="12"/>
      <c r="AC757" s="12"/>
      <c r="AD757" s="12"/>
    </row>
    <row r="758" spans="1:30" ht="13.5" customHeight="1">
      <c r="A758" s="4"/>
      <c r="B758" s="4"/>
      <c r="C758" s="4"/>
      <c r="D758" s="4"/>
      <c r="E758" s="4"/>
      <c r="F758" s="4"/>
      <c r="G758" s="4"/>
      <c r="H758" s="4"/>
      <c r="I758" s="4"/>
      <c r="J758" s="4"/>
      <c r="K758" s="4"/>
      <c r="L758" s="4"/>
      <c r="M758" s="4"/>
      <c r="N758" s="4"/>
      <c r="O758" s="4"/>
      <c r="P758" s="4"/>
      <c r="Q758" s="4"/>
      <c r="R758" s="12"/>
      <c r="S758" s="12"/>
      <c r="T758" s="12"/>
      <c r="U758" s="12"/>
      <c r="V758" s="12"/>
      <c r="W758" s="12"/>
      <c r="X758" s="12"/>
      <c r="Y758" s="12"/>
      <c r="Z758" s="12"/>
      <c r="AA758" s="12"/>
      <c r="AB758" s="12"/>
      <c r="AC758" s="12"/>
      <c r="AD758" s="12"/>
    </row>
    <row r="759" spans="1:30" ht="13.5" customHeight="1">
      <c r="A759" s="4"/>
      <c r="B759" s="4"/>
      <c r="C759" s="4"/>
      <c r="D759" s="4"/>
      <c r="E759" s="4"/>
      <c r="F759" s="4"/>
      <c r="G759" s="4"/>
      <c r="H759" s="4"/>
      <c r="I759" s="4"/>
      <c r="J759" s="4"/>
      <c r="K759" s="4"/>
      <c r="L759" s="4"/>
      <c r="M759" s="4"/>
      <c r="N759" s="4"/>
      <c r="O759" s="4"/>
      <c r="P759" s="4"/>
      <c r="Q759" s="4"/>
      <c r="R759" s="12"/>
      <c r="S759" s="12"/>
      <c r="T759" s="12"/>
      <c r="U759" s="12"/>
      <c r="V759" s="12"/>
      <c r="W759" s="12"/>
      <c r="X759" s="12"/>
      <c r="Y759" s="12"/>
      <c r="Z759" s="12"/>
      <c r="AA759" s="12"/>
      <c r="AB759" s="12"/>
      <c r="AC759" s="12"/>
      <c r="AD759" s="12"/>
    </row>
    <row r="760" spans="1:30" ht="13.5" customHeight="1">
      <c r="A760" s="4"/>
      <c r="B760" s="4"/>
      <c r="C760" s="4"/>
      <c r="D760" s="4"/>
      <c r="E760" s="4"/>
      <c r="F760" s="4"/>
      <c r="G760" s="4"/>
      <c r="H760" s="4"/>
      <c r="I760" s="4"/>
      <c r="J760" s="4"/>
      <c r="K760" s="4"/>
      <c r="L760" s="4"/>
      <c r="M760" s="4"/>
      <c r="N760" s="4"/>
      <c r="O760" s="4"/>
      <c r="P760" s="4"/>
      <c r="Q760" s="4"/>
      <c r="R760" s="12"/>
      <c r="S760" s="12"/>
      <c r="T760" s="12"/>
      <c r="U760" s="12"/>
      <c r="V760" s="12"/>
      <c r="W760" s="12"/>
      <c r="X760" s="12"/>
      <c r="Y760" s="12"/>
      <c r="Z760" s="12"/>
      <c r="AA760" s="12"/>
      <c r="AB760" s="12"/>
      <c r="AC760" s="12"/>
      <c r="AD760" s="12"/>
    </row>
    <row r="761" spans="1:30" ht="13.5" customHeight="1">
      <c r="A761" s="4"/>
      <c r="B761" s="4"/>
      <c r="C761" s="4"/>
      <c r="D761" s="4"/>
      <c r="E761" s="4"/>
      <c r="F761" s="4"/>
      <c r="G761" s="4"/>
      <c r="H761" s="4"/>
      <c r="I761" s="4"/>
      <c r="J761" s="4"/>
      <c r="K761" s="4"/>
      <c r="L761" s="4"/>
      <c r="M761" s="4"/>
      <c r="N761" s="4"/>
      <c r="O761" s="4"/>
      <c r="P761" s="4"/>
      <c r="Q761" s="4"/>
      <c r="R761" s="12"/>
      <c r="S761" s="12"/>
      <c r="T761" s="12"/>
      <c r="U761" s="12"/>
      <c r="V761" s="12"/>
      <c r="W761" s="12"/>
      <c r="X761" s="12"/>
      <c r="Y761" s="12"/>
      <c r="Z761" s="12"/>
      <c r="AA761" s="12"/>
      <c r="AB761" s="12"/>
      <c r="AC761" s="12"/>
      <c r="AD761" s="12"/>
    </row>
    <row r="762" spans="1:30" ht="13.5" customHeight="1">
      <c r="A762" s="4"/>
      <c r="B762" s="4"/>
      <c r="C762" s="4"/>
      <c r="D762" s="4"/>
      <c r="E762" s="4"/>
      <c r="F762" s="4"/>
      <c r="G762" s="4"/>
      <c r="H762" s="4"/>
      <c r="I762" s="4"/>
      <c r="J762" s="4"/>
      <c r="K762" s="4"/>
      <c r="L762" s="4"/>
      <c r="M762" s="4"/>
      <c r="N762" s="4"/>
      <c r="O762" s="4"/>
      <c r="P762" s="4"/>
      <c r="Q762" s="4"/>
      <c r="R762" s="12"/>
      <c r="S762" s="12"/>
      <c r="T762" s="12"/>
      <c r="U762" s="12"/>
      <c r="V762" s="12"/>
      <c r="W762" s="12"/>
      <c r="X762" s="12"/>
      <c r="Y762" s="12"/>
      <c r="Z762" s="12"/>
      <c r="AA762" s="12"/>
      <c r="AB762" s="12"/>
      <c r="AC762" s="12"/>
      <c r="AD762" s="12"/>
    </row>
    <row r="763" spans="1:30" ht="13.5" customHeight="1">
      <c r="A763" s="4"/>
      <c r="B763" s="4"/>
      <c r="C763" s="4"/>
      <c r="D763" s="4"/>
      <c r="E763" s="4"/>
      <c r="F763" s="4"/>
      <c r="G763" s="4"/>
      <c r="H763" s="4"/>
      <c r="I763" s="4"/>
      <c r="J763" s="4"/>
      <c r="K763" s="4"/>
      <c r="L763" s="4"/>
      <c r="M763" s="4"/>
      <c r="N763" s="4"/>
      <c r="O763" s="4"/>
      <c r="P763" s="4"/>
      <c r="Q763" s="4"/>
      <c r="R763" s="12"/>
      <c r="S763" s="12"/>
      <c r="T763" s="12"/>
      <c r="U763" s="12"/>
      <c r="V763" s="12"/>
      <c r="W763" s="12"/>
      <c r="X763" s="12"/>
      <c r="Y763" s="12"/>
      <c r="Z763" s="12"/>
      <c r="AA763" s="12"/>
      <c r="AB763" s="12"/>
      <c r="AC763" s="12"/>
      <c r="AD763" s="12"/>
    </row>
    <row r="764" spans="1:30" ht="13.5" customHeight="1">
      <c r="A764" s="4"/>
      <c r="B764" s="4"/>
      <c r="C764" s="4"/>
      <c r="D764" s="4"/>
      <c r="E764" s="4"/>
      <c r="F764" s="4"/>
      <c r="G764" s="4"/>
      <c r="H764" s="4"/>
      <c r="I764" s="4"/>
      <c r="J764" s="4"/>
      <c r="K764" s="4"/>
      <c r="L764" s="4"/>
      <c r="M764" s="4"/>
      <c r="N764" s="4"/>
      <c r="O764" s="4"/>
      <c r="P764" s="4"/>
      <c r="Q764" s="4"/>
      <c r="R764" s="12"/>
      <c r="S764" s="12"/>
      <c r="T764" s="12"/>
      <c r="U764" s="12"/>
      <c r="V764" s="12"/>
      <c r="W764" s="12"/>
      <c r="X764" s="12"/>
      <c r="Y764" s="12"/>
      <c r="Z764" s="12"/>
      <c r="AA764" s="12"/>
      <c r="AB764" s="12"/>
      <c r="AC764" s="12"/>
      <c r="AD764" s="12"/>
    </row>
    <row r="765" spans="1:30" ht="13.5" customHeight="1">
      <c r="A765" s="4"/>
      <c r="B765" s="4"/>
      <c r="C765" s="4"/>
      <c r="D765" s="4"/>
      <c r="E765" s="4"/>
      <c r="F765" s="4"/>
      <c r="G765" s="4"/>
      <c r="H765" s="4"/>
      <c r="I765" s="4"/>
      <c r="J765" s="4"/>
      <c r="K765" s="4"/>
      <c r="L765" s="4"/>
      <c r="M765" s="4"/>
      <c r="N765" s="4"/>
      <c r="O765" s="4"/>
      <c r="P765" s="4"/>
      <c r="Q765" s="4"/>
      <c r="R765" s="12"/>
      <c r="S765" s="12"/>
      <c r="T765" s="12"/>
      <c r="U765" s="12"/>
      <c r="V765" s="12"/>
      <c r="W765" s="12"/>
      <c r="X765" s="12"/>
      <c r="Y765" s="12"/>
      <c r="Z765" s="12"/>
      <c r="AA765" s="12"/>
      <c r="AB765" s="12"/>
      <c r="AC765" s="12"/>
      <c r="AD765" s="12"/>
    </row>
    <row r="766" spans="1:30" ht="13.5" customHeight="1">
      <c r="A766" s="4"/>
      <c r="B766" s="4"/>
      <c r="C766" s="4"/>
      <c r="D766" s="4"/>
      <c r="E766" s="4"/>
      <c r="F766" s="4"/>
      <c r="G766" s="4"/>
      <c r="H766" s="4"/>
      <c r="I766" s="4"/>
      <c r="J766" s="4"/>
      <c r="K766" s="4"/>
      <c r="L766" s="4"/>
      <c r="M766" s="4"/>
      <c r="N766" s="4"/>
      <c r="O766" s="4"/>
      <c r="P766" s="4"/>
      <c r="Q766" s="4"/>
      <c r="R766" s="12"/>
      <c r="S766" s="12"/>
      <c r="T766" s="12"/>
      <c r="U766" s="12"/>
      <c r="V766" s="12"/>
      <c r="W766" s="12"/>
      <c r="X766" s="12"/>
      <c r="Y766" s="12"/>
      <c r="Z766" s="12"/>
      <c r="AA766" s="12"/>
      <c r="AB766" s="12"/>
      <c r="AC766" s="12"/>
      <c r="AD766" s="12"/>
    </row>
    <row r="767" spans="1:30" ht="13.5" customHeight="1">
      <c r="A767" s="4"/>
      <c r="B767" s="4"/>
      <c r="C767" s="4"/>
      <c r="D767" s="4"/>
      <c r="E767" s="4"/>
      <c r="F767" s="4"/>
      <c r="G767" s="4"/>
      <c r="H767" s="4"/>
      <c r="I767" s="4"/>
      <c r="J767" s="4"/>
      <c r="K767" s="4"/>
      <c r="L767" s="4"/>
      <c r="M767" s="4"/>
      <c r="N767" s="4"/>
      <c r="O767" s="4"/>
      <c r="P767" s="4"/>
      <c r="Q767" s="4"/>
      <c r="R767" s="12"/>
      <c r="S767" s="12"/>
      <c r="T767" s="12"/>
      <c r="U767" s="12"/>
      <c r="V767" s="12"/>
      <c r="W767" s="12"/>
      <c r="X767" s="12"/>
      <c r="Y767" s="12"/>
      <c r="Z767" s="12"/>
      <c r="AA767" s="12"/>
      <c r="AB767" s="12"/>
      <c r="AC767" s="12"/>
      <c r="AD767" s="12"/>
    </row>
    <row r="768" spans="1:30" ht="13.5" customHeight="1">
      <c r="A768" s="4"/>
      <c r="B768" s="4"/>
      <c r="C768" s="4"/>
      <c r="D768" s="4"/>
      <c r="E768" s="4"/>
      <c r="F768" s="4"/>
      <c r="G768" s="4"/>
      <c r="H768" s="4"/>
      <c r="I768" s="4"/>
      <c r="J768" s="4"/>
      <c r="K768" s="4"/>
      <c r="L768" s="4"/>
      <c r="M768" s="4"/>
      <c r="N768" s="4"/>
      <c r="O768" s="4"/>
      <c r="P768" s="4"/>
      <c r="Q768" s="4"/>
      <c r="R768" s="12"/>
      <c r="S768" s="12"/>
      <c r="T768" s="12"/>
      <c r="U768" s="12"/>
      <c r="V768" s="12"/>
      <c r="W768" s="12"/>
      <c r="X768" s="12"/>
      <c r="Y768" s="12"/>
      <c r="Z768" s="12"/>
      <c r="AA768" s="12"/>
      <c r="AB768" s="12"/>
      <c r="AC768" s="12"/>
      <c r="AD768" s="12"/>
    </row>
    <row r="769" spans="1:30" ht="13.5" customHeight="1">
      <c r="A769" s="4"/>
      <c r="B769" s="4"/>
      <c r="C769" s="4"/>
      <c r="D769" s="4"/>
      <c r="E769" s="4"/>
      <c r="F769" s="4"/>
      <c r="G769" s="4"/>
      <c r="H769" s="4"/>
      <c r="I769" s="4"/>
      <c r="J769" s="4"/>
      <c r="K769" s="4"/>
      <c r="L769" s="4"/>
      <c r="M769" s="4"/>
      <c r="N769" s="4"/>
      <c r="O769" s="4"/>
      <c r="P769" s="4"/>
      <c r="Q769" s="4"/>
      <c r="R769" s="12"/>
      <c r="S769" s="12"/>
      <c r="T769" s="12"/>
      <c r="U769" s="12"/>
      <c r="V769" s="12"/>
      <c r="W769" s="12"/>
      <c r="X769" s="12"/>
      <c r="Y769" s="12"/>
      <c r="Z769" s="12"/>
      <c r="AA769" s="12"/>
      <c r="AB769" s="12"/>
      <c r="AC769" s="12"/>
      <c r="AD769" s="12"/>
    </row>
    <row r="770" spans="1:30" ht="13.5" customHeight="1">
      <c r="A770" s="4"/>
      <c r="B770" s="4"/>
      <c r="C770" s="4"/>
      <c r="D770" s="4"/>
      <c r="E770" s="4"/>
      <c r="F770" s="4"/>
      <c r="G770" s="4"/>
      <c r="H770" s="4"/>
      <c r="I770" s="4"/>
      <c r="J770" s="4"/>
      <c r="K770" s="4"/>
      <c r="L770" s="4"/>
      <c r="M770" s="4"/>
      <c r="N770" s="4"/>
      <c r="O770" s="4"/>
      <c r="P770" s="4"/>
      <c r="Q770" s="4"/>
      <c r="R770" s="12"/>
      <c r="S770" s="12"/>
      <c r="T770" s="12"/>
      <c r="U770" s="12"/>
      <c r="V770" s="12"/>
      <c r="W770" s="12"/>
      <c r="X770" s="12"/>
      <c r="Y770" s="12"/>
      <c r="Z770" s="12"/>
      <c r="AA770" s="12"/>
      <c r="AB770" s="12"/>
      <c r="AC770" s="12"/>
      <c r="AD770" s="12"/>
    </row>
    <row r="771" spans="1:30" ht="13.5" customHeight="1">
      <c r="A771" s="4"/>
      <c r="B771" s="4"/>
      <c r="C771" s="4"/>
      <c r="D771" s="4"/>
      <c r="E771" s="4"/>
      <c r="F771" s="4"/>
      <c r="G771" s="4"/>
      <c r="H771" s="4"/>
      <c r="I771" s="4"/>
      <c r="J771" s="4"/>
      <c r="K771" s="4"/>
      <c r="L771" s="4"/>
      <c r="M771" s="4"/>
      <c r="N771" s="4"/>
      <c r="O771" s="4"/>
      <c r="P771" s="4"/>
      <c r="Q771" s="4"/>
      <c r="R771" s="12"/>
      <c r="S771" s="12"/>
      <c r="T771" s="12"/>
      <c r="U771" s="12"/>
      <c r="V771" s="12"/>
      <c r="W771" s="12"/>
      <c r="X771" s="12"/>
      <c r="Y771" s="12"/>
      <c r="Z771" s="12"/>
      <c r="AA771" s="12"/>
      <c r="AB771" s="12"/>
      <c r="AC771" s="12"/>
      <c r="AD771" s="12"/>
    </row>
    <row r="772" spans="1:30" ht="13.5" customHeight="1">
      <c r="A772" s="4"/>
      <c r="B772" s="4"/>
      <c r="C772" s="4"/>
      <c r="D772" s="4"/>
      <c r="E772" s="4"/>
      <c r="F772" s="4"/>
      <c r="G772" s="4"/>
      <c r="H772" s="4"/>
      <c r="I772" s="4"/>
      <c r="J772" s="4"/>
      <c r="K772" s="4"/>
      <c r="L772" s="4"/>
      <c r="M772" s="4"/>
      <c r="N772" s="4"/>
      <c r="O772" s="4"/>
      <c r="P772" s="4"/>
      <c r="Q772" s="4"/>
      <c r="R772" s="12"/>
      <c r="S772" s="12"/>
      <c r="T772" s="12"/>
      <c r="U772" s="12"/>
      <c r="V772" s="12"/>
      <c r="W772" s="12"/>
      <c r="X772" s="12"/>
      <c r="Y772" s="12"/>
      <c r="Z772" s="12"/>
      <c r="AA772" s="12"/>
      <c r="AB772" s="12"/>
      <c r="AC772" s="12"/>
      <c r="AD772" s="12"/>
    </row>
    <row r="773" spans="1:30" ht="13.5" customHeight="1">
      <c r="A773" s="4"/>
      <c r="B773" s="4"/>
      <c r="C773" s="4"/>
      <c r="D773" s="4"/>
      <c r="E773" s="4"/>
      <c r="F773" s="4"/>
      <c r="G773" s="4"/>
      <c r="H773" s="4"/>
      <c r="I773" s="4"/>
      <c r="J773" s="4"/>
      <c r="K773" s="4"/>
      <c r="L773" s="4"/>
      <c r="M773" s="4"/>
      <c r="N773" s="4"/>
      <c r="O773" s="4"/>
      <c r="P773" s="4"/>
      <c r="Q773" s="4"/>
      <c r="R773" s="12"/>
      <c r="S773" s="12"/>
      <c r="T773" s="12"/>
      <c r="U773" s="12"/>
      <c r="V773" s="12"/>
      <c r="W773" s="12"/>
      <c r="X773" s="12"/>
      <c r="Y773" s="12"/>
      <c r="Z773" s="12"/>
      <c r="AA773" s="12"/>
      <c r="AB773" s="12"/>
      <c r="AC773" s="12"/>
      <c r="AD773" s="12"/>
    </row>
    <row r="774" spans="1:30" ht="13.5" customHeight="1">
      <c r="A774" s="4"/>
      <c r="B774" s="4"/>
      <c r="C774" s="4"/>
      <c r="D774" s="4"/>
      <c r="E774" s="4"/>
      <c r="F774" s="4"/>
      <c r="G774" s="4"/>
      <c r="H774" s="4"/>
      <c r="I774" s="4"/>
      <c r="J774" s="4"/>
      <c r="K774" s="4"/>
      <c r="L774" s="4"/>
      <c r="M774" s="4"/>
      <c r="N774" s="4"/>
      <c r="O774" s="4"/>
      <c r="P774" s="4"/>
      <c r="Q774" s="4"/>
      <c r="R774" s="12"/>
      <c r="S774" s="12"/>
      <c r="T774" s="12"/>
      <c r="U774" s="12"/>
      <c r="V774" s="12"/>
      <c r="W774" s="12"/>
      <c r="X774" s="12"/>
      <c r="Y774" s="12"/>
      <c r="Z774" s="12"/>
      <c r="AA774" s="12"/>
      <c r="AB774" s="12"/>
      <c r="AC774" s="12"/>
      <c r="AD774" s="12"/>
    </row>
    <row r="775" spans="1:30" ht="13.5" customHeight="1">
      <c r="A775" s="4"/>
      <c r="B775" s="4"/>
      <c r="C775" s="4"/>
      <c r="D775" s="4"/>
      <c r="E775" s="4"/>
      <c r="F775" s="4"/>
      <c r="G775" s="4"/>
      <c r="H775" s="4"/>
      <c r="I775" s="4"/>
      <c r="J775" s="4"/>
      <c r="K775" s="4"/>
      <c r="L775" s="4"/>
      <c r="M775" s="4"/>
      <c r="N775" s="4"/>
      <c r="O775" s="4"/>
      <c r="P775" s="4"/>
      <c r="Q775" s="4"/>
      <c r="R775" s="12"/>
      <c r="S775" s="12"/>
      <c r="T775" s="12"/>
      <c r="U775" s="12"/>
      <c r="V775" s="12"/>
      <c r="W775" s="12"/>
      <c r="X775" s="12"/>
      <c r="Y775" s="12"/>
      <c r="Z775" s="12"/>
      <c r="AA775" s="12"/>
      <c r="AB775" s="12"/>
      <c r="AC775" s="12"/>
      <c r="AD775" s="12"/>
    </row>
    <row r="776" spans="1:30" ht="13.5" customHeight="1">
      <c r="A776" s="4"/>
      <c r="B776" s="4"/>
      <c r="C776" s="4"/>
      <c r="D776" s="4"/>
      <c r="E776" s="4"/>
      <c r="F776" s="4"/>
      <c r="G776" s="4"/>
      <c r="H776" s="4"/>
      <c r="I776" s="4"/>
      <c r="J776" s="4"/>
      <c r="K776" s="4"/>
      <c r="L776" s="4"/>
      <c r="M776" s="4"/>
      <c r="N776" s="4"/>
      <c r="O776" s="4"/>
      <c r="P776" s="4"/>
      <c r="Q776" s="4"/>
      <c r="R776" s="12"/>
      <c r="S776" s="12"/>
      <c r="T776" s="12"/>
      <c r="U776" s="12"/>
      <c r="V776" s="12"/>
      <c r="W776" s="12"/>
      <c r="X776" s="12"/>
      <c r="Y776" s="12"/>
      <c r="Z776" s="12"/>
      <c r="AA776" s="12"/>
      <c r="AB776" s="12"/>
      <c r="AC776" s="12"/>
      <c r="AD776" s="12"/>
    </row>
    <row r="777" spans="1:30" ht="13.5" customHeight="1">
      <c r="A777" s="4"/>
      <c r="B777" s="4"/>
      <c r="C777" s="4"/>
      <c r="D777" s="4"/>
      <c r="E777" s="4"/>
      <c r="F777" s="4"/>
      <c r="G777" s="4"/>
      <c r="H777" s="4"/>
      <c r="I777" s="4"/>
      <c r="J777" s="4"/>
      <c r="K777" s="4"/>
      <c r="L777" s="4"/>
      <c r="M777" s="4"/>
      <c r="N777" s="4"/>
      <c r="O777" s="4"/>
      <c r="P777" s="4"/>
      <c r="Q777" s="4"/>
      <c r="R777" s="12"/>
      <c r="S777" s="12"/>
      <c r="T777" s="12"/>
      <c r="U777" s="12"/>
      <c r="V777" s="12"/>
      <c r="W777" s="12"/>
      <c r="X777" s="12"/>
      <c r="Y777" s="12"/>
      <c r="Z777" s="12"/>
      <c r="AA777" s="12"/>
      <c r="AB777" s="12"/>
      <c r="AC777" s="12"/>
      <c r="AD777" s="12"/>
    </row>
    <row r="778" spans="1:30" ht="13.5" customHeight="1">
      <c r="A778" s="4"/>
      <c r="B778" s="4"/>
      <c r="C778" s="4"/>
      <c r="D778" s="4"/>
      <c r="E778" s="4"/>
      <c r="F778" s="4"/>
      <c r="G778" s="4"/>
      <c r="H778" s="4"/>
      <c r="I778" s="4"/>
      <c r="J778" s="4"/>
      <c r="K778" s="4"/>
      <c r="L778" s="4"/>
      <c r="M778" s="4"/>
      <c r="N778" s="4"/>
      <c r="O778" s="4"/>
      <c r="P778" s="4"/>
      <c r="Q778" s="4"/>
      <c r="R778" s="12"/>
      <c r="S778" s="12"/>
      <c r="T778" s="12"/>
      <c r="U778" s="12"/>
      <c r="V778" s="12"/>
      <c r="W778" s="12"/>
      <c r="X778" s="12"/>
      <c r="Y778" s="12"/>
      <c r="Z778" s="12"/>
      <c r="AA778" s="12"/>
      <c r="AB778" s="12"/>
      <c r="AC778" s="12"/>
      <c r="AD778" s="12"/>
    </row>
    <row r="779" spans="1:30" ht="13.5" customHeight="1">
      <c r="A779" s="4"/>
      <c r="B779" s="4"/>
      <c r="C779" s="4"/>
      <c r="D779" s="4"/>
      <c r="E779" s="4"/>
      <c r="F779" s="4"/>
      <c r="G779" s="4"/>
      <c r="H779" s="4"/>
      <c r="I779" s="4"/>
      <c r="J779" s="4"/>
      <c r="K779" s="4"/>
      <c r="L779" s="4"/>
      <c r="M779" s="4"/>
      <c r="N779" s="4"/>
      <c r="O779" s="4"/>
      <c r="P779" s="4"/>
      <c r="Q779" s="4"/>
      <c r="R779" s="12"/>
      <c r="S779" s="12"/>
      <c r="T779" s="12"/>
      <c r="U779" s="12"/>
      <c r="V779" s="12"/>
      <c r="W779" s="12"/>
      <c r="X779" s="12"/>
      <c r="Y779" s="12"/>
      <c r="Z779" s="12"/>
      <c r="AA779" s="12"/>
      <c r="AB779" s="12"/>
      <c r="AC779" s="12"/>
      <c r="AD779" s="12"/>
    </row>
    <row r="780" spans="1:30" ht="13.5" customHeight="1">
      <c r="A780" s="4"/>
      <c r="B780" s="4"/>
      <c r="C780" s="4"/>
      <c r="D780" s="4"/>
      <c r="E780" s="4"/>
      <c r="F780" s="4"/>
      <c r="G780" s="4"/>
      <c r="H780" s="4"/>
      <c r="I780" s="4"/>
      <c r="J780" s="4"/>
      <c r="K780" s="4"/>
      <c r="L780" s="4"/>
      <c r="M780" s="4"/>
      <c r="N780" s="4"/>
      <c r="O780" s="4"/>
      <c r="P780" s="4"/>
      <c r="Q780" s="4"/>
      <c r="R780" s="12"/>
      <c r="S780" s="12"/>
      <c r="T780" s="12"/>
      <c r="U780" s="12"/>
      <c r="V780" s="12"/>
      <c r="W780" s="12"/>
      <c r="X780" s="12"/>
      <c r="Y780" s="12"/>
      <c r="Z780" s="12"/>
      <c r="AA780" s="12"/>
      <c r="AB780" s="12"/>
      <c r="AC780" s="12"/>
      <c r="AD780" s="12"/>
    </row>
    <row r="781" spans="1:30" ht="13.5" customHeight="1">
      <c r="A781" s="4"/>
      <c r="B781" s="4"/>
      <c r="C781" s="4"/>
      <c r="D781" s="4"/>
      <c r="E781" s="4"/>
      <c r="F781" s="4"/>
      <c r="G781" s="4"/>
      <c r="H781" s="4"/>
      <c r="I781" s="4"/>
      <c r="J781" s="4"/>
      <c r="K781" s="4"/>
      <c r="L781" s="4"/>
      <c r="M781" s="4"/>
      <c r="N781" s="4"/>
      <c r="O781" s="4"/>
      <c r="P781" s="4"/>
      <c r="Q781" s="4"/>
      <c r="R781" s="12"/>
      <c r="S781" s="12"/>
      <c r="T781" s="12"/>
      <c r="U781" s="12"/>
      <c r="V781" s="12"/>
      <c r="W781" s="12"/>
      <c r="X781" s="12"/>
      <c r="Y781" s="12"/>
      <c r="Z781" s="12"/>
      <c r="AA781" s="12"/>
      <c r="AB781" s="12"/>
      <c r="AC781" s="12"/>
      <c r="AD781" s="12"/>
    </row>
    <row r="782" spans="1:30" ht="13.5" customHeight="1">
      <c r="A782" s="4"/>
      <c r="B782" s="4"/>
      <c r="C782" s="4"/>
      <c r="D782" s="4"/>
      <c r="E782" s="4"/>
      <c r="F782" s="4"/>
      <c r="G782" s="4"/>
      <c r="H782" s="4"/>
      <c r="I782" s="4"/>
      <c r="J782" s="4"/>
      <c r="K782" s="4"/>
      <c r="L782" s="4"/>
      <c r="M782" s="4"/>
      <c r="N782" s="4"/>
      <c r="O782" s="4"/>
      <c r="P782" s="4"/>
      <c r="Q782" s="4"/>
      <c r="R782" s="12"/>
      <c r="S782" s="12"/>
      <c r="T782" s="12"/>
      <c r="U782" s="12"/>
      <c r="V782" s="12"/>
      <c r="W782" s="12"/>
      <c r="X782" s="12"/>
      <c r="Y782" s="12"/>
      <c r="Z782" s="12"/>
      <c r="AA782" s="12"/>
      <c r="AB782" s="12"/>
      <c r="AC782" s="12"/>
      <c r="AD782" s="12"/>
    </row>
    <row r="783" spans="1:30" ht="13.5" customHeight="1">
      <c r="A783" s="4"/>
      <c r="B783" s="4"/>
      <c r="C783" s="4"/>
      <c r="D783" s="4"/>
      <c r="E783" s="4"/>
      <c r="F783" s="4"/>
      <c r="G783" s="4"/>
      <c r="H783" s="4"/>
      <c r="I783" s="4"/>
      <c r="J783" s="4"/>
      <c r="K783" s="4"/>
      <c r="L783" s="4"/>
      <c r="M783" s="4"/>
      <c r="N783" s="4"/>
      <c r="O783" s="4"/>
      <c r="P783" s="4"/>
      <c r="Q783" s="4"/>
      <c r="R783" s="12"/>
      <c r="S783" s="12"/>
      <c r="T783" s="12"/>
      <c r="U783" s="12"/>
      <c r="V783" s="12"/>
      <c r="W783" s="12"/>
      <c r="X783" s="12"/>
      <c r="Y783" s="12"/>
      <c r="Z783" s="12"/>
      <c r="AA783" s="12"/>
      <c r="AB783" s="12"/>
      <c r="AC783" s="12"/>
      <c r="AD783" s="12"/>
    </row>
    <row r="784" spans="1:30" ht="13.5" customHeight="1">
      <c r="A784" s="4"/>
      <c r="B784" s="4"/>
      <c r="C784" s="4"/>
      <c r="D784" s="4"/>
      <c r="E784" s="4"/>
      <c r="F784" s="4"/>
      <c r="G784" s="4"/>
      <c r="H784" s="4"/>
      <c r="I784" s="4"/>
      <c r="J784" s="4"/>
      <c r="K784" s="4"/>
      <c r="L784" s="4"/>
      <c r="M784" s="4"/>
      <c r="N784" s="4"/>
      <c r="O784" s="4"/>
      <c r="P784" s="4"/>
      <c r="Q784" s="4"/>
      <c r="R784" s="12"/>
      <c r="S784" s="12"/>
      <c r="T784" s="12"/>
      <c r="U784" s="12"/>
      <c r="V784" s="12"/>
      <c r="W784" s="12"/>
      <c r="X784" s="12"/>
      <c r="Y784" s="12"/>
      <c r="Z784" s="12"/>
      <c r="AA784" s="12"/>
      <c r="AB784" s="12"/>
      <c r="AC784" s="12"/>
      <c r="AD784" s="12"/>
    </row>
    <row r="785" spans="1:30" ht="13.5" customHeight="1">
      <c r="A785" s="4"/>
      <c r="B785" s="4"/>
      <c r="C785" s="4"/>
      <c r="D785" s="4"/>
      <c r="E785" s="4"/>
      <c r="F785" s="4"/>
      <c r="G785" s="4"/>
      <c r="H785" s="4"/>
      <c r="I785" s="4"/>
      <c r="J785" s="4"/>
      <c r="K785" s="4"/>
      <c r="L785" s="4"/>
      <c r="M785" s="4"/>
      <c r="N785" s="4"/>
      <c r="O785" s="4"/>
      <c r="P785" s="4"/>
      <c r="Q785" s="4"/>
      <c r="R785" s="12"/>
      <c r="S785" s="12"/>
      <c r="T785" s="12"/>
      <c r="U785" s="12"/>
      <c r="V785" s="12"/>
      <c r="W785" s="12"/>
      <c r="X785" s="12"/>
      <c r="Y785" s="12"/>
      <c r="Z785" s="12"/>
      <c r="AA785" s="12"/>
      <c r="AB785" s="12"/>
      <c r="AC785" s="12"/>
      <c r="AD785" s="12"/>
    </row>
    <row r="786" spans="1:30" ht="13.5" customHeight="1">
      <c r="A786" s="4"/>
      <c r="B786" s="4"/>
      <c r="C786" s="4"/>
      <c r="D786" s="4"/>
      <c r="E786" s="4"/>
      <c r="F786" s="4"/>
      <c r="G786" s="4"/>
      <c r="H786" s="4"/>
      <c r="I786" s="4"/>
      <c r="J786" s="4"/>
      <c r="K786" s="4"/>
      <c r="L786" s="4"/>
      <c r="M786" s="4"/>
      <c r="N786" s="4"/>
      <c r="O786" s="4"/>
      <c r="P786" s="4"/>
      <c r="Q786" s="4"/>
      <c r="R786" s="12"/>
      <c r="S786" s="12"/>
      <c r="T786" s="12"/>
      <c r="U786" s="12"/>
      <c r="V786" s="12"/>
      <c r="W786" s="12"/>
      <c r="X786" s="12"/>
      <c r="Y786" s="12"/>
      <c r="Z786" s="12"/>
      <c r="AA786" s="12"/>
      <c r="AB786" s="12"/>
      <c r="AC786" s="12"/>
      <c r="AD786" s="12"/>
    </row>
    <row r="787" spans="1:30" ht="13.5" customHeight="1">
      <c r="A787" s="4"/>
      <c r="B787" s="4"/>
      <c r="C787" s="4"/>
      <c r="D787" s="4"/>
      <c r="E787" s="4"/>
      <c r="F787" s="4"/>
      <c r="G787" s="4"/>
      <c r="H787" s="4"/>
      <c r="I787" s="4"/>
      <c r="J787" s="4"/>
      <c r="K787" s="4"/>
      <c r="L787" s="4"/>
      <c r="M787" s="4"/>
      <c r="N787" s="4"/>
      <c r="O787" s="4"/>
      <c r="P787" s="4"/>
      <c r="Q787" s="4"/>
      <c r="R787" s="12"/>
      <c r="S787" s="12"/>
      <c r="T787" s="12"/>
      <c r="U787" s="12"/>
      <c r="V787" s="12"/>
      <c r="W787" s="12"/>
      <c r="X787" s="12"/>
      <c r="Y787" s="12"/>
      <c r="Z787" s="12"/>
      <c r="AA787" s="12"/>
      <c r="AB787" s="12"/>
      <c r="AC787" s="12"/>
      <c r="AD787" s="12"/>
    </row>
    <row r="788" spans="1:30" ht="13.5" customHeight="1">
      <c r="A788" s="4"/>
      <c r="B788" s="4"/>
      <c r="C788" s="4"/>
      <c r="D788" s="4"/>
      <c r="E788" s="4"/>
      <c r="F788" s="4"/>
      <c r="G788" s="4"/>
      <c r="H788" s="4"/>
      <c r="I788" s="4"/>
      <c r="J788" s="4"/>
      <c r="K788" s="4"/>
      <c r="L788" s="4"/>
      <c r="M788" s="4"/>
      <c r="N788" s="4"/>
      <c r="O788" s="4"/>
      <c r="P788" s="4"/>
      <c r="Q788" s="4"/>
      <c r="R788" s="12"/>
      <c r="S788" s="12"/>
      <c r="T788" s="12"/>
      <c r="U788" s="12"/>
      <c r="V788" s="12"/>
      <c r="W788" s="12"/>
      <c r="X788" s="12"/>
      <c r="Y788" s="12"/>
      <c r="Z788" s="12"/>
      <c r="AA788" s="12"/>
      <c r="AB788" s="12"/>
      <c r="AC788" s="12"/>
      <c r="AD788" s="12"/>
    </row>
    <row r="789" spans="1:30" ht="13.5" customHeight="1">
      <c r="A789" s="4"/>
      <c r="B789" s="4"/>
      <c r="C789" s="4"/>
      <c r="D789" s="4"/>
      <c r="E789" s="4"/>
      <c r="F789" s="4"/>
      <c r="G789" s="4"/>
      <c r="H789" s="4"/>
      <c r="I789" s="4"/>
      <c r="J789" s="4"/>
      <c r="K789" s="4"/>
      <c r="L789" s="4"/>
      <c r="M789" s="4"/>
      <c r="N789" s="4"/>
      <c r="O789" s="4"/>
      <c r="P789" s="4"/>
      <c r="Q789" s="4"/>
      <c r="R789" s="12"/>
      <c r="S789" s="12"/>
      <c r="T789" s="12"/>
      <c r="U789" s="12"/>
      <c r="V789" s="12"/>
      <c r="W789" s="12"/>
      <c r="X789" s="12"/>
      <c r="Y789" s="12"/>
      <c r="Z789" s="12"/>
      <c r="AA789" s="12"/>
      <c r="AB789" s="12"/>
      <c r="AC789" s="12"/>
      <c r="AD789" s="12"/>
    </row>
    <row r="790" spans="1:30" ht="13.5" customHeight="1">
      <c r="A790" s="4"/>
      <c r="B790" s="4"/>
      <c r="C790" s="4"/>
      <c r="D790" s="4"/>
      <c r="E790" s="4"/>
      <c r="F790" s="4"/>
      <c r="G790" s="4"/>
      <c r="H790" s="4"/>
      <c r="I790" s="4"/>
      <c r="J790" s="4"/>
      <c r="K790" s="4"/>
      <c r="L790" s="4"/>
      <c r="M790" s="4"/>
      <c r="N790" s="4"/>
      <c r="O790" s="4"/>
      <c r="P790" s="4"/>
      <c r="Q790" s="4"/>
      <c r="R790" s="12"/>
      <c r="S790" s="12"/>
      <c r="T790" s="12"/>
      <c r="U790" s="12"/>
      <c r="V790" s="12"/>
      <c r="W790" s="12"/>
      <c r="X790" s="12"/>
      <c r="Y790" s="12"/>
      <c r="Z790" s="12"/>
      <c r="AA790" s="12"/>
      <c r="AB790" s="12"/>
      <c r="AC790" s="12"/>
      <c r="AD790" s="12"/>
    </row>
    <row r="791" spans="1:30" ht="13.5" customHeight="1">
      <c r="A791" s="4"/>
      <c r="B791" s="4"/>
      <c r="C791" s="4"/>
      <c r="D791" s="4"/>
      <c r="E791" s="4"/>
      <c r="F791" s="4"/>
      <c r="G791" s="4"/>
      <c r="H791" s="4"/>
      <c r="I791" s="4"/>
      <c r="J791" s="4"/>
      <c r="K791" s="4"/>
      <c r="L791" s="4"/>
      <c r="M791" s="4"/>
      <c r="N791" s="4"/>
      <c r="O791" s="4"/>
      <c r="P791" s="4"/>
      <c r="Q791" s="4"/>
      <c r="R791" s="12"/>
      <c r="S791" s="12"/>
      <c r="T791" s="12"/>
      <c r="U791" s="12"/>
      <c r="V791" s="12"/>
      <c r="W791" s="12"/>
      <c r="X791" s="12"/>
      <c r="Y791" s="12"/>
      <c r="Z791" s="12"/>
      <c r="AA791" s="12"/>
      <c r="AB791" s="12"/>
      <c r="AC791" s="12"/>
      <c r="AD791" s="12"/>
    </row>
    <row r="792" spans="1:30" ht="13.5" customHeight="1">
      <c r="A792" s="4"/>
      <c r="B792" s="4"/>
      <c r="C792" s="4"/>
      <c r="D792" s="4"/>
      <c r="E792" s="4"/>
      <c r="F792" s="4"/>
      <c r="G792" s="4"/>
      <c r="H792" s="4"/>
      <c r="I792" s="4"/>
      <c r="J792" s="4"/>
      <c r="K792" s="4"/>
      <c r="L792" s="4"/>
      <c r="M792" s="4"/>
      <c r="N792" s="4"/>
      <c r="O792" s="4"/>
      <c r="P792" s="4"/>
      <c r="Q792" s="4"/>
      <c r="R792" s="12"/>
      <c r="S792" s="12"/>
      <c r="T792" s="12"/>
      <c r="U792" s="12"/>
      <c r="V792" s="12"/>
      <c r="W792" s="12"/>
      <c r="X792" s="12"/>
      <c r="Y792" s="12"/>
      <c r="Z792" s="12"/>
      <c r="AA792" s="12"/>
      <c r="AB792" s="12"/>
      <c r="AC792" s="12"/>
      <c r="AD792" s="12"/>
    </row>
    <row r="793" spans="1:30" ht="13.5" customHeight="1">
      <c r="A793" s="4"/>
      <c r="B793" s="4"/>
      <c r="C793" s="4"/>
      <c r="D793" s="4"/>
      <c r="E793" s="4"/>
      <c r="F793" s="4"/>
      <c r="G793" s="4"/>
      <c r="H793" s="4"/>
      <c r="I793" s="4"/>
      <c r="J793" s="4"/>
      <c r="K793" s="4"/>
      <c r="L793" s="4"/>
      <c r="M793" s="4"/>
      <c r="N793" s="4"/>
      <c r="O793" s="4"/>
      <c r="P793" s="4"/>
      <c r="Q793" s="4"/>
      <c r="R793" s="12"/>
      <c r="S793" s="12"/>
      <c r="T793" s="12"/>
      <c r="U793" s="12"/>
      <c r="V793" s="12"/>
      <c r="W793" s="12"/>
      <c r="X793" s="12"/>
      <c r="Y793" s="12"/>
      <c r="Z793" s="12"/>
      <c r="AA793" s="12"/>
      <c r="AB793" s="12"/>
      <c r="AC793" s="12"/>
      <c r="AD793" s="12"/>
    </row>
    <row r="794" spans="1:30" ht="13.5" customHeight="1">
      <c r="A794" s="4"/>
      <c r="B794" s="4"/>
      <c r="C794" s="4"/>
      <c r="D794" s="4"/>
      <c r="E794" s="4"/>
      <c r="F794" s="4"/>
      <c r="G794" s="4"/>
      <c r="H794" s="4"/>
      <c r="I794" s="4"/>
      <c r="J794" s="4"/>
      <c r="K794" s="4"/>
      <c r="L794" s="4"/>
      <c r="M794" s="4"/>
      <c r="N794" s="4"/>
      <c r="O794" s="4"/>
      <c r="P794" s="4"/>
      <c r="Q794" s="4"/>
      <c r="R794" s="12"/>
      <c r="S794" s="12"/>
      <c r="T794" s="12"/>
      <c r="U794" s="12"/>
      <c r="V794" s="12"/>
      <c r="W794" s="12"/>
      <c r="X794" s="12"/>
      <c r="Y794" s="12"/>
      <c r="Z794" s="12"/>
      <c r="AA794" s="12"/>
      <c r="AB794" s="12"/>
      <c r="AC794" s="12"/>
      <c r="AD794" s="12"/>
    </row>
    <row r="795" spans="1:30" ht="13.5" customHeight="1">
      <c r="A795" s="4"/>
      <c r="B795" s="4"/>
      <c r="C795" s="4"/>
      <c r="D795" s="4"/>
      <c r="E795" s="4"/>
      <c r="F795" s="4"/>
      <c r="G795" s="4"/>
      <c r="H795" s="4"/>
      <c r="I795" s="4"/>
      <c r="J795" s="4"/>
      <c r="K795" s="4"/>
      <c r="L795" s="4"/>
      <c r="M795" s="4"/>
      <c r="N795" s="4"/>
      <c r="O795" s="4"/>
      <c r="P795" s="4"/>
      <c r="Q795" s="4"/>
      <c r="R795" s="12"/>
      <c r="S795" s="12"/>
      <c r="T795" s="12"/>
      <c r="U795" s="12"/>
      <c r="V795" s="12"/>
      <c r="W795" s="12"/>
      <c r="X795" s="12"/>
      <c r="Y795" s="12"/>
      <c r="Z795" s="12"/>
      <c r="AA795" s="12"/>
      <c r="AB795" s="12"/>
      <c r="AC795" s="12"/>
      <c r="AD795" s="12"/>
    </row>
    <row r="796" spans="1:30" ht="13.5" customHeight="1">
      <c r="A796" s="4"/>
      <c r="B796" s="4"/>
      <c r="C796" s="4"/>
      <c r="D796" s="4"/>
      <c r="E796" s="4"/>
      <c r="F796" s="4"/>
      <c r="G796" s="4"/>
      <c r="H796" s="4"/>
      <c r="I796" s="4"/>
      <c r="J796" s="4"/>
      <c r="K796" s="4"/>
      <c r="L796" s="4"/>
      <c r="M796" s="4"/>
      <c r="N796" s="4"/>
      <c r="O796" s="4"/>
      <c r="P796" s="4"/>
      <c r="Q796" s="4"/>
      <c r="R796" s="12"/>
      <c r="S796" s="12"/>
      <c r="T796" s="12"/>
      <c r="U796" s="12"/>
      <c r="V796" s="12"/>
      <c r="W796" s="12"/>
      <c r="X796" s="12"/>
      <c r="Y796" s="12"/>
      <c r="Z796" s="12"/>
      <c r="AA796" s="12"/>
      <c r="AB796" s="12"/>
      <c r="AC796" s="12"/>
      <c r="AD796" s="12"/>
    </row>
    <row r="797" spans="1:30" ht="13.5" customHeight="1">
      <c r="A797" s="4"/>
      <c r="B797" s="4"/>
      <c r="C797" s="4"/>
      <c r="D797" s="4"/>
      <c r="E797" s="4"/>
      <c r="F797" s="4"/>
      <c r="G797" s="4"/>
      <c r="H797" s="4"/>
      <c r="I797" s="4"/>
      <c r="J797" s="4"/>
      <c r="K797" s="4"/>
      <c r="L797" s="4"/>
      <c r="M797" s="4"/>
      <c r="N797" s="4"/>
      <c r="O797" s="4"/>
      <c r="P797" s="4"/>
      <c r="Q797" s="4"/>
      <c r="R797" s="12"/>
      <c r="S797" s="12"/>
      <c r="T797" s="12"/>
      <c r="U797" s="12"/>
      <c r="V797" s="12"/>
      <c r="W797" s="12"/>
      <c r="X797" s="12"/>
      <c r="Y797" s="12"/>
      <c r="Z797" s="12"/>
      <c r="AA797" s="12"/>
      <c r="AB797" s="12"/>
      <c r="AC797" s="12"/>
      <c r="AD797" s="12"/>
    </row>
    <row r="798" spans="1:30" ht="13.5" customHeight="1">
      <c r="A798" s="4"/>
      <c r="B798" s="4"/>
      <c r="C798" s="4"/>
      <c r="D798" s="4"/>
      <c r="E798" s="4"/>
      <c r="F798" s="4"/>
      <c r="G798" s="4"/>
      <c r="H798" s="4"/>
      <c r="I798" s="4"/>
      <c r="J798" s="4"/>
      <c r="K798" s="4"/>
      <c r="L798" s="4"/>
      <c r="M798" s="4"/>
      <c r="N798" s="4"/>
      <c r="O798" s="4"/>
      <c r="P798" s="4"/>
      <c r="Q798" s="4"/>
      <c r="R798" s="12"/>
      <c r="S798" s="12"/>
      <c r="T798" s="12"/>
      <c r="U798" s="12"/>
      <c r="V798" s="12"/>
      <c r="W798" s="12"/>
      <c r="X798" s="12"/>
      <c r="Y798" s="12"/>
      <c r="Z798" s="12"/>
      <c r="AA798" s="12"/>
      <c r="AB798" s="12"/>
      <c r="AC798" s="12"/>
      <c r="AD798" s="12"/>
    </row>
    <row r="799" spans="1:30" ht="13.5" customHeight="1">
      <c r="A799" s="4"/>
      <c r="B799" s="4"/>
      <c r="C799" s="4"/>
      <c r="D799" s="4"/>
      <c r="E799" s="4"/>
      <c r="F799" s="4"/>
      <c r="G799" s="4"/>
      <c r="H799" s="4"/>
      <c r="I799" s="4"/>
      <c r="J799" s="4"/>
      <c r="K799" s="4"/>
      <c r="L799" s="4"/>
      <c r="M799" s="4"/>
      <c r="N799" s="4"/>
      <c r="O799" s="4"/>
      <c r="P799" s="4"/>
      <c r="Q799" s="4"/>
      <c r="R799" s="12"/>
      <c r="S799" s="12"/>
      <c r="T799" s="12"/>
      <c r="U799" s="12"/>
      <c r="V799" s="12"/>
      <c r="W799" s="12"/>
      <c r="X799" s="12"/>
      <c r="Y799" s="12"/>
      <c r="Z799" s="12"/>
      <c r="AA799" s="12"/>
      <c r="AB799" s="12"/>
      <c r="AC799" s="12"/>
      <c r="AD799" s="12"/>
    </row>
    <row r="800" spans="1:30" ht="13.5" customHeight="1">
      <c r="A800" s="4"/>
      <c r="B800" s="4"/>
      <c r="C800" s="4"/>
      <c r="D800" s="4"/>
      <c r="E800" s="4"/>
      <c r="F800" s="4"/>
      <c r="G800" s="4"/>
      <c r="H800" s="4"/>
      <c r="I800" s="4"/>
      <c r="J800" s="4"/>
      <c r="K800" s="4"/>
      <c r="L800" s="4"/>
      <c r="M800" s="4"/>
      <c r="N800" s="4"/>
      <c r="O800" s="4"/>
      <c r="P800" s="4"/>
      <c r="Q800" s="4"/>
      <c r="R800" s="12"/>
      <c r="S800" s="12"/>
      <c r="T800" s="12"/>
      <c r="U800" s="12"/>
      <c r="V800" s="12"/>
      <c r="W800" s="12"/>
      <c r="X800" s="12"/>
      <c r="Y800" s="12"/>
      <c r="Z800" s="12"/>
      <c r="AA800" s="12"/>
      <c r="AB800" s="12"/>
      <c r="AC800" s="12"/>
      <c r="AD800" s="12"/>
    </row>
    <row r="801" spans="1:30" ht="13.5" customHeight="1">
      <c r="A801" s="4"/>
      <c r="B801" s="4"/>
      <c r="C801" s="4"/>
      <c r="D801" s="4"/>
      <c r="E801" s="4"/>
      <c r="F801" s="4"/>
      <c r="G801" s="4"/>
      <c r="H801" s="4"/>
      <c r="I801" s="4"/>
      <c r="J801" s="4"/>
      <c r="K801" s="4"/>
      <c r="L801" s="4"/>
      <c r="M801" s="4"/>
      <c r="N801" s="4"/>
      <c r="O801" s="4"/>
      <c r="P801" s="4"/>
      <c r="Q801" s="4"/>
      <c r="R801" s="12"/>
      <c r="S801" s="12"/>
      <c r="T801" s="12"/>
      <c r="U801" s="12"/>
      <c r="V801" s="12"/>
      <c r="W801" s="12"/>
      <c r="X801" s="12"/>
      <c r="Y801" s="12"/>
      <c r="Z801" s="12"/>
      <c r="AA801" s="12"/>
      <c r="AB801" s="12"/>
      <c r="AC801" s="12"/>
      <c r="AD801" s="12"/>
    </row>
    <row r="802" spans="1:30" ht="13.5" customHeight="1">
      <c r="A802" s="4"/>
      <c r="B802" s="4"/>
      <c r="C802" s="4"/>
      <c r="D802" s="4"/>
      <c r="E802" s="4"/>
      <c r="F802" s="4"/>
      <c r="G802" s="4"/>
      <c r="H802" s="4"/>
      <c r="I802" s="4"/>
      <c r="J802" s="4"/>
      <c r="K802" s="4"/>
      <c r="L802" s="4"/>
      <c r="M802" s="4"/>
      <c r="N802" s="4"/>
      <c r="O802" s="4"/>
      <c r="P802" s="4"/>
      <c r="Q802" s="4"/>
      <c r="R802" s="12"/>
      <c r="S802" s="12"/>
      <c r="T802" s="12"/>
      <c r="U802" s="12"/>
      <c r="V802" s="12"/>
      <c r="W802" s="12"/>
      <c r="X802" s="12"/>
      <c r="Y802" s="12"/>
      <c r="Z802" s="12"/>
      <c r="AA802" s="12"/>
      <c r="AB802" s="12"/>
      <c r="AC802" s="12"/>
      <c r="AD802" s="12"/>
    </row>
    <row r="803" spans="1:30" ht="13.5" customHeight="1">
      <c r="A803" s="4"/>
      <c r="B803" s="4"/>
      <c r="C803" s="4"/>
      <c r="D803" s="4"/>
      <c r="E803" s="4"/>
      <c r="F803" s="4"/>
      <c r="G803" s="4"/>
      <c r="H803" s="4"/>
      <c r="I803" s="4"/>
      <c r="J803" s="4"/>
      <c r="K803" s="4"/>
      <c r="L803" s="4"/>
      <c r="M803" s="4"/>
      <c r="N803" s="4"/>
      <c r="O803" s="4"/>
      <c r="P803" s="4"/>
      <c r="Q803" s="4"/>
      <c r="R803" s="12"/>
      <c r="S803" s="12"/>
      <c r="T803" s="12"/>
      <c r="U803" s="12"/>
      <c r="V803" s="12"/>
      <c r="W803" s="12"/>
      <c r="X803" s="12"/>
      <c r="Y803" s="12"/>
      <c r="Z803" s="12"/>
      <c r="AA803" s="12"/>
      <c r="AB803" s="12"/>
      <c r="AC803" s="12"/>
      <c r="AD803" s="12"/>
    </row>
    <row r="804" spans="1:30" ht="13.5" customHeight="1">
      <c r="A804" s="4"/>
      <c r="B804" s="4"/>
      <c r="C804" s="4"/>
      <c r="D804" s="4"/>
      <c r="E804" s="4"/>
      <c r="F804" s="4"/>
      <c r="G804" s="4"/>
      <c r="H804" s="4"/>
      <c r="I804" s="4"/>
      <c r="J804" s="4"/>
      <c r="K804" s="4"/>
      <c r="L804" s="4"/>
      <c r="M804" s="4"/>
      <c r="N804" s="4"/>
      <c r="O804" s="4"/>
      <c r="P804" s="4"/>
      <c r="Q804" s="4"/>
      <c r="R804" s="12"/>
      <c r="S804" s="12"/>
      <c r="T804" s="12"/>
      <c r="U804" s="12"/>
      <c r="V804" s="12"/>
      <c r="W804" s="12"/>
      <c r="X804" s="12"/>
      <c r="Y804" s="12"/>
      <c r="Z804" s="12"/>
      <c r="AA804" s="12"/>
      <c r="AB804" s="12"/>
      <c r="AC804" s="12"/>
      <c r="AD804" s="12"/>
    </row>
    <row r="805" spans="1:30" ht="13.5" customHeight="1">
      <c r="A805" s="4"/>
      <c r="B805" s="4"/>
      <c r="C805" s="4"/>
      <c r="D805" s="4"/>
      <c r="E805" s="4"/>
      <c r="F805" s="4"/>
      <c r="G805" s="4"/>
      <c r="H805" s="4"/>
      <c r="I805" s="4"/>
      <c r="J805" s="4"/>
      <c r="K805" s="4"/>
      <c r="L805" s="4"/>
      <c r="M805" s="4"/>
      <c r="N805" s="4"/>
      <c r="O805" s="4"/>
      <c r="P805" s="4"/>
      <c r="Q805" s="4"/>
      <c r="R805" s="12"/>
      <c r="S805" s="12"/>
      <c r="T805" s="12"/>
      <c r="U805" s="12"/>
      <c r="V805" s="12"/>
      <c r="W805" s="12"/>
      <c r="X805" s="12"/>
      <c r="Y805" s="12"/>
      <c r="Z805" s="12"/>
      <c r="AA805" s="12"/>
      <c r="AB805" s="12"/>
      <c r="AC805" s="12"/>
      <c r="AD805" s="12"/>
    </row>
    <row r="806" spans="1:30" ht="13.5" customHeight="1">
      <c r="A806" s="4"/>
      <c r="B806" s="4"/>
      <c r="C806" s="4"/>
      <c r="D806" s="4"/>
      <c r="E806" s="4"/>
      <c r="F806" s="4"/>
      <c r="G806" s="4"/>
      <c r="H806" s="4"/>
      <c r="I806" s="4"/>
      <c r="J806" s="4"/>
      <c r="K806" s="4"/>
      <c r="L806" s="4"/>
      <c r="M806" s="4"/>
      <c r="N806" s="4"/>
      <c r="O806" s="4"/>
      <c r="P806" s="4"/>
      <c r="Q806" s="4"/>
      <c r="R806" s="12"/>
      <c r="S806" s="12"/>
      <c r="T806" s="12"/>
      <c r="U806" s="12"/>
      <c r="V806" s="12"/>
      <c r="W806" s="12"/>
      <c r="X806" s="12"/>
      <c r="Y806" s="12"/>
      <c r="Z806" s="12"/>
      <c r="AA806" s="12"/>
      <c r="AB806" s="12"/>
      <c r="AC806" s="12"/>
      <c r="AD806" s="12"/>
    </row>
    <row r="807" spans="1:30" ht="13.5" customHeight="1">
      <c r="A807" s="4"/>
      <c r="B807" s="4"/>
      <c r="C807" s="4"/>
      <c r="D807" s="4"/>
      <c r="E807" s="4"/>
      <c r="F807" s="4"/>
      <c r="G807" s="4"/>
      <c r="H807" s="4"/>
      <c r="I807" s="4"/>
      <c r="J807" s="4"/>
      <c r="K807" s="4"/>
      <c r="L807" s="4"/>
      <c r="M807" s="4"/>
      <c r="N807" s="4"/>
      <c r="O807" s="4"/>
      <c r="P807" s="4"/>
      <c r="Q807" s="4"/>
      <c r="R807" s="12"/>
      <c r="S807" s="12"/>
      <c r="T807" s="12"/>
      <c r="U807" s="12"/>
      <c r="V807" s="12"/>
      <c r="W807" s="12"/>
      <c r="X807" s="12"/>
      <c r="Y807" s="12"/>
      <c r="Z807" s="12"/>
      <c r="AA807" s="12"/>
      <c r="AB807" s="12"/>
      <c r="AC807" s="12"/>
      <c r="AD807" s="12"/>
    </row>
    <row r="808" spans="1:30" ht="13.5" customHeight="1">
      <c r="A808" s="4"/>
      <c r="B808" s="4"/>
      <c r="C808" s="4"/>
      <c r="D808" s="4"/>
      <c r="E808" s="4"/>
      <c r="F808" s="4"/>
      <c r="G808" s="4"/>
      <c r="H808" s="4"/>
      <c r="I808" s="4"/>
      <c r="J808" s="4"/>
      <c r="K808" s="4"/>
      <c r="L808" s="4"/>
      <c r="M808" s="4"/>
      <c r="N808" s="4"/>
      <c r="O808" s="4"/>
      <c r="P808" s="4"/>
      <c r="Q808" s="4"/>
      <c r="R808" s="12"/>
      <c r="S808" s="12"/>
      <c r="T808" s="12"/>
      <c r="U808" s="12"/>
      <c r="V808" s="12"/>
      <c r="W808" s="12"/>
      <c r="X808" s="12"/>
      <c r="Y808" s="12"/>
      <c r="Z808" s="12"/>
      <c r="AA808" s="12"/>
      <c r="AB808" s="12"/>
      <c r="AC808" s="12"/>
      <c r="AD808" s="12"/>
    </row>
    <row r="809" spans="1:30" ht="13.5" customHeight="1">
      <c r="A809" s="4"/>
      <c r="B809" s="4"/>
      <c r="C809" s="4"/>
      <c r="D809" s="4"/>
      <c r="E809" s="4"/>
      <c r="F809" s="4"/>
      <c r="G809" s="4"/>
      <c r="H809" s="4"/>
      <c r="I809" s="4"/>
      <c r="J809" s="4"/>
      <c r="K809" s="4"/>
      <c r="L809" s="4"/>
      <c r="M809" s="4"/>
      <c r="N809" s="4"/>
      <c r="O809" s="4"/>
      <c r="P809" s="4"/>
      <c r="Q809" s="4"/>
      <c r="R809" s="12"/>
      <c r="S809" s="12"/>
      <c r="T809" s="12"/>
      <c r="U809" s="12"/>
      <c r="V809" s="12"/>
      <c r="W809" s="12"/>
      <c r="X809" s="12"/>
      <c r="Y809" s="12"/>
      <c r="Z809" s="12"/>
      <c r="AA809" s="12"/>
      <c r="AB809" s="12"/>
      <c r="AC809" s="12"/>
      <c r="AD809" s="12"/>
    </row>
    <row r="810" spans="1:30" ht="13.5" customHeight="1">
      <c r="A810" s="4"/>
      <c r="B810" s="4"/>
      <c r="C810" s="4"/>
      <c r="D810" s="4"/>
      <c r="E810" s="4"/>
      <c r="F810" s="4"/>
      <c r="G810" s="4"/>
      <c r="H810" s="4"/>
      <c r="I810" s="4"/>
      <c r="J810" s="4"/>
      <c r="K810" s="4"/>
      <c r="L810" s="4"/>
      <c r="M810" s="4"/>
      <c r="N810" s="4"/>
      <c r="O810" s="4"/>
      <c r="P810" s="4"/>
      <c r="Q810" s="4"/>
      <c r="R810" s="12"/>
      <c r="S810" s="12"/>
      <c r="T810" s="12"/>
      <c r="U810" s="12"/>
      <c r="V810" s="12"/>
      <c r="W810" s="12"/>
      <c r="X810" s="12"/>
      <c r="Y810" s="12"/>
      <c r="Z810" s="12"/>
      <c r="AA810" s="12"/>
      <c r="AB810" s="12"/>
      <c r="AC810" s="12"/>
      <c r="AD810" s="12"/>
    </row>
    <row r="811" spans="1:30" ht="13.5" customHeight="1">
      <c r="A811" s="4"/>
      <c r="B811" s="4"/>
      <c r="C811" s="4"/>
      <c r="D811" s="4"/>
      <c r="E811" s="4"/>
      <c r="F811" s="4"/>
      <c r="G811" s="4"/>
      <c r="H811" s="4"/>
      <c r="I811" s="4"/>
      <c r="J811" s="4"/>
      <c r="K811" s="4"/>
      <c r="L811" s="4"/>
      <c r="M811" s="4"/>
      <c r="N811" s="4"/>
      <c r="O811" s="4"/>
      <c r="P811" s="4"/>
      <c r="Q811" s="4"/>
      <c r="R811" s="12"/>
      <c r="S811" s="12"/>
      <c r="T811" s="12"/>
      <c r="U811" s="12"/>
      <c r="V811" s="12"/>
      <c r="W811" s="12"/>
      <c r="X811" s="12"/>
      <c r="Y811" s="12"/>
      <c r="Z811" s="12"/>
      <c r="AA811" s="12"/>
      <c r="AB811" s="12"/>
      <c r="AC811" s="12"/>
      <c r="AD811" s="12"/>
    </row>
    <row r="812" spans="1:30" ht="13.5" customHeight="1">
      <c r="A812" s="4"/>
      <c r="B812" s="4"/>
      <c r="C812" s="4"/>
      <c r="D812" s="4"/>
      <c r="E812" s="4"/>
      <c r="F812" s="4"/>
      <c r="G812" s="4"/>
      <c r="H812" s="4"/>
      <c r="I812" s="4"/>
      <c r="J812" s="4"/>
      <c r="K812" s="4"/>
      <c r="L812" s="4"/>
      <c r="M812" s="4"/>
      <c r="N812" s="4"/>
      <c r="O812" s="4"/>
      <c r="P812" s="4"/>
      <c r="Q812" s="4"/>
      <c r="R812" s="12"/>
      <c r="S812" s="12"/>
      <c r="T812" s="12"/>
      <c r="U812" s="12"/>
      <c r="V812" s="12"/>
      <c r="W812" s="12"/>
      <c r="X812" s="12"/>
      <c r="Y812" s="12"/>
      <c r="Z812" s="12"/>
      <c r="AA812" s="12"/>
      <c r="AB812" s="12"/>
      <c r="AC812" s="12"/>
      <c r="AD812" s="12"/>
    </row>
    <row r="813" spans="1:30" ht="13.5" customHeight="1">
      <c r="A813" s="4"/>
      <c r="B813" s="4"/>
      <c r="C813" s="4"/>
      <c r="D813" s="4"/>
      <c r="E813" s="4"/>
      <c r="F813" s="4"/>
      <c r="G813" s="4"/>
      <c r="H813" s="4"/>
      <c r="I813" s="4"/>
      <c r="J813" s="4"/>
      <c r="K813" s="4"/>
      <c r="L813" s="4"/>
      <c r="M813" s="4"/>
      <c r="N813" s="4"/>
      <c r="O813" s="4"/>
      <c r="P813" s="4"/>
      <c r="Q813" s="4"/>
      <c r="R813" s="12"/>
      <c r="S813" s="12"/>
      <c r="T813" s="12"/>
      <c r="U813" s="12"/>
      <c r="V813" s="12"/>
      <c r="W813" s="12"/>
      <c r="X813" s="12"/>
      <c r="Y813" s="12"/>
      <c r="Z813" s="12"/>
      <c r="AA813" s="12"/>
      <c r="AB813" s="12"/>
      <c r="AC813" s="12"/>
      <c r="AD813" s="12"/>
    </row>
    <row r="814" spans="1:30" ht="13.5" customHeight="1">
      <c r="A814" s="4"/>
      <c r="B814" s="4"/>
      <c r="C814" s="4"/>
      <c r="D814" s="4"/>
      <c r="E814" s="4"/>
      <c r="F814" s="4"/>
      <c r="G814" s="4"/>
      <c r="H814" s="4"/>
      <c r="I814" s="4"/>
      <c r="J814" s="4"/>
      <c r="K814" s="4"/>
      <c r="L814" s="4"/>
      <c r="M814" s="4"/>
      <c r="N814" s="4"/>
      <c r="O814" s="4"/>
      <c r="P814" s="4"/>
      <c r="Q814" s="4"/>
      <c r="R814" s="12"/>
      <c r="S814" s="12"/>
      <c r="T814" s="12"/>
      <c r="U814" s="12"/>
      <c r="V814" s="12"/>
      <c r="W814" s="12"/>
      <c r="X814" s="12"/>
      <c r="Y814" s="12"/>
      <c r="Z814" s="12"/>
      <c r="AA814" s="12"/>
      <c r="AB814" s="12"/>
      <c r="AC814" s="12"/>
      <c r="AD814" s="12"/>
    </row>
    <row r="815" spans="1:30" ht="13.5" customHeight="1">
      <c r="A815" s="4"/>
      <c r="B815" s="4"/>
      <c r="C815" s="4"/>
      <c r="D815" s="4"/>
      <c r="E815" s="4"/>
      <c r="F815" s="4"/>
      <c r="G815" s="4"/>
      <c r="H815" s="4"/>
      <c r="I815" s="4"/>
      <c r="J815" s="4"/>
      <c r="K815" s="4"/>
      <c r="L815" s="4"/>
      <c r="M815" s="4"/>
      <c r="N815" s="4"/>
      <c r="O815" s="4"/>
      <c r="P815" s="4"/>
      <c r="Q815" s="4"/>
      <c r="R815" s="12"/>
      <c r="S815" s="12"/>
      <c r="T815" s="12"/>
      <c r="U815" s="12"/>
      <c r="V815" s="12"/>
      <c r="W815" s="12"/>
      <c r="X815" s="12"/>
      <c r="Y815" s="12"/>
      <c r="Z815" s="12"/>
      <c r="AA815" s="12"/>
      <c r="AB815" s="12"/>
      <c r="AC815" s="12"/>
      <c r="AD815" s="12"/>
    </row>
    <row r="816" spans="1:30" ht="13.5" customHeight="1">
      <c r="A816" s="4"/>
      <c r="B816" s="4"/>
      <c r="C816" s="4"/>
      <c r="D816" s="4"/>
      <c r="E816" s="4"/>
      <c r="F816" s="4"/>
      <c r="G816" s="4"/>
      <c r="H816" s="4"/>
      <c r="I816" s="4"/>
      <c r="J816" s="4"/>
      <c r="K816" s="4"/>
      <c r="L816" s="4"/>
      <c r="M816" s="4"/>
      <c r="N816" s="4"/>
      <c r="O816" s="4"/>
      <c r="P816" s="4"/>
      <c r="Q816" s="4"/>
      <c r="R816" s="12"/>
      <c r="S816" s="12"/>
      <c r="T816" s="12"/>
      <c r="U816" s="12"/>
      <c r="V816" s="12"/>
      <c r="W816" s="12"/>
      <c r="X816" s="12"/>
      <c r="Y816" s="12"/>
      <c r="Z816" s="12"/>
      <c r="AA816" s="12"/>
      <c r="AB816" s="12"/>
      <c r="AC816" s="12"/>
      <c r="AD816" s="12"/>
    </row>
    <row r="817" spans="1:30" ht="13.5" customHeight="1">
      <c r="A817" s="4"/>
      <c r="B817" s="4"/>
      <c r="C817" s="4"/>
      <c r="D817" s="4"/>
      <c r="E817" s="4"/>
      <c r="F817" s="4"/>
      <c r="G817" s="4"/>
      <c r="H817" s="4"/>
      <c r="I817" s="4"/>
      <c r="J817" s="4"/>
      <c r="K817" s="4"/>
      <c r="L817" s="4"/>
      <c r="M817" s="4"/>
      <c r="N817" s="4"/>
      <c r="O817" s="4"/>
      <c r="P817" s="4"/>
      <c r="Q817" s="4"/>
      <c r="R817" s="12"/>
      <c r="S817" s="12"/>
      <c r="T817" s="12"/>
      <c r="U817" s="12"/>
      <c r="V817" s="12"/>
      <c r="W817" s="12"/>
      <c r="X817" s="12"/>
      <c r="Y817" s="12"/>
      <c r="Z817" s="12"/>
      <c r="AA817" s="12"/>
      <c r="AB817" s="12"/>
      <c r="AC817" s="12"/>
      <c r="AD817" s="12"/>
    </row>
    <row r="818" spans="1:30" ht="13.5" customHeight="1">
      <c r="A818" s="4"/>
      <c r="B818" s="4"/>
      <c r="C818" s="4"/>
      <c r="D818" s="4"/>
      <c r="E818" s="4"/>
      <c r="F818" s="4"/>
      <c r="G818" s="4"/>
      <c r="H818" s="4"/>
      <c r="I818" s="4"/>
      <c r="J818" s="4"/>
      <c r="K818" s="4"/>
      <c r="L818" s="4"/>
      <c r="M818" s="4"/>
      <c r="N818" s="4"/>
      <c r="O818" s="4"/>
      <c r="P818" s="4"/>
      <c r="Q818" s="4"/>
      <c r="R818" s="12"/>
      <c r="S818" s="12"/>
      <c r="T818" s="12"/>
      <c r="U818" s="12"/>
      <c r="V818" s="12"/>
      <c r="W818" s="12"/>
      <c r="X818" s="12"/>
      <c r="Y818" s="12"/>
      <c r="Z818" s="12"/>
      <c r="AA818" s="12"/>
      <c r="AB818" s="12"/>
      <c r="AC818" s="12"/>
      <c r="AD818" s="12"/>
    </row>
    <row r="819" spans="1:30" ht="13.5" customHeight="1">
      <c r="A819" s="4"/>
      <c r="B819" s="4"/>
      <c r="C819" s="4"/>
      <c r="D819" s="4"/>
      <c r="E819" s="4"/>
      <c r="F819" s="4"/>
      <c r="G819" s="4"/>
      <c r="H819" s="4"/>
      <c r="I819" s="4"/>
      <c r="J819" s="4"/>
      <c r="K819" s="4"/>
      <c r="L819" s="4"/>
      <c r="M819" s="4"/>
      <c r="N819" s="4"/>
      <c r="O819" s="4"/>
      <c r="P819" s="4"/>
      <c r="Q819" s="4"/>
      <c r="R819" s="12"/>
      <c r="S819" s="12"/>
      <c r="T819" s="12"/>
      <c r="U819" s="12"/>
      <c r="V819" s="12"/>
      <c r="W819" s="12"/>
      <c r="X819" s="12"/>
      <c r="Y819" s="12"/>
      <c r="Z819" s="12"/>
      <c r="AA819" s="12"/>
      <c r="AB819" s="12"/>
      <c r="AC819" s="12"/>
      <c r="AD819" s="12"/>
    </row>
    <row r="820" spans="1:30" ht="13.5" customHeight="1">
      <c r="A820" s="4"/>
      <c r="B820" s="4"/>
      <c r="C820" s="4"/>
      <c r="D820" s="4"/>
      <c r="E820" s="4"/>
      <c r="F820" s="4"/>
      <c r="G820" s="4"/>
      <c r="H820" s="4"/>
      <c r="I820" s="4"/>
      <c r="J820" s="4"/>
      <c r="K820" s="4"/>
      <c r="L820" s="4"/>
      <c r="M820" s="4"/>
      <c r="N820" s="4"/>
      <c r="O820" s="4"/>
      <c r="P820" s="4"/>
      <c r="Q820" s="4"/>
      <c r="R820" s="12"/>
      <c r="S820" s="12"/>
      <c r="T820" s="12"/>
      <c r="U820" s="12"/>
      <c r="V820" s="12"/>
      <c r="W820" s="12"/>
      <c r="X820" s="12"/>
      <c r="Y820" s="12"/>
      <c r="Z820" s="12"/>
      <c r="AA820" s="12"/>
      <c r="AB820" s="12"/>
      <c r="AC820" s="12"/>
      <c r="AD820" s="12"/>
    </row>
    <row r="821" spans="1:30" ht="13.5" customHeight="1">
      <c r="A821" s="4"/>
      <c r="B821" s="4"/>
      <c r="C821" s="4"/>
      <c r="D821" s="4"/>
      <c r="E821" s="4"/>
      <c r="F821" s="4"/>
      <c r="G821" s="4"/>
      <c r="H821" s="4"/>
      <c r="I821" s="4"/>
      <c r="J821" s="4"/>
      <c r="K821" s="4"/>
      <c r="L821" s="4"/>
      <c r="M821" s="4"/>
      <c r="N821" s="4"/>
      <c r="O821" s="4"/>
      <c r="P821" s="4"/>
      <c r="Q821" s="4"/>
      <c r="R821" s="12"/>
      <c r="S821" s="12"/>
      <c r="T821" s="12"/>
      <c r="U821" s="12"/>
      <c r="V821" s="12"/>
      <c r="W821" s="12"/>
      <c r="X821" s="12"/>
      <c r="Y821" s="12"/>
      <c r="Z821" s="12"/>
      <c r="AA821" s="12"/>
      <c r="AB821" s="12"/>
      <c r="AC821" s="12"/>
      <c r="AD821" s="12"/>
    </row>
    <row r="822" spans="1:30" ht="13.5" customHeight="1">
      <c r="A822" s="4"/>
      <c r="B822" s="4"/>
      <c r="C822" s="4"/>
      <c r="D822" s="4"/>
      <c r="E822" s="4"/>
      <c r="F822" s="4"/>
      <c r="G822" s="4"/>
      <c r="H822" s="4"/>
      <c r="I822" s="4"/>
      <c r="J822" s="4"/>
      <c r="K822" s="4"/>
      <c r="L822" s="4"/>
      <c r="M822" s="4"/>
      <c r="N822" s="4"/>
      <c r="O822" s="4"/>
      <c r="P822" s="4"/>
      <c r="Q822" s="4"/>
      <c r="R822" s="12"/>
      <c r="S822" s="12"/>
      <c r="T822" s="12"/>
      <c r="U822" s="12"/>
      <c r="V822" s="12"/>
      <c r="W822" s="12"/>
      <c r="X822" s="12"/>
      <c r="Y822" s="12"/>
      <c r="Z822" s="12"/>
      <c r="AA822" s="12"/>
      <c r="AB822" s="12"/>
      <c r="AC822" s="12"/>
      <c r="AD822" s="12"/>
    </row>
    <row r="823" spans="1:30" ht="13.5" customHeight="1">
      <c r="A823" s="4"/>
      <c r="B823" s="4"/>
      <c r="C823" s="4"/>
      <c r="D823" s="4"/>
      <c r="E823" s="4"/>
      <c r="F823" s="4"/>
      <c r="G823" s="4"/>
      <c r="H823" s="4"/>
      <c r="I823" s="4"/>
      <c r="J823" s="4"/>
      <c r="K823" s="4"/>
      <c r="L823" s="4"/>
      <c r="M823" s="4"/>
      <c r="N823" s="4"/>
      <c r="O823" s="4"/>
      <c r="P823" s="4"/>
      <c r="Q823" s="4"/>
      <c r="R823" s="12"/>
      <c r="S823" s="12"/>
      <c r="T823" s="12"/>
      <c r="U823" s="12"/>
      <c r="V823" s="12"/>
      <c r="W823" s="12"/>
      <c r="X823" s="12"/>
      <c r="Y823" s="12"/>
      <c r="Z823" s="12"/>
      <c r="AA823" s="12"/>
      <c r="AB823" s="12"/>
      <c r="AC823" s="12"/>
      <c r="AD823" s="12"/>
    </row>
    <row r="824" spans="1:30" ht="13.5" customHeight="1">
      <c r="A824" s="4"/>
      <c r="B824" s="4"/>
      <c r="C824" s="4"/>
      <c r="D824" s="4"/>
      <c r="E824" s="4"/>
      <c r="F824" s="4"/>
      <c r="G824" s="4"/>
      <c r="H824" s="4"/>
      <c r="I824" s="4"/>
      <c r="J824" s="4"/>
      <c r="K824" s="4"/>
      <c r="L824" s="4"/>
      <c r="M824" s="4"/>
      <c r="N824" s="4"/>
      <c r="O824" s="4"/>
      <c r="P824" s="4"/>
      <c r="Q824" s="4"/>
      <c r="R824" s="12"/>
      <c r="S824" s="12"/>
      <c r="T824" s="12"/>
      <c r="U824" s="12"/>
      <c r="V824" s="12"/>
      <c r="W824" s="12"/>
      <c r="X824" s="12"/>
      <c r="Y824" s="12"/>
      <c r="Z824" s="12"/>
      <c r="AA824" s="12"/>
      <c r="AB824" s="12"/>
      <c r="AC824" s="12"/>
      <c r="AD824" s="12"/>
    </row>
    <row r="825" spans="1:30" ht="13.5" customHeight="1">
      <c r="A825" s="4"/>
      <c r="B825" s="4"/>
      <c r="C825" s="4"/>
      <c r="D825" s="4"/>
      <c r="E825" s="4"/>
      <c r="F825" s="4"/>
      <c r="G825" s="4"/>
      <c r="H825" s="4"/>
      <c r="I825" s="4"/>
      <c r="J825" s="4"/>
      <c r="K825" s="4"/>
      <c r="L825" s="4"/>
      <c r="M825" s="4"/>
      <c r="N825" s="4"/>
      <c r="O825" s="4"/>
      <c r="P825" s="4"/>
      <c r="Q825" s="4"/>
      <c r="R825" s="12"/>
      <c r="S825" s="12"/>
      <c r="T825" s="12"/>
      <c r="U825" s="12"/>
      <c r="V825" s="12"/>
      <c r="W825" s="12"/>
      <c r="X825" s="12"/>
      <c r="Y825" s="12"/>
      <c r="Z825" s="12"/>
      <c r="AA825" s="12"/>
      <c r="AB825" s="12"/>
      <c r="AC825" s="12"/>
      <c r="AD825" s="12"/>
    </row>
    <row r="826" spans="1:30" ht="13.5" customHeight="1">
      <c r="A826" s="4"/>
      <c r="B826" s="4"/>
      <c r="C826" s="4"/>
      <c r="D826" s="4"/>
      <c r="E826" s="4"/>
      <c r="F826" s="4"/>
      <c r="G826" s="4"/>
      <c r="H826" s="4"/>
      <c r="I826" s="4"/>
      <c r="J826" s="4"/>
      <c r="K826" s="4"/>
      <c r="L826" s="4"/>
      <c r="M826" s="4"/>
      <c r="N826" s="4"/>
      <c r="O826" s="4"/>
      <c r="P826" s="4"/>
      <c r="Q826" s="4"/>
      <c r="R826" s="12"/>
      <c r="S826" s="12"/>
      <c r="T826" s="12"/>
      <c r="U826" s="12"/>
      <c r="V826" s="12"/>
      <c r="W826" s="12"/>
      <c r="X826" s="12"/>
      <c r="Y826" s="12"/>
      <c r="Z826" s="12"/>
      <c r="AA826" s="12"/>
      <c r="AB826" s="12"/>
      <c r="AC826" s="12"/>
      <c r="AD826" s="12"/>
    </row>
    <row r="827" spans="1:30" ht="13.5" customHeight="1">
      <c r="A827" s="4"/>
      <c r="B827" s="4"/>
      <c r="C827" s="4"/>
      <c r="D827" s="4"/>
      <c r="E827" s="4"/>
      <c r="F827" s="4"/>
      <c r="G827" s="4"/>
      <c r="H827" s="4"/>
      <c r="I827" s="4"/>
      <c r="J827" s="4"/>
      <c r="K827" s="4"/>
      <c r="L827" s="4"/>
      <c r="M827" s="4"/>
      <c r="N827" s="4"/>
      <c r="O827" s="4"/>
      <c r="P827" s="4"/>
      <c r="Q827" s="4"/>
      <c r="R827" s="12"/>
      <c r="S827" s="12"/>
      <c r="T827" s="12"/>
      <c r="U827" s="12"/>
      <c r="V827" s="12"/>
      <c r="W827" s="12"/>
      <c r="X827" s="12"/>
      <c r="Y827" s="12"/>
      <c r="Z827" s="12"/>
      <c r="AA827" s="12"/>
      <c r="AB827" s="12"/>
      <c r="AC827" s="12"/>
      <c r="AD827" s="12"/>
    </row>
    <row r="828" spans="1:30" ht="13.5" customHeight="1">
      <c r="A828" s="4"/>
      <c r="B828" s="4"/>
      <c r="C828" s="4"/>
      <c r="D828" s="4"/>
      <c r="E828" s="4"/>
      <c r="F828" s="4"/>
      <c r="G828" s="4"/>
      <c r="H828" s="4"/>
      <c r="I828" s="4"/>
      <c r="J828" s="4"/>
      <c r="K828" s="4"/>
      <c r="L828" s="4"/>
      <c r="M828" s="4"/>
      <c r="N828" s="4"/>
      <c r="O828" s="4"/>
      <c r="P828" s="4"/>
      <c r="Q828" s="4"/>
      <c r="R828" s="12"/>
      <c r="S828" s="12"/>
      <c r="T828" s="12"/>
      <c r="U828" s="12"/>
      <c r="V828" s="12"/>
      <c r="W828" s="12"/>
      <c r="X828" s="12"/>
      <c r="Y828" s="12"/>
      <c r="Z828" s="12"/>
      <c r="AA828" s="12"/>
      <c r="AB828" s="12"/>
      <c r="AC828" s="12"/>
      <c r="AD828" s="12"/>
    </row>
    <row r="829" spans="1:30" ht="13.5" customHeight="1">
      <c r="A829" s="4"/>
      <c r="B829" s="4"/>
      <c r="C829" s="4"/>
      <c r="D829" s="4"/>
      <c r="E829" s="4"/>
      <c r="F829" s="4"/>
      <c r="G829" s="4"/>
      <c r="H829" s="4"/>
      <c r="I829" s="4"/>
      <c r="J829" s="4"/>
      <c r="K829" s="4"/>
      <c r="L829" s="4"/>
      <c r="M829" s="4"/>
      <c r="N829" s="4"/>
      <c r="O829" s="4"/>
      <c r="P829" s="4"/>
      <c r="Q829" s="4"/>
      <c r="R829" s="12"/>
      <c r="S829" s="12"/>
      <c r="T829" s="12"/>
      <c r="U829" s="12"/>
      <c r="V829" s="12"/>
      <c r="W829" s="12"/>
      <c r="X829" s="12"/>
      <c r="Y829" s="12"/>
      <c r="Z829" s="12"/>
      <c r="AA829" s="12"/>
      <c r="AB829" s="12"/>
      <c r="AC829" s="12"/>
      <c r="AD829" s="12"/>
    </row>
    <row r="830" spans="1:30" ht="13.5" customHeight="1">
      <c r="A830" s="4"/>
      <c r="B830" s="4"/>
      <c r="C830" s="4"/>
      <c r="D830" s="4"/>
      <c r="E830" s="4"/>
      <c r="F830" s="4"/>
      <c r="G830" s="4"/>
      <c r="H830" s="4"/>
      <c r="I830" s="4"/>
      <c r="J830" s="4"/>
      <c r="K830" s="4"/>
      <c r="L830" s="4"/>
      <c r="M830" s="4"/>
      <c r="N830" s="4"/>
      <c r="O830" s="4"/>
      <c r="P830" s="4"/>
      <c r="Q830" s="4"/>
      <c r="R830" s="12"/>
      <c r="S830" s="12"/>
      <c r="T830" s="12"/>
      <c r="U830" s="12"/>
      <c r="V830" s="12"/>
      <c r="W830" s="12"/>
      <c r="X830" s="12"/>
      <c r="Y830" s="12"/>
      <c r="Z830" s="12"/>
      <c r="AA830" s="12"/>
      <c r="AB830" s="12"/>
      <c r="AC830" s="12"/>
      <c r="AD830" s="12"/>
    </row>
    <row r="831" spans="1:30" ht="13.5" customHeight="1">
      <c r="A831" s="4"/>
      <c r="B831" s="4"/>
      <c r="C831" s="4"/>
      <c r="D831" s="4"/>
      <c r="E831" s="4"/>
      <c r="F831" s="4"/>
      <c r="G831" s="4"/>
      <c r="H831" s="4"/>
      <c r="I831" s="4"/>
      <c r="J831" s="4"/>
      <c r="K831" s="4"/>
      <c r="L831" s="4"/>
      <c r="M831" s="4"/>
      <c r="N831" s="4"/>
      <c r="O831" s="4"/>
      <c r="P831" s="4"/>
      <c r="Q831" s="4"/>
      <c r="R831" s="12"/>
      <c r="S831" s="12"/>
      <c r="T831" s="12"/>
      <c r="U831" s="12"/>
      <c r="V831" s="12"/>
      <c r="W831" s="12"/>
      <c r="X831" s="12"/>
      <c r="Y831" s="12"/>
      <c r="Z831" s="12"/>
      <c r="AA831" s="12"/>
      <c r="AB831" s="12"/>
      <c r="AC831" s="12"/>
      <c r="AD831" s="12"/>
    </row>
    <row r="832" spans="1:30" ht="13.5" customHeight="1">
      <c r="A832" s="4"/>
      <c r="B832" s="4"/>
      <c r="C832" s="4"/>
      <c r="D832" s="4"/>
      <c r="E832" s="4"/>
      <c r="F832" s="4"/>
      <c r="G832" s="4"/>
      <c r="H832" s="4"/>
      <c r="I832" s="4"/>
      <c r="J832" s="4"/>
      <c r="K832" s="4"/>
      <c r="L832" s="4"/>
      <c r="M832" s="4"/>
      <c r="N832" s="4"/>
      <c r="O832" s="4"/>
      <c r="P832" s="4"/>
      <c r="Q832" s="4"/>
      <c r="R832" s="12"/>
      <c r="S832" s="12"/>
      <c r="T832" s="12"/>
      <c r="U832" s="12"/>
      <c r="V832" s="12"/>
      <c r="W832" s="12"/>
      <c r="X832" s="12"/>
      <c r="Y832" s="12"/>
      <c r="Z832" s="12"/>
      <c r="AA832" s="12"/>
      <c r="AB832" s="12"/>
      <c r="AC832" s="12"/>
      <c r="AD832" s="12"/>
    </row>
    <row r="833" spans="1:30" ht="13.5" customHeight="1">
      <c r="A833" s="4"/>
      <c r="B833" s="4"/>
      <c r="C833" s="4"/>
      <c r="D833" s="4"/>
      <c r="E833" s="4"/>
      <c r="F833" s="4"/>
      <c r="G833" s="4"/>
      <c r="H833" s="4"/>
      <c r="I833" s="4"/>
      <c r="J833" s="4"/>
      <c r="K833" s="4"/>
      <c r="L833" s="4"/>
      <c r="M833" s="4"/>
      <c r="N833" s="4"/>
      <c r="O833" s="4"/>
      <c r="P833" s="4"/>
      <c r="Q833" s="4"/>
      <c r="R833" s="12"/>
      <c r="S833" s="12"/>
      <c r="T833" s="12"/>
      <c r="U833" s="12"/>
      <c r="V833" s="12"/>
      <c r="W833" s="12"/>
      <c r="X833" s="12"/>
      <c r="Y833" s="12"/>
      <c r="Z833" s="12"/>
      <c r="AA833" s="12"/>
      <c r="AB833" s="12"/>
      <c r="AC833" s="12"/>
      <c r="AD833" s="12"/>
    </row>
    <row r="834" spans="1:30" ht="13.5" customHeight="1">
      <c r="A834" s="4"/>
      <c r="B834" s="4"/>
      <c r="C834" s="4"/>
      <c r="D834" s="4"/>
      <c r="E834" s="4"/>
      <c r="F834" s="4"/>
      <c r="G834" s="4"/>
      <c r="H834" s="4"/>
      <c r="I834" s="4"/>
      <c r="J834" s="4"/>
      <c r="K834" s="4"/>
      <c r="L834" s="4"/>
      <c r="M834" s="4"/>
      <c r="N834" s="4"/>
      <c r="O834" s="4"/>
      <c r="P834" s="4"/>
      <c r="Q834" s="4"/>
      <c r="R834" s="12"/>
      <c r="S834" s="12"/>
      <c r="T834" s="12"/>
      <c r="U834" s="12"/>
      <c r="V834" s="12"/>
      <c r="W834" s="12"/>
      <c r="X834" s="12"/>
      <c r="Y834" s="12"/>
      <c r="Z834" s="12"/>
      <c r="AA834" s="12"/>
      <c r="AB834" s="12"/>
      <c r="AC834" s="12"/>
      <c r="AD834" s="12"/>
    </row>
    <row r="835" spans="1:30" ht="13.5" customHeight="1">
      <c r="A835" s="4"/>
      <c r="B835" s="4"/>
      <c r="C835" s="4"/>
      <c r="D835" s="4"/>
      <c r="E835" s="4"/>
      <c r="F835" s="4"/>
      <c r="G835" s="4"/>
      <c r="H835" s="4"/>
      <c r="I835" s="4"/>
      <c r="J835" s="4"/>
      <c r="K835" s="4"/>
      <c r="L835" s="4"/>
      <c r="M835" s="4"/>
      <c r="N835" s="4"/>
      <c r="O835" s="4"/>
      <c r="P835" s="4"/>
      <c r="Q835" s="4"/>
      <c r="R835" s="12"/>
      <c r="S835" s="12"/>
      <c r="T835" s="12"/>
      <c r="U835" s="12"/>
      <c r="V835" s="12"/>
      <c r="W835" s="12"/>
      <c r="X835" s="12"/>
      <c r="Y835" s="12"/>
      <c r="Z835" s="12"/>
      <c r="AA835" s="12"/>
      <c r="AB835" s="12"/>
      <c r="AC835" s="12"/>
      <c r="AD835" s="12"/>
    </row>
    <row r="836" spans="1:30" ht="13.5" customHeight="1">
      <c r="A836" s="4"/>
      <c r="B836" s="4"/>
      <c r="C836" s="4"/>
      <c r="D836" s="4"/>
      <c r="E836" s="4"/>
      <c r="F836" s="4"/>
      <c r="G836" s="4"/>
      <c r="H836" s="4"/>
      <c r="I836" s="4"/>
      <c r="J836" s="4"/>
      <c r="K836" s="4"/>
      <c r="L836" s="4"/>
      <c r="M836" s="4"/>
      <c r="N836" s="4"/>
      <c r="O836" s="4"/>
      <c r="P836" s="4"/>
      <c r="Q836" s="4"/>
      <c r="R836" s="12"/>
      <c r="S836" s="12"/>
      <c r="T836" s="12"/>
      <c r="U836" s="12"/>
      <c r="V836" s="12"/>
      <c r="W836" s="12"/>
      <c r="X836" s="12"/>
      <c r="Y836" s="12"/>
      <c r="Z836" s="12"/>
      <c r="AA836" s="12"/>
      <c r="AB836" s="12"/>
      <c r="AC836" s="12"/>
      <c r="AD836" s="12"/>
    </row>
    <row r="837" spans="1:30" ht="13.5" customHeight="1">
      <c r="A837" s="4"/>
      <c r="B837" s="4"/>
      <c r="C837" s="4"/>
      <c r="D837" s="4"/>
      <c r="E837" s="4"/>
      <c r="F837" s="4"/>
      <c r="G837" s="4"/>
      <c r="H837" s="4"/>
      <c r="I837" s="4"/>
      <c r="J837" s="4"/>
      <c r="K837" s="4"/>
      <c r="L837" s="4"/>
      <c r="M837" s="4"/>
      <c r="N837" s="4"/>
      <c r="O837" s="4"/>
      <c r="P837" s="4"/>
      <c r="Q837" s="4"/>
      <c r="R837" s="12"/>
      <c r="S837" s="12"/>
      <c r="T837" s="12"/>
      <c r="U837" s="12"/>
      <c r="V837" s="12"/>
      <c r="W837" s="12"/>
      <c r="X837" s="12"/>
      <c r="Y837" s="12"/>
      <c r="Z837" s="12"/>
      <c r="AA837" s="12"/>
      <c r="AB837" s="12"/>
      <c r="AC837" s="12"/>
      <c r="AD837" s="12"/>
    </row>
    <row r="838" spans="1:30" ht="13.5" customHeight="1">
      <c r="A838" s="4"/>
      <c r="B838" s="4"/>
      <c r="C838" s="4"/>
      <c r="D838" s="4"/>
      <c r="E838" s="4"/>
      <c r="F838" s="4"/>
      <c r="G838" s="4"/>
      <c r="H838" s="4"/>
      <c r="I838" s="4"/>
      <c r="J838" s="4"/>
      <c r="K838" s="4"/>
      <c r="L838" s="4"/>
      <c r="M838" s="4"/>
      <c r="N838" s="4"/>
      <c r="O838" s="4"/>
      <c r="P838" s="4"/>
      <c r="Q838" s="4"/>
      <c r="R838" s="12"/>
      <c r="S838" s="12"/>
      <c r="T838" s="12"/>
      <c r="U838" s="12"/>
      <c r="V838" s="12"/>
      <c r="W838" s="12"/>
      <c r="X838" s="12"/>
      <c r="Y838" s="12"/>
      <c r="Z838" s="12"/>
      <c r="AA838" s="12"/>
      <c r="AB838" s="12"/>
      <c r="AC838" s="12"/>
      <c r="AD838" s="12"/>
    </row>
    <row r="839" spans="1:30" ht="13.5" customHeight="1">
      <c r="A839" s="4"/>
      <c r="B839" s="4"/>
      <c r="C839" s="4"/>
      <c r="D839" s="4"/>
      <c r="E839" s="4"/>
      <c r="F839" s="4"/>
      <c r="G839" s="4"/>
      <c r="H839" s="4"/>
      <c r="I839" s="4"/>
      <c r="J839" s="4"/>
      <c r="K839" s="4"/>
      <c r="L839" s="4"/>
      <c r="M839" s="4"/>
      <c r="N839" s="4"/>
      <c r="O839" s="4"/>
      <c r="P839" s="4"/>
      <c r="Q839" s="4"/>
      <c r="R839" s="12"/>
      <c r="S839" s="12"/>
      <c r="T839" s="12"/>
      <c r="U839" s="12"/>
      <c r="V839" s="12"/>
      <c r="W839" s="12"/>
      <c r="X839" s="12"/>
      <c r="Y839" s="12"/>
      <c r="Z839" s="12"/>
      <c r="AA839" s="12"/>
      <c r="AB839" s="12"/>
      <c r="AC839" s="12"/>
      <c r="AD839" s="12"/>
    </row>
    <row r="840" spans="1:30" ht="13.5" customHeight="1">
      <c r="A840" s="4"/>
      <c r="B840" s="4"/>
      <c r="C840" s="4"/>
      <c r="D840" s="4"/>
      <c r="E840" s="4"/>
      <c r="F840" s="4"/>
      <c r="G840" s="4"/>
      <c r="H840" s="4"/>
      <c r="I840" s="4"/>
      <c r="J840" s="4"/>
      <c r="K840" s="4"/>
      <c r="L840" s="4"/>
      <c r="M840" s="4"/>
      <c r="N840" s="4"/>
      <c r="O840" s="4"/>
      <c r="P840" s="4"/>
      <c r="Q840" s="4"/>
      <c r="R840" s="12"/>
      <c r="S840" s="12"/>
      <c r="T840" s="12"/>
      <c r="U840" s="12"/>
      <c r="V840" s="12"/>
      <c r="W840" s="12"/>
      <c r="X840" s="12"/>
      <c r="Y840" s="12"/>
      <c r="Z840" s="12"/>
      <c r="AA840" s="12"/>
      <c r="AB840" s="12"/>
      <c r="AC840" s="12"/>
      <c r="AD840" s="12"/>
    </row>
    <row r="841" spans="1:30" ht="13.5" customHeight="1">
      <c r="A841" s="4"/>
      <c r="B841" s="4"/>
      <c r="C841" s="4"/>
      <c r="D841" s="4"/>
      <c r="E841" s="4"/>
      <c r="F841" s="4"/>
      <c r="G841" s="4"/>
      <c r="H841" s="4"/>
      <c r="I841" s="4"/>
      <c r="J841" s="4"/>
      <c r="K841" s="4"/>
      <c r="L841" s="4"/>
      <c r="M841" s="4"/>
      <c r="N841" s="4"/>
      <c r="O841" s="4"/>
      <c r="P841" s="4"/>
      <c r="Q841" s="4"/>
      <c r="R841" s="12"/>
      <c r="S841" s="12"/>
      <c r="T841" s="12"/>
      <c r="U841" s="12"/>
      <c r="V841" s="12"/>
      <c r="W841" s="12"/>
      <c r="X841" s="12"/>
      <c r="Y841" s="12"/>
      <c r="Z841" s="12"/>
      <c r="AA841" s="12"/>
      <c r="AB841" s="12"/>
      <c r="AC841" s="12"/>
      <c r="AD841" s="12"/>
    </row>
    <row r="842" spans="1:30" ht="13.5" customHeight="1">
      <c r="A842" s="4"/>
      <c r="B842" s="4"/>
      <c r="C842" s="4"/>
      <c r="D842" s="4"/>
      <c r="E842" s="4"/>
      <c r="F842" s="4"/>
      <c r="G842" s="4"/>
      <c r="H842" s="4"/>
      <c r="I842" s="4"/>
      <c r="J842" s="4"/>
      <c r="K842" s="4"/>
      <c r="L842" s="4"/>
      <c r="M842" s="4"/>
      <c r="N842" s="4"/>
      <c r="O842" s="4"/>
      <c r="P842" s="4"/>
      <c r="Q842" s="4"/>
      <c r="R842" s="12"/>
      <c r="S842" s="12"/>
      <c r="T842" s="12"/>
      <c r="U842" s="12"/>
      <c r="V842" s="12"/>
      <c r="W842" s="12"/>
      <c r="X842" s="12"/>
      <c r="Y842" s="12"/>
      <c r="Z842" s="12"/>
      <c r="AA842" s="12"/>
      <c r="AB842" s="12"/>
      <c r="AC842" s="12"/>
      <c r="AD842" s="12"/>
    </row>
    <row r="843" spans="1:30" ht="13.5" customHeight="1">
      <c r="A843" s="4"/>
      <c r="B843" s="4"/>
      <c r="C843" s="4"/>
      <c r="D843" s="4"/>
      <c r="E843" s="4"/>
      <c r="F843" s="4"/>
      <c r="G843" s="4"/>
      <c r="H843" s="4"/>
      <c r="I843" s="4"/>
      <c r="J843" s="4"/>
      <c r="K843" s="4"/>
      <c r="L843" s="4"/>
      <c r="M843" s="4"/>
      <c r="N843" s="4"/>
      <c r="O843" s="4"/>
      <c r="P843" s="4"/>
      <c r="Q843" s="4"/>
      <c r="R843" s="12"/>
      <c r="S843" s="12"/>
      <c r="T843" s="12"/>
      <c r="U843" s="12"/>
      <c r="V843" s="12"/>
      <c r="W843" s="12"/>
      <c r="X843" s="12"/>
      <c r="Y843" s="12"/>
      <c r="Z843" s="12"/>
      <c r="AA843" s="12"/>
      <c r="AB843" s="12"/>
      <c r="AC843" s="12"/>
      <c r="AD843" s="12"/>
    </row>
    <row r="844" spans="1:30" ht="13.5" customHeight="1">
      <c r="A844" s="4"/>
      <c r="B844" s="4"/>
      <c r="C844" s="4"/>
      <c r="D844" s="4"/>
      <c r="E844" s="4"/>
      <c r="F844" s="4"/>
      <c r="G844" s="4"/>
      <c r="H844" s="4"/>
      <c r="I844" s="4"/>
      <c r="J844" s="4"/>
      <c r="K844" s="4"/>
      <c r="L844" s="4"/>
      <c r="M844" s="4"/>
      <c r="N844" s="4"/>
      <c r="O844" s="4"/>
      <c r="P844" s="4"/>
      <c r="Q844" s="4"/>
      <c r="R844" s="12"/>
      <c r="S844" s="12"/>
      <c r="T844" s="12"/>
      <c r="U844" s="12"/>
      <c r="V844" s="12"/>
      <c r="W844" s="12"/>
      <c r="X844" s="12"/>
      <c r="Y844" s="12"/>
      <c r="Z844" s="12"/>
      <c r="AA844" s="12"/>
      <c r="AB844" s="12"/>
      <c r="AC844" s="12"/>
      <c r="AD844" s="12"/>
    </row>
    <row r="845" spans="1:30" ht="13.5" customHeight="1">
      <c r="A845" s="4"/>
      <c r="B845" s="4"/>
      <c r="C845" s="4"/>
      <c r="D845" s="4"/>
      <c r="E845" s="4"/>
      <c r="F845" s="4"/>
      <c r="G845" s="4"/>
      <c r="H845" s="4"/>
      <c r="I845" s="4"/>
      <c r="J845" s="4"/>
      <c r="K845" s="4"/>
      <c r="L845" s="4"/>
      <c r="M845" s="4"/>
      <c r="N845" s="4"/>
      <c r="O845" s="4"/>
      <c r="P845" s="4"/>
      <c r="Q845" s="4"/>
      <c r="R845" s="12"/>
      <c r="S845" s="12"/>
      <c r="T845" s="12"/>
      <c r="U845" s="12"/>
      <c r="V845" s="12"/>
      <c r="W845" s="12"/>
      <c r="X845" s="12"/>
      <c r="Y845" s="12"/>
      <c r="Z845" s="12"/>
      <c r="AA845" s="12"/>
      <c r="AB845" s="12"/>
      <c r="AC845" s="12"/>
      <c r="AD845" s="12"/>
    </row>
    <row r="846" spans="1:30" ht="13.5" customHeight="1">
      <c r="A846" s="4"/>
      <c r="B846" s="4"/>
      <c r="C846" s="4"/>
      <c r="D846" s="4"/>
      <c r="E846" s="4"/>
      <c r="F846" s="4"/>
      <c r="G846" s="4"/>
      <c r="H846" s="4"/>
      <c r="I846" s="4"/>
      <c r="J846" s="4"/>
      <c r="K846" s="4"/>
      <c r="L846" s="4"/>
      <c r="M846" s="4"/>
      <c r="N846" s="4"/>
      <c r="O846" s="4"/>
      <c r="P846" s="4"/>
      <c r="Q846" s="4"/>
      <c r="R846" s="12"/>
      <c r="S846" s="12"/>
      <c r="T846" s="12"/>
      <c r="U846" s="12"/>
      <c r="V846" s="12"/>
      <c r="W846" s="12"/>
      <c r="X846" s="12"/>
      <c r="Y846" s="12"/>
      <c r="Z846" s="12"/>
      <c r="AA846" s="12"/>
      <c r="AB846" s="12"/>
      <c r="AC846" s="12"/>
      <c r="AD846" s="12"/>
    </row>
    <row r="847" spans="1:30" ht="13.5" customHeight="1">
      <c r="A847" s="4"/>
      <c r="B847" s="4"/>
      <c r="C847" s="4"/>
      <c r="D847" s="4"/>
      <c r="E847" s="4"/>
      <c r="F847" s="4"/>
      <c r="G847" s="4"/>
      <c r="H847" s="4"/>
      <c r="I847" s="4"/>
      <c r="J847" s="4"/>
      <c r="K847" s="4"/>
      <c r="L847" s="4"/>
      <c r="M847" s="4"/>
      <c r="N847" s="4"/>
      <c r="O847" s="4"/>
      <c r="P847" s="4"/>
      <c r="Q847" s="4"/>
      <c r="R847" s="12"/>
      <c r="S847" s="12"/>
      <c r="T847" s="12"/>
      <c r="U847" s="12"/>
      <c r="V847" s="12"/>
      <c r="W847" s="12"/>
      <c r="X847" s="12"/>
      <c r="Y847" s="12"/>
      <c r="Z847" s="12"/>
      <c r="AA847" s="12"/>
      <c r="AB847" s="12"/>
      <c r="AC847" s="12"/>
      <c r="AD847" s="12"/>
    </row>
    <row r="848" spans="1:30" ht="13.5" customHeight="1">
      <c r="A848" s="4"/>
      <c r="B848" s="4"/>
      <c r="C848" s="4"/>
      <c r="D848" s="4"/>
      <c r="E848" s="4"/>
      <c r="F848" s="4"/>
      <c r="G848" s="4"/>
      <c r="H848" s="4"/>
      <c r="I848" s="4"/>
      <c r="J848" s="4"/>
      <c r="K848" s="4"/>
      <c r="L848" s="4"/>
      <c r="M848" s="4"/>
      <c r="N848" s="4"/>
      <c r="O848" s="4"/>
      <c r="P848" s="4"/>
      <c r="Q848" s="4"/>
      <c r="R848" s="12"/>
      <c r="S848" s="12"/>
      <c r="T848" s="12"/>
      <c r="U848" s="12"/>
      <c r="V848" s="12"/>
      <c r="W848" s="12"/>
      <c r="X848" s="12"/>
      <c r="Y848" s="12"/>
      <c r="Z848" s="12"/>
      <c r="AA848" s="12"/>
      <c r="AB848" s="12"/>
      <c r="AC848" s="12"/>
      <c r="AD848" s="12"/>
    </row>
    <row r="849" spans="1:30" ht="13.5" customHeight="1">
      <c r="A849" s="4"/>
      <c r="B849" s="4"/>
      <c r="C849" s="4"/>
      <c r="D849" s="4"/>
      <c r="E849" s="4"/>
      <c r="F849" s="4"/>
      <c r="G849" s="4"/>
      <c r="H849" s="4"/>
      <c r="I849" s="4"/>
      <c r="J849" s="4"/>
      <c r="K849" s="4"/>
      <c r="L849" s="4"/>
      <c r="M849" s="4"/>
      <c r="N849" s="4"/>
      <c r="O849" s="4"/>
      <c r="P849" s="4"/>
      <c r="Q849" s="4"/>
      <c r="R849" s="12"/>
      <c r="S849" s="12"/>
      <c r="T849" s="12"/>
      <c r="U849" s="12"/>
      <c r="V849" s="12"/>
      <c r="W849" s="12"/>
      <c r="X849" s="12"/>
      <c r="Y849" s="12"/>
      <c r="Z849" s="12"/>
      <c r="AA849" s="12"/>
      <c r="AB849" s="12"/>
      <c r="AC849" s="12"/>
      <c r="AD849" s="12"/>
    </row>
    <row r="850" spans="1:30" ht="13.5" customHeight="1">
      <c r="A850" s="4"/>
      <c r="B850" s="4"/>
      <c r="C850" s="4"/>
      <c r="D850" s="4"/>
      <c r="E850" s="4"/>
      <c r="F850" s="4"/>
      <c r="G850" s="4"/>
      <c r="H850" s="4"/>
      <c r="I850" s="4"/>
      <c r="J850" s="4"/>
      <c r="K850" s="4"/>
      <c r="L850" s="4"/>
      <c r="M850" s="4"/>
      <c r="N850" s="4"/>
      <c r="O850" s="4"/>
      <c r="P850" s="4"/>
      <c r="Q850" s="4"/>
      <c r="R850" s="12"/>
      <c r="S850" s="12"/>
      <c r="T850" s="12"/>
      <c r="U850" s="12"/>
      <c r="V850" s="12"/>
      <c r="W850" s="12"/>
      <c r="X850" s="12"/>
      <c r="Y850" s="12"/>
      <c r="Z850" s="12"/>
      <c r="AA850" s="12"/>
      <c r="AB850" s="12"/>
      <c r="AC850" s="12"/>
      <c r="AD850" s="12"/>
    </row>
    <row r="851" spans="1:30" ht="13.5" customHeight="1">
      <c r="A851" s="4"/>
      <c r="B851" s="4"/>
      <c r="C851" s="4"/>
      <c r="D851" s="4"/>
      <c r="E851" s="4"/>
      <c r="F851" s="4"/>
      <c r="G851" s="4"/>
      <c r="H851" s="4"/>
      <c r="I851" s="4"/>
      <c r="J851" s="4"/>
      <c r="K851" s="4"/>
      <c r="L851" s="4"/>
      <c r="M851" s="4"/>
      <c r="N851" s="4"/>
      <c r="O851" s="4"/>
      <c r="P851" s="4"/>
      <c r="Q851" s="4"/>
      <c r="R851" s="12"/>
      <c r="S851" s="12"/>
      <c r="T851" s="12"/>
      <c r="U851" s="12"/>
      <c r="V851" s="12"/>
      <c r="W851" s="12"/>
      <c r="X851" s="12"/>
      <c r="Y851" s="12"/>
      <c r="Z851" s="12"/>
      <c r="AA851" s="12"/>
      <c r="AB851" s="12"/>
      <c r="AC851" s="12"/>
      <c r="AD851" s="12"/>
    </row>
    <row r="852" spans="1:30" ht="13.5" customHeight="1">
      <c r="A852" s="4"/>
      <c r="B852" s="4"/>
      <c r="C852" s="4"/>
      <c r="D852" s="4"/>
      <c r="E852" s="4"/>
      <c r="F852" s="4"/>
      <c r="G852" s="4"/>
      <c r="H852" s="4"/>
      <c r="I852" s="4"/>
      <c r="J852" s="4"/>
      <c r="K852" s="4"/>
      <c r="L852" s="4"/>
      <c r="M852" s="4"/>
      <c r="N852" s="4"/>
      <c r="O852" s="4"/>
      <c r="P852" s="4"/>
      <c r="Q852" s="4"/>
      <c r="R852" s="12"/>
      <c r="S852" s="12"/>
      <c r="T852" s="12"/>
      <c r="U852" s="12"/>
      <c r="V852" s="12"/>
      <c r="W852" s="12"/>
      <c r="X852" s="12"/>
      <c r="Y852" s="12"/>
      <c r="Z852" s="12"/>
      <c r="AA852" s="12"/>
      <c r="AB852" s="12"/>
      <c r="AC852" s="12"/>
      <c r="AD852" s="12"/>
    </row>
    <row r="853" spans="1:30" ht="13.5" customHeight="1">
      <c r="A853" s="4"/>
      <c r="B853" s="4"/>
      <c r="C853" s="4"/>
      <c r="D853" s="4"/>
      <c r="E853" s="4"/>
      <c r="F853" s="4"/>
      <c r="G853" s="4"/>
      <c r="H853" s="4"/>
      <c r="I853" s="4"/>
      <c r="J853" s="4"/>
      <c r="K853" s="4"/>
      <c r="L853" s="4"/>
      <c r="M853" s="4"/>
      <c r="N853" s="4"/>
      <c r="O853" s="4"/>
      <c r="P853" s="4"/>
      <c r="Q853" s="4"/>
      <c r="R853" s="12"/>
      <c r="S853" s="12"/>
      <c r="T853" s="12"/>
      <c r="U853" s="12"/>
      <c r="V853" s="12"/>
      <c r="W853" s="12"/>
      <c r="X853" s="12"/>
      <c r="Y853" s="12"/>
      <c r="Z853" s="12"/>
      <c r="AA853" s="12"/>
      <c r="AB853" s="12"/>
      <c r="AC853" s="12"/>
      <c r="AD853" s="12"/>
    </row>
    <row r="854" spans="1:30" ht="13.5" customHeight="1">
      <c r="A854" s="4"/>
      <c r="B854" s="4"/>
      <c r="C854" s="4"/>
      <c r="D854" s="4"/>
      <c r="E854" s="4"/>
      <c r="F854" s="4"/>
      <c r="G854" s="4"/>
      <c r="H854" s="4"/>
      <c r="I854" s="4"/>
      <c r="J854" s="4"/>
      <c r="K854" s="4"/>
      <c r="L854" s="4"/>
      <c r="M854" s="4"/>
      <c r="N854" s="4"/>
      <c r="O854" s="4"/>
      <c r="P854" s="4"/>
      <c r="Q854" s="4"/>
      <c r="R854" s="12"/>
      <c r="S854" s="12"/>
      <c r="T854" s="12"/>
      <c r="U854" s="12"/>
      <c r="V854" s="12"/>
      <c r="W854" s="12"/>
      <c r="X854" s="12"/>
      <c r="Y854" s="12"/>
      <c r="Z854" s="12"/>
      <c r="AA854" s="12"/>
      <c r="AB854" s="12"/>
      <c r="AC854" s="12"/>
      <c r="AD854" s="12"/>
    </row>
    <row r="855" spans="1:30" ht="13.5" customHeight="1">
      <c r="A855" s="4"/>
      <c r="B855" s="4"/>
      <c r="C855" s="4"/>
      <c r="D855" s="4"/>
      <c r="E855" s="4"/>
      <c r="F855" s="4"/>
      <c r="G855" s="4"/>
      <c r="H855" s="4"/>
      <c r="I855" s="4"/>
      <c r="J855" s="4"/>
      <c r="K855" s="4"/>
      <c r="L855" s="4"/>
      <c r="M855" s="4"/>
      <c r="N855" s="4"/>
      <c r="O855" s="4"/>
      <c r="P855" s="4"/>
      <c r="Q855" s="4"/>
      <c r="R855" s="12"/>
      <c r="S855" s="12"/>
      <c r="T855" s="12"/>
      <c r="U855" s="12"/>
      <c r="V855" s="12"/>
      <c r="W855" s="12"/>
      <c r="X855" s="12"/>
      <c r="Y855" s="12"/>
      <c r="Z855" s="12"/>
      <c r="AA855" s="12"/>
      <c r="AB855" s="12"/>
      <c r="AC855" s="12"/>
      <c r="AD855" s="12"/>
    </row>
    <row r="856" spans="1:30" ht="13.5" customHeight="1">
      <c r="A856" s="4"/>
      <c r="B856" s="4"/>
      <c r="C856" s="4"/>
      <c r="D856" s="4"/>
      <c r="E856" s="4"/>
      <c r="F856" s="4"/>
      <c r="G856" s="4"/>
      <c r="H856" s="4"/>
      <c r="I856" s="4"/>
      <c r="J856" s="4"/>
      <c r="K856" s="4"/>
      <c r="L856" s="4"/>
      <c r="M856" s="4"/>
      <c r="N856" s="4"/>
      <c r="O856" s="4"/>
      <c r="P856" s="4"/>
      <c r="Q856" s="4"/>
      <c r="R856" s="12"/>
      <c r="S856" s="12"/>
      <c r="T856" s="12"/>
      <c r="U856" s="12"/>
      <c r="V856" s="12"/>
      <c r="W856" s="12"/>
      <c r="X856" s="12"/>
      <c r="Y856" s="12"/>
      <c r="Z856" s="12"/>
      <c r="AA856" s="12"/>
      <c r="AB856" s="12"/>
      <c r="AC856" s="12"/>
      <c r="AD856" s="12"/>
    </row>
    <row r="857" spans="1:30" ht="13.5" customHeight="1">
      <c r="A857" s="4"/>
      <c r="B857" s="4"/>
      <c r="C857" s="4"/>
      <c r="D857" s="4"/>
      <c r="E857" s="4"/>
      <c r="F857" s="4"/>
      <c r="G857" s="4"/>
      <c r="H857" s="4"/>
      <c r="I857" s="4"/>
      <c r="J857" s="4"/>
      <c r="K857" s="4"/>
      <c r="L857" s="4"/>
      <c r="M857" s="4"/>
      <c r="N857" s="4"/>
      <c r="O857" s="4"/>
      <c r="P857" s="4"/>
      <c r="Q857" s="4"/>
      <c r="R857" s="12"/>
      <c r="S857" s="12"/>
      <c r="T857" s="12"/>
      <c r="U857" s="12"/>
      <c r="V857" s="12"/>
      <c r="W857" s="12"/>
      <c r="X857" s="12"/>
      <c r="Y857" s="12"/>
      <c r="Z857" s="12"/>
      <c r="AA857" s="12"/>
      <c r="AB857" s="12"/>
      <c r="AC857" s="12"/>
      <c r="AD857" s="12"/>
    </row>
    <row r="858" spans="1:30" ht="13.5" customHeight="1">
      <c r="A858" s="4"/>
      <c r="B858" s="4"/>
      <c r="C858" s="4"/>
      <c r="D858" s="4"/>
      <c r="E858" s="4"/>
      <c r="F858" s="4"/>
      <c r="G858" s="4"/>
      <c r="H858" s="4"/>
      <c r="I858" s="4"/>
      <c r="J858" s="4"/>
      <c r="K858" s="4"/>
      <c r="L858" s="4"/>
      <c r="M858" s="4"/>
      <c r="N858" s="4"/>
      <c r="O858" s="4"/>
      <c r="P858" s="4"/>
      <c r="Q858" s="4"/>
      <c r="R858" s="12"/>
      <c r="S858" s="12"/>
      <c r="T858" s="12"/>
      <c r="U858" s="12"/>
      <c r="V858" s="12"/>
      <c r="W858" s="12"/>
      <c r="X858" s="12"/>
      <c r="Y858" s="12"/>
      <c r="Z858" s="12"/>
      <c r="AA858" s="12"/>
      <c r="AB858" s="12"/>
      <c r="AC858" s="12"/>
      <c r="AD858" s="12"/>
    </row>
    <row r="859" spans="1:30" ht="13.5" customHeight="1">
      <c r="A859" s="4"/>
      <c r="B859" s="4"/>
      <c r="C859" s="4"/>
      <c r="D859" s="4"/>
      <c r="E859" s="4"/>
      <c r="F859" s="4"/>
      <c r="G859" s="4"/>
      <c r="H859" s="4"/>
      <c r="I859" s="4"/>
      <c r="J859" s="4"/>
      <c r="K859" s="4"/>
      <c r="L859" s="4"/>
      <c r="M859" s="4"/>
      <c r="N859" s="4"/>
      <c r="O859" s="4"/>
      <c r="P859" s="4"/>
      <c r="Q859" s="4"/>
      <c r="R859" s="12"/>
      <c r="S859" s="12"/>
      <c r="T859" s="12"/>
      <c r="U859" s="12"/>
      <c r="V859" s="12"/>
      <c r="W859" s="12"/>
      <c r="X859" s="12"/>
      <c r="Y859" s="12"/>
      <c r="Z859" s="12"/>
      <c r="AA859" s="12"/>
      <c r="AB859" s="12"/>
      <c r="AC859" s="12"/>
      <c r="AD859" s="12"/>
    </row>
    <row r="860" spans="1:30" ht="13.5" customHeight="1">
      <c r="A860" s="4"/>
      <c r="B860" s="4"/>
      <c r="C860" s="4"/>
      <c r="D860" s="4"/>
      <c r="E860" s="4"/>
      <c r="F860" s="4"/>
      <c r="G860" s="4"/>
      <c r="H860" s="4"/>
      <c r="I860" s="4"/>
      <c r="J860" s="4"/>
      <c r="K860" s="4"/>
      <c r="L860" s="4"/>
      <c r="M860" s="4"/>
      <c r="N860" s="4"/>
      <c r="O860" s="4"/>
      <c r="P860" s="4"/>
      <c r="Q860" s="4"/>
      <c r="R860" s="12"/>
      <c r="S860" s="12"/>
      <c r="T860" s="12"/>
      <c r="U860" s="12"/>
      <c r="V860" s="12"/>
      <c r="W860" s="12"/>
      <c r="X860" s="12"/>
      <c r="Y860" s="12"/>
      <c r="Z860" s="12"/>
      <c r="AA860" s="12"/>
      <c r="AB860" s="12"/>
      <c r="AC860" s="12"/>
      <c r="AD860" s="12"/>
    </row>
    <row r="861" spans="1:30" ht="13.5" customHeight="1">
      <c r="A861" s="4"/>
      <c r="B861" s="4"/>
      <c r="C861" s="4"/>
      <c r="D861" s="4"/>
      <c r="E861" s="4"/>
      <c r="F861" s="4"/>
      <c r="G861" s="4"/>
      <c r="H861" s="4"/>
      <c r="I861" s="4"/>
      <c r="J861" s="4"/>
      <c r="K861" s="4"/>
      <c r="L861" s="4"/>
      <c r="M861" s="4"/>
      <c r="N861" s="4"/>
      <c r="O861" s="4"/>
      <c r="P861" s="4"/>
      <c r="Q861" s="4"/>
      <c r="R861" s="12"/>
      <c r="S861" s="12"/>
      <c r="T861" s="12"/>
      <c r="U861" s="12"/>
      <c r="V861" s="12"/>
      <c r="W861" s="12"/>
      <c r="X861" s="12"/>
      <c r="Y861" s="12"/>
      <c r="Z861" s="12"/>
      <c r="AA861" s="12"/>
      <c r="AB861" s="12"/>
      <c r="AC861" s="12"/>
      <c r="AD861" s="12"/>
    </row>
    <row r="862" spans="1:30" ht="13.5" customHeight="1">
      <c r="A862" s="4"/>
      <c r="B862" s="4"/>
      <c r="C862" s="4"/>
      <c r="D862" s="4"/>
      <c r="E862" s="4"/>
      <c r="F862" s="4"/>
      <c r="G862" s="4"/>
      <c r="H862" s="4"/>
      <c r="I862" s="4"/>
      <c r="J862" s="4"/>
      <c r="K862" s="4"/>
      <c r="L862" s="4"/>
      <c r="M862" s="4"/>
      <c r="N862" s="4"/>
      <c r="O862" s="4"/>
      <c r="P862" s="4"/>
      <c r="Q862" s="4"/>
      <c r="R862" s="12"/>
      <c r="S862" s="12"/>
      <c r="T862" s="12"/>
      <c r="U862" s="12"/>
      <c r="V862" s="12"/>
      <c r="W862" s="12"/>
      <c r="X862" s="12"/>
      <c r="Y862" s="12"/>
      <c r="Z862" s="12"/>
      <c r="AA862" s="12"/>
      <c r="AB862" s="12"/>
      <c r="AC862" s="12"/>
      <c r="AD862" s="12"/>
    </row>
    <row r="863" spans="1:30" ht="13.5" customHeight="1">
      <c r="A863" s="4"/>
      <c r="B863" s="4"/>
      <c r="C863" s="4"/>
      <c r="D863" s="4"/>
      <c r="E863" s="4"/>
      <c r="F863" s="4"/>
      <c r="G863" s="4"/>
      <c r="H863" s="4"/>
      <c r="I863" s="4"/>
      <c r="J863" s="4"/>
      <c r="K863" s="4"/>
      <c r="L863" s="4"/>
      <c r="M863" s="4"/>
      <c r="N863" s="4"/>
      <c r="O863" s="4"/>
      <c r="P863" s="4"/>
      <c r="Q863" s="4"/>
      <c r="R863" s="12"/>
      <c r="S863" s="12"/>
      <c r="T863" s="12"/>
      <c r="U863" s="12"/>
      <c r="V863" s="12"/>
      <c r="W863" s="12"/>
      <c r="X863" s="12"/>
      <c r="Y863" s="12"/>
      <c r="Z863" s="12"/>
      <c r="AA863" s="12"/>
      <c r="AB863" s="12"/>
      <c r="AC863" s="12"/>
      <c r="AD863" s="12"/>
    </row>
    <row r="864" spans="1:30" ht="13.5" customHeight="1">
      <c r="A864" s="4"/>
      <c r="B864" s="4"/>
      <c r="C864" s="4"/>
      <c r="D864" s="4"/>
      <c r="E864" s="4"/>
      <c r="F864" s="4"/>
      <c r="G864" s="4"/>
      <c r="H864" s="4"/>
      <c r="I864" s="4"/>
      <c r="J864" s="4"/>
      <c r="K864" s="4"/>
      <c r="L864" s="4"/>
      <c r="M864" s="4"/>
      <c r="N864" s="4"/>
      <c r="O864" s="4"/>
      <c r="P864" s="4"/>
      <c r="Q864" s="4"/>
      <c r="R864" s="12"/>
      <c r="S864" s="12"/>
      <c r="T864" s="12"/>
      <c r="U864" s="12"/>
      <c r="V864" s="12"/>
      <c r="W864" s="12"/>
      <c r="X864" s="12"/>
      <c r="Y864" s="12"/>
      <c r="Z864" s="12"/>
      <c r="AA864" s="12"/>
      <c r="AB864" s="12"/>
      <c r="AC864" s="12"/>
      <c r="AD864" s="12"/>
    </row>
    <row r="865" spans="1:30" ht="13.5" customHeight="1">
      <c r="A865" s="4"/>
      <c r="B865" s="4"/>
      <c r="C865" s="4"/>
      <c r="D865" s="4"/>
      <c r="E865" s="4"/>
      <c r="F865" s="4"/>
      <c r="G865" s="4"/>
      <c r="H865" s="4"/>
      <c r="I865" s="4"/>
      <c r="J865" s="4"/>
      <c r="K865" s="4"/>
      <c r="L865" s="4"/>
      <c r="M865" s="4"/>
      <c r="N865" s="4"/>
      <c r="O865" s="4"/>
      <c r="P865" s="4"/>
      <c r="Q865" s="4"/>
      <c r="R865" s="12"/>
      <c r="S865" s="12"/>
      <c r="T865" s="12"/>
      <c r="U865" s="12"/>
      <c r="V865" s="12"/>
      <c r="W865" s="12"/>
      <c r="X865" s="12"/>
      <c r="Y865" s="12"/>
      <c r="Z865" s="12"/>
      <c r="AA865" s="12"/>
      <c r="AB865" s="12"/>
      <c r="AC865" s="12"/>
      <c r="AD865" s="12"/>
    </row>
    <row r="866" spans="1:30" ht="13.5" customHeight="1">
      <c r="A866" s="4"/>
      <c r="B866" s="4"/>
      <c r="C866" s="4"/>
      <c r="D866" s="4"/>
      <c r="E866" s="4"/>
      <c r="F866" s="4"/>
      <c r="G866" s="4"/>
      <c r="H866" s="4"/>
      <c r="I866" s="4"/>
      <c r="J866" s="4"/>
      <c r="K866" s="4"/>
      <c r="L866" s="4"/>
      <c r="M866" s="4"/>
      <c r="N866" s="4"/>
      <c r="O866" s="4"/>
      <c r="P866" s="4"/>
      <c r="Q866" s="4"/>
      <c r="R866" s="12"/>
      <c r="S866" s="12"/>
      <c r="T866" s="12"/>
      <c r="U866" s="12"/>
      <c r="V866" s="12"/>
      <c r="W866" s="12"/>
      <c r="X866" s="12"/>
      <c r="Y866" s="12"/>
      <c r="Z866" s="12"/>
      <c r="AA866" s="12"/>
      <c r="AB866" s="12"/>
      <c r="AC866" s="12"/>
      <c r="AD866" s="12"/>
    </row>
    <row r="867" spans="1:30" ht="13.5" customHeight="1">
      <c r="A867" s="4"/>
      <c r="B867" s="4"/>
      <c r="C867" s="4"/>
      <c r="D867" s="4"/>
      <c r="E867" s="4"/>
      <c r="F867" s="4"/>
      <c r="G867" s="4"/>
      <c r="H867" s="4"/>
      <c r="I867" s="4"/>
      <c r="J867" s="4"/>
      <c r="K867" s="4"/>
      <c r="L867" s="4"/>
      <c r="M867" s="4"/>
      <c r="N867" s="4"/>
      <c r="O867" s="4"/>
      <c r="P867" s="4"/>
      <c r="Q867" s="4"/>
      <c r="R867" s="12"/>
      <c r="S867" s="12"/>
      <c r="T867" s="12"/>
      <c r="U867" s="12"/>
      <c r="V867" s="12"/>
      <c r="W867" s="12"/>
      <c r="X867" s="12"/>
      <c r="Y867" s="12"/>
      <c r="Z867" s="12"/>
      <c r="AA867" s="12"/>
      <c r="AB867" s="12"/>
      <c r="AC867" s="12"/>
      <c r="AD867" s="12"/>
    </row>
    <row r="868" spans="1:30" ht="13.5" customHeight="1">
      <c r="A868" s="4"/>
      <c r="B868" s="4"/>
      <c r="C868" s="4"/>
      <c r="D868" s="4"/>
      <c r="E868" s="4"/>
      <c r="F868" s="4"/>
      <c r="G868" s="4"/>
      <c r="H868" s="4"/>
      <c r="I868" s="4"/>
      <c r="J868" s="4"/>
      <c r="K868" s="4"/>
      <c r="L868" s="4"/>
      <c r="M868" s="4"/>
      <c r="N868" s="4"/>
      <c r="O868" s="4"/>
      <c r="P868" s="4"/>
      <c r="Q868" s="4"/>
      <c r="R868" s="12"/>
      <c r="S868" s="12"/>
      <c r="T868" s="12"/>
      <c r="U868" s="12"/>
      <c r="V868" s="12"/>
      <c r="W868" s="12"/>
      <c r="X868" s="12"/>
      <c r="Y868" s="12"/>
      <c r="Z868" s="12"/>
      <c r="AA868" s="12"/>
      <c r="AB868" s="12"/>
      <c r="AC868" s="12"/>
      <c r="AD868" s="12"/>
    </row>
    <row r="869" spans="1:30" ht="13.5" customHeight="1">
      <c r="A869" s="4"/>
      <c r="B869" s="4"/>
      <c r="C869" s="4"/>
      <c r="D869" s="4"/>
      <c r="E869" s="4"/>
      <c r="F869" s="4"/>
      <c r="G869" s="4"/>
      <c r="H869" s="4"/>
      <c r="I869" s="4"/>
      <c r="J869" s="4"/>
      <c r="K869" s="4"/>
      <c r="L869" s="4"/>
      <c r="M869" s="4"/>
      <c r="N869" s="4"/>
      <c r="O869" s="4"/>
      <c r="P869" s="4"/>
      <c r="Q869" s="4"/>
      <c r="R869" s="12"/>
      <c r="S869" s="12"/>
      <c r="T869" s="12"/>
      <c r="U869" s="12"/>
      <c r="V869" s="12"/>
      <c r="W869" s="12"/>
      <c r="X869" s="12"/>
      <c r="Y869" s="12"/>
      <c r="Z869" s="12"/>
      <c r="AA869" s="12"/>
      <c r="AB869" s="12"/>
      <c r="AC869" s="12"/>
      <c r="AD869" s="12"/>
    </row>
    <row r="870" spans="1:30" ht="13.5" customHeight="1">
      <c r="A870" s="4"/>
      <c r="B870" s="4"/>
      <c r="C870" s="4"/>
      <c r="D870" s="4"/>
      <c r="E870" s="4"/>
      <c r="F870" s="4"/>
      <c r="G870" s="4"/>
      <c r="H870" s="4"/>
      <c r="I870" s="4"/>
      <c r="J870" s="4"/>
      <c r="K870" s="4"/>
      <c r="L870" s="4"/>
      <c r="M870" s="4"/>
      <c r="N870" s="4"/>
      <c r="O870" s="4"/>
      <c r="P870" s="4"/>
      <c r="Q870" s="4"/>
      <c r="R870" s="12"/>
      <c r="S870" s="12"/>
      <c r="T870" s="12"/>
      <c r="U870" s="12"/>
      <c r="V870" s="12"/>
      <c r="W870" s="12"/>
      <c r="X870" s="12"/>
      <c r="Y870" s="12"/>
      <c r="Z870" s="12"/>
      <c r="AA870" s="12"/>
      <c r="AB870" s="12"/>
      <c r="AC870" s="12"/>
      <c r="AD870" s="12"/>
    </row>
    <row r="871" spans="1:30" ht="13.5" customHeight="1">
      <c r="A871" s="4"/>
      <c r="B871" s="4"/>
      <c r="C871" s="4"/>
      <c r="D871" s="4"/>
      <c r="E871" s="4"/>
      <c r="F871" s="4"/>
      <c r="G871" s="4"/>
      <c r="H871" s="4"/>
      <c r="I871" s="4"/>
      <c r="J871" s="4"/>
      <c r="K871" s="4"/>
      <c r="L871" s="4"/>
      <c r="M871" s="4"/>
      <c r="N871" s="4"/>
      <c r="O871" s="4"/>
      <c r="P871" s="4"/>
      <c r="Q871" s="4"/>
      <c r="R871" s="12"/>
      <c r="S871" s="12"/>
      <c r="T871" s="12"/>
      <c r="U871" s="12"/>
      <c r="V871" s="12"/>
      <c r="W871" s="12"/>
      <c r="X871" s="12"/>
      <c r="Y871" s="12"/>
      <c r="Z871" s="12"/>
      <c r="AA871" s="12"/>
      <c r="AB871" s="12"/>
      <c r="AC871" s="12"/>
      <c r="AD871" s="12"/>
    </row>
    <row r="872" spans="1:30" ht="13.5" customHeight="1">
      <c r="A872" s="4"/>
      <c r="B872" s="4"/>
      <c r="C872" s="4"/>
      <c r="D872" s="4"/>
      <c r="E872" s="4"/>
      <c r="F872" s="4"/>
      <c r="G872" s="4"/>
      <c r="H872" s="4"/>
      <c r="I872" s="4"/>
      <c r="J872" s="4"/>
      <c r="K872" s="4"/>
      <c r="L872" s="4"/>
      <c r="M872" s="4"/>
      <c r="N872" s="4"/>
      <c r="O872" s="4"/>
      <c r="P872" s="4"/>
      <c r="Q872" s="4"/>
      <c r="R872" s="12"/>
      <c r="S872" s="12"/>
      <c r="T872" s="12"/>
      <c r="U872" s="12"/>
      <c r="V872" s="12"/>
      <c r="W872" s="12"/>
      <c r="X872" s="12"/>
      <c r="Y872" s="12"/>
      <c r="Z872" s="12"/>
      <c r="AA872" s="12"/>
      <c r="AB872" s="12"/>
      <c r="AC872" s="12"/>
      <c r="AD872" s="12"/>
    </row>
    <row r="873" spans="1:30" ht="13.5" customHeight="1">
      <c r="A873" s="4"/>
      <c r="B873" s="4"/>
      <c r="C873" s="4"/>
      <c r="D873" s="4"/>
      <c r="E873" s="4"/>
      <c r="F873" s="4"/>
      <c r="G873" s="4"/>
      <c r="H873" s="4"/>
      <c r="I873" s="4"/>
      <c r="J873" s="4"/>
      <c r="K873" s="4"/>
      <c r="L873" s="4"/>
      <c r="M873" s="4"/>
      <c r="N873" s="4"/>
      <c r="O873" s="4"/>
      <c r="P873" s="4"/>
      <c r="Q873" s="4"/>
      <c r="R873" s="12"/>
      <c r="S873" s="12"/>
      <c r="T873" s="12"/>
      <c r="U873" s="12"/>
      <c r="V873" s="12"/>
      <c r="W873" s="12"/>
      <c r="X873" s="12"/>
      <c r="Y873" s="12"/>
      <c r="Z873" s="12"/>
      <c r="AA873" s="12"/>
      <c r="AB873" s="12"/>
      <c r="AC873" s="12"/>
      <c r="AD873" s="12"/>
    </row>
    <row r="874" spans="1:30" ht="13.5" customHeight="1">
      <c r="A874" s="4"/>
      <c r="B874" s="4"/>
      <c r="C874" s="4"/>
      <c r="D874" s="4"/>
      <c r="E874" s="4"/>
      <c r="F874" s="4"/>
      <c r="G874" s="4"/>
      <c r="H874" s="4"/>
      <c r="I874" s="4"/>
      <c r="J874" s="4"/>
      <c r="K874" s="4"/>
      <c r="L874" s="4"/>
      <c r="M874" s="4"/>
      <c r="N874" s="4"/>
      <c r="O874" s="4"/>
      <c r="P874" s="4"/>
      <c r="Q874" s="4"/>
      <c r="R874" s="12"/>
      <c r="S874" s="12"/>
      <c r="T874" s="12"/>
      <c r="U874" s="12"/>
      <c r="V874" s="12"/>
      <c r="W874" s="12"/>
      <c r="X874" s="12"/>
      <c r="Y874" s="12"/>
      <c r="Z874" s="12"/>
      <c r="AA874" s="12"/>
      <c r="AB874" s="12"/>
      <c r="AC874" s="12"/>
      <c r="AD874" s="12"/>
    </row>
    <row r="875" spans="1:30" ht="13.5" customHeight="1">
      <c r="A875" s="4"/>
      <c r="B875" s="4"/>
      <c r="C875" s="4"/>
      <c r="D875" s="4"/>
      <c r="E875" s="4"/>
      <c r="F875" s="4"/>
      <c r="G875" s="4"/>
      <c r="H875" s="4"/>
      <c r="I875" s="4"/>
      <c r="J875" s="4"/>
      <c r="K875" s="4"/>
      <c r="L875" s="4"/>
      <c r="M875" s="4"/>
      <c r="N875" s="4"/>
      <c r="O875" s="4"/>
      <c r="P875" s="4"/>
      <c r="Q875" s="4"/>
      <c r="R875" s="12"/>
      <c r="S875" s="12"/>
      <c r="T875" s="12"/>
      <c r="U875" s="12"/>
      <c r="V875" s="12"/>
      <c r="W875" s="12"/>
      <c r="X875" s="12"/>
      <c r="Y875" s="12"/>
      <c r="Z875" s="12"/>
      <c r="AA875" s="12"/>
      <c r="AB875" s="12"/>
      <c r="AC875" s="12"/>
      <c r="AD875" s="12"/>
    </row>
    <row r="876" spans="1:30" ht="13.5" customHeight="1">
      <c r="A876" s="4"/>
      <c r="B876" s="4"/>
      <c r="C876" s="4"/>
      <c r="D876" s="4"/>
      <c r="E876" s="4"/>
      <c r="F876" s="4"/>
      <c r="G876" s="4"/>
      <c r="H876" s="4"/>
      <c r="I876" s="4"/>
      <c r="J876" s="4"/>
      <c r="K876" s="4"/>
      <c r="L876" s="4"/>
      <c r="M876" s="4"/>
      <c r="N876" s="4"/>
      <c r="O876" s="4"/>
      <c r="P876" s="4"/>
      <c r="Q876" s="4"/>
      <c r="R876" s="12"/>
      <c r="S876" s="12"/>
      <c r="T876" s="12"/>
      <c r="U876" s="12"/>
      <c r="V876" s="12"/>
      <c r="W876" s="12"/>
      <c r="X876" s="12"/>
      <c r="Y876" s="12"/>
      <c r="Z876" s="12"/>
      <c r="AA876" s="12"/>
      <c r="AB876" s="12"/>
      <c r="AC876" s="12"/>
      <c r="AD876" s="12"/>
    </row>
    <row r="877" spans="1:30" ht="13.5" customHeight="1">
      <c r="A877" s="4"/>
      <c r="B877" s="4"/>
      <c r="C877" s="4"/>
      <c r="D877" s="4"/>
      <c r="E877" s="4"/>
      <c r="F877" s="4"/>
      <c r="G877" s="4"/>
      <c r="H877" s="4"/>
      <c r="I877" s="4"/>
      <c r="J877" s="4"/>
      <c r="K877" s="4"/>
      <c r="L877" s="4"/>
      <c r="M877" s="4"/>
      <c r="N877" s="4"/>
      <c r="O877" s="4"/>
      <c r="P877" s="4"/>
      <c r="Q877" s="4"/>
      <c r="R877" s="12"/>
      <c r="S877" s="12"/>
      <c r="T877" s="12"/>
      <c r="U877" s="12"/>
      <c r="V877" s="12"/>
      <c r="W877" s="12"/>
      <c r="X877" s="12"/>
      <c r="Y877" s="12"/>
      <c r="Z877" s="12"/>
      <c r="AA877" s="12"/>
      <c r="AB877" s="12"/>
      <c r="AC877" s="12"/>
      <c r="AD877" s="12"/>
    </row>
    <row r="878" spans="1:30" ht="13.5" customHeight="1">
      <c r="A878" s="4"/>
      <c r="B878" s="4"/>
      <c r="C878" s="4"/>
      <c r="D878" s="4"/>
      <c r="E878" s="4"/>
      <c r="F878" s="4"/>
      <c r="G878" s="4"/>
      <c r="H878" s="4"/>
      <c r="I878" s="4"/>
      <c r="J878" s="4"/>
      <c r="K878" s="4"/>
      <c r="L878" s="4"/>
      <c r="M878" s="4"/>
      <c r="N878" s="4"/>
      <c r="O878" s="4"/>
      <c r="P878" s="4"/>
      <c r="Q878" s="4"/>
      <c r="R878" s="12"/>
      <c r="S878" s="12"/>
      <c r="T878" s="12"/>
      <c r="U878" s="12"/>
      <c r="V878" s="12"/>
      <c r="W878" s="12"/>
      <c r="X878" s="12"/>
      <c r="Y878" s="12"/>
      <c r="Z878" s="12"/>
      <c r="AA878" s="12"/>
      <c r="AB878" s="12"/>
      <c r="AC878" s="12"/>
      <c r="AD878" s="12"/>
    </row>
    <row r="879" spans="1:30" ht="13.5" customHeight="1">
      <c r="A879" s="4"/>
      <c r="B879" s="4"/>
      <c r="C879" s="4"/>
      <c r="D879" s="4"/>
      <c r="E879" s="4"/>
      <c r="F879" s="4"/>
      <c r="G879" s="4"/>
      <c r="H879" s="4"/>
      <c r="I879" s="4"/>
      <c r="J879" s="4"/>
      <c r="K879" s="4"/>
      <c r="L879" s="4"/>
      <c r="M879" s="4"/>
      <c r="N879" s="4"/>
      <c r="O879" s="4"/>
      <c r="P879" s="4"/>
      <c r="Q879" s="4"/>
      <c r="R879" s="12"/>
      <c r="S879" s="12"/>
      <c r="T879" s="12"/>
      <c r="U879" s="12"/>
      <c r="V879" s="12"/>
      <c r="W879" s="12"/>
      <c r="X879" s="12"/>
      <c r="Y879" s="12"/>
      <c r="Z879" s="12"/>
      <c r="AA879" s="12"/>
      <c r="AB879" s="12"/>
      <c r="AC879" s="12"/>
      <c r="AD879" s="12"/>
    </row>
    <row r="880" spans="1:30" ht="13.5" customHeight="1">
      <c r="A880" s="4"/>
      <c r="B880" s="4"/>
      <c r="C880" s="4"/>
      <c r="D880" s="4"/>
      <c r="E880" s="4"/>
      <c r="F880" s="4"/>
      <c r="G880" s="4"/>
      <c r="H880" s="4"/>
      <c r="I880" s="4"/>
      <c r="J880" s="4"/>
      <c r="K880" s="4"/>
      <c r="L880" s="4"/>
      <c r="M880" s="4"/>
      <c r="N880" s="4"/>
      <c r="O880" s="4"/>
      <c r="P880" s="4"/>
      <c r="Q880" s="4"/>
      <c r="R880" s="12"/>
      <c r="S880" s="12"/>
      <c r="T880" s="12"/>
      <c r="U880" s="12"/>
      <c r="V880" s="12"/>
      <c r="W880" s="12"/>
      <c r="X880" s="12"/>
      <c r="Y880" s="12"/>
      <c r="Z880" s="12"/>
      <c r="AA880" s="12"/>
      <c r="AB880" s="12"/>
      <c r="AC880" s="12"/>
      <c r="AD880" s="12"/>
    </row>
    <row r="881" spans="1:30" ht="13.5" customHeight="1">
      <c r="A881" s="4"/>
      <c r="B881" s="4"/>
      <c r="C881" s="4"/>
      <c r="D881" s="4"/>
      <c r="E881" s="4"/>
      <c r="F881" s="4"/>
      <c r="G881" s="4"/>
      <c r="H881" s="4"/>
      <c r="I881" s="4"/>
      <c r="J881" s="4"/>
      <c r="K881" s="4"/>
      <c r="L881" s="4"/>
      <c r="M881" s="4"/>
      <c r="N881" s="4"/>
      <c r="O881" s="4"/>
      <c r="P881" s="4"/>
      <c r="Q881" s="4"/>
      <c r="R881" s="12"/>
      <c r="S881" s="12"/>
      <c r="T881" s="12"/>
      <c r="U881" s="12"/>
      <c r="V881" s="12"/>
      <c r="W881" s="12"/>
      <c r="X881" s="12"/>
      <c r="Y881" s="12"/>
      <c r="Z881" s="12"/>
      <c r="AA881" s="12"/>
      <c r="AB881" s="12"/>
      <c r="AC881" s="12"/>
      <c r="AD881" s="12"/>
    </row>
    <row r="882" spans="1:30" ht="13.5" customHeight="1">
      <c r="A882" s="4"/>
      <c r="B882" s="4"/>
      <c r="C882" s="4"/>
      <c r="D882" s="4"/>
      <c r="E882" s="4"/>
      <c r="F882" s="4"/>
      <c r="G882" s="4"/>
      <c r="H882" s="4"/>
      <c r="I882" s="4"/>
      <c r="J882" s="4"/>
      <c r="K882" s="4"/>
      <c r="L882" s="4"/>
      <c r="M882" s="4"/>
      <c r="N882" s="4"/>
      <c r="O882" s="4"/>
      <c r="P882" s="4"/>
      <c r="Q882" s="4"/>
      <c r="R882" s="12"/>
      <c r="S882" s="12"/>
      <c r="T882" s="12"/>
      <c r="U882" s="12"/>
      <c r="V882" s="12"/>
      <c r="W882" s="12"/>
      <c r="X882" s="12"/>
      <c r="Y882" s="12"/>
      <c r="Z882" s="12"/>
      <c r="AA882" s="12"/>
      <c r="AB882" s="12"/>
      <c r="AC882" s="12"/>
      <c r="AD882" s="12"/>
    </row>
    <row r="883" spans="1:30" ht="13.5" customHeight="1">
      <c r="A883" s="4"/>
      <c r="B883" s="4"/>
      <c r="C883" s="4"/>
      <c r="D883" s="4"/>
      <c r="E883" s="4"/>
      <c r="F883" s="4"/>
      <c r="G883" s="4"/>
      <c r="H883" s="4"/>
      <c r="I883" s="4"/>
      <c r="J883" s="4"/>
      <c r="K883" s="4"/>
      <c r="L883" s="4"/>
      <c r="M883" s="4"/>
      <c r="N883" s="4"/>
      <c r="O883" s="4"/>
      <c r="P883" s="4"/>
      <c r="Q883" s="4"/>
      <c r="R883" s="12"/>
      <c r="S883" s="12"/>
      <c r="T883" s="12"/>
      <c r="U883" s="12"/>
      <c r="V883" s="12"/>
      <c r="W883" s="12"/>
      <c r="X883" s="12"/>
      <c r="Y883" s="12"/>
      <c r="Z883" s="12"/>
      <c r="AA883" s="12"/>
      <c r="AB883" s="12"/>
      <c r="AC883" s="12"/>
      <c r="AD883" s="12"/>
    </row>
    <row r="884" spans="1:30" ht="13.5" customHeight="1">
      <c r="A884" s="4"/>
      <c r="B884" s="4"/>
      <c r="C884" s="4"/>
      <c r="D884" s="4"/>
      <c r="E884" s="4"/>
      <c r="F884" s="4"/>
      <c r="G884" s="4"/>
      <c r="H884" s="4"/>
      <c r="I884" s="4"/>
      <c r="J884" s="4"/>
      <c r="K884" s="4"/>
      <c r="L884" s="4"/>
      <c r="M884" s="4"/>
      <c r="N884" s="4"/>
      <c r="O884" s="4"/>
      <c r="P884" s="4"/>
      <c r="Q884" s="4"/>
      <c r="R884" s="12"/>
      <c r="S884" s="12"/>
      <c r="T884" s="12"/>
      <c r="U884" s="12"/>
      <c r="V884" s="12"/>
      <c r="W884" s="12"/>
      <c r="X884" s="12"/>
      <c r="Y884" s="12"/>
      <c r="Z884" s="12"/>
      <c r="AA884" s="12"/>
      <c r="AB884" s="12"/>
      <c r="AC884" s="12"/>
      <c r="AD884" s="12"/>
    </row>
    <row r="885" spans="1:30" ht="13.5" customHeight="1">
      <c r="A885" s="4"/>
      <c r="B885" s="4"/>
      <c r="C885" s="4"/>
      <c r="D885" s="4"/>
      <c r="E885" s="4"/>
      <c r="F885" s="4"/>
      <c r="G885" s="4"/>
      <c r="H885" s="4"/>
      <c r="I885" s="4"/>
      <c r="J885" s="4"/>
      <c r="K885" s="4"/>
      <c r="L885" s="4"/>
      <c r="M885" s="4"/>
      <c r="N885" s="4"/>
      <c r="O885" s="4"/>
      <c r="P885" s="4"/>
      <c r="Q885" s="4"/>
      <c r="R885" s="12"/>
      <c r="S885" s="12"/>
      <c r="T885" s="12"/>
      <c r="U885" s="12"/>
      <c r="V885" s="12"/>
      <c r="W885" s="12"/>
      <c r="X885" s="12"/>
      <c r="Y885" s="12"/>
      <c r="Z885" s="12"/>
      <c r="AA885" s="12"/>
      <c r="AB885" s="12"/>
      <c r="AC885" s="12"/>
      <c r="AD885" s="12"/>
    </row>
    <row r="886" spans="1:30" ht="13.5" customHeight="1">
      <c r="A886" s="4"/>
      <c r="B886" s="4"/>
      <c r="C886" s="4"/>
      <c r="D886" s="4"/>
      <c r="E886" s="4"/>
      <c r="F886" s="4"/>
      <c r="G886" s="4"/>
      <c r="H886" s="4"/>
      <c r="I886" s="4"/>
      <c r="J886" s="4"/>
      <c r="K886" s="4"/>
      <c r="L886" s="4"/>
      <c r="M886" s="4"/>
      <c r="N886" s="4"/>
      <c r="O886" s="4"/>
      <c r="P886" s="4"/>
      <c r="Q886" s="4"/>
      <c r="R886" s="12"/>
      <c r="S886" s="12"/>
      <c r="T886" s="12"/>
      <c r="U886" s="12"/>
      <c r="V886" s="12"/>
      <c r="W886" s="12"/>
      <c r="X886" s="12"/>
      <c r="Y886" s="12"/>
      <c r="Z886" s="12"/>
      <c r="AA886" s="12"/>
      <c r="AB886" s="12"/>
      <c r="AC886" s="12"/>
      <c r="AD886" s="12"/>
    </row>
    <row r="887" spans="1:30" ht="13.5" customHeight="1">
      <c r="A887" s="4"/>
      <c r="B887" s="4"/>
      <c r="C887" s="4"/>
      <c r="D887" s="4"/>
      <c r="E887" s="4"/>
      <c r="F887" s="4"/>
      <c r="G887" s="4"/>
      <c r="H887" s="4"/>
      <c r="I887" s="4"/>
      <c r="J887" s="4"/>
      <c r="K887" s="4"/>
      <c r="L887" s="4"/>
      <c r="M887" s="4"/>
      <c r="N887" s="4"/>
      <c r="O887" s="4"/>
      <c r="P887" s="4"/>
      <c r="Q887" s="4"/>
      <c r="R887" s="12"/>
      <c r="S887" s="12"/>
      <c r="T887" s="12"/>
      <c r="U887" s="12"/>
      <c r="V887" s="12"/>
      <c r="W887" s="12"/>
      <c r="X887" s="12"/>
      <c r="Y887" s="12"/>
      <c r="Z887" s="12"/>
      <c r="AA887" s="12"/>
      <c r="AB887" s="12"/>
      <c r="AC887" s="12"/>
      <c r="AD887" s="12"/>
    </row>
    <row r="888" spans="1:30" ht="13.5" customHeight="1">
      <c r="A888" s="4"/>
      <c r="B888" s="4"/>
      <c r="C888" s="4"/>
      <c r="D888" s="4"/>
      <c r="E888" s="4"/>
      <c r="F888" s="4"/>
      <c r="G888" s="4"/>
      <c r="H888" s="4"/>
      <c r="I888" s="4"/>
      <c r="J888" s="4"/>
      <c r="K888" s="4"/>
      <c r="L888" s="4"/>
      <c r="M888" s="4"/>
      <c r="N888" s="4"/>
      <c r="O888" s="4"/>
      <c r="P888" s="4"/>
      <c r="Q888" s="4"/>
      <c r="R888" s="12"/>
      <c r="S888" s="12"/>
      <c r="T888" s="12"/>
      <c r="U888" s="12"/>
      <c r="V888" s="12"/>
      <c r="W888" s="12"/>
      <c r="X888" s="12"/>
      <c r="Y888" s="12"/>
      <c r="Z888" s="12"/>
      <c r="AA888" s="12"/>
      <c r="AB888" s="12"/>
      <c r="AC888" s="12"/>
      <c r="AD888" s="12"/>
    </row>
    <row r="889" spans="1:30" ht="13.5" customHeight="1">
      <c r="A889" s="4"/>
      <c r="B889" s="4"/>
      <c r="C889" s="4"/>
      <c r="D889" s="4"/>
      <c r="E889" s="4"/>
      <c r="F889" s="4"/>
      <c r="G889" s="4"/>
      <c r="H889" s="4"/>
      <c r="I889" s="4"/>
      <c r="J889" s="4"/>
      <c r="K889" s="4"/>
      <c r="L889" s="4"/>
      <c r="M889" s="4"/>
      <c r="N889" s="4"/>
      <c r="O889" s="4"/>
      <c r="P889" s="4"/>
      <c r="Q889" s="4"/>
      <c r="R889" s="12"/>
      <c r="S889" s="12"/>
      <c r="T889" s="12"/>
      <c r="U889" s="12"/>
      <c r="V889" s="12"/>
      <c r="W889" s="12"/>
      <c r="X889" s="12"/>
      <c r="Y889" s="12"/>
      <c r="Z889" s="12"/>
      <c r="AA889" s="12"/>
      <c r="AB889" s="12"/>
      <c r="AC889" s="12"/>
      <c r="AD889" s="12"/>
    </row>
    <row r="890" spans="1:30" ht="13.5" customHeight="1">
      <c r="A890" s="4"/>
      <c r="B890" s="4"/>
      <c r="C890" s="4"/>
      <c r="D890" s="4"/>
      <c r="E890" s="4"/>
      <c r="F890" s="4"/>
      <c r="G890" s="4"/>
      <c r="H890" s="4"/>
      <c r="I890" s="4"/>
      <c r="J890" s="4"/>
      <c r="K890" s="4"/>
      <c r="L890" s="4"/>
      <c r="M890" s="4"/>
      <c r="N890" s="4"/>
      <c r="O890" s="4"/>
      <c r="P890" s="4"/>
      <c r="Q890" s="4"/>
      <c r="R890" s="12"/>
      <c r="S890" s="12"/>
      <c r="T890" s="12"/>
      <c r="U890" s="12"/>
      <c r="V890" s="12"/>
      <c r="W890" s="12"/>
      <c r="X890" s="12"/>
      <c r="Y890" s="12"/>
      <c r="Z890" s="12"/>
      <c r="AA890" s="12"/>
      <c r="AB890" s="12"/>
      <c r="AC890" s="12"/>
      <c r="AD890" s="12"/>
    </row>
    <row r="891" spans="1:30" ht="13.5" customHeight="1">
      <c r="A891" s="4"/>
      <c r="B891" s="4"/>
      <c r="C891" s="4"/>
      <c r="D891" s="4"/>
      <c r="E891" s="4"/>
      <c r="F891" s="4"/>
      <c r="G891" s="4"/>
      <c r="H891" s="4"/>
      <c r="I891" s="4"/>
      <c r="J891" s="4"/>
      <c r="K891" s="4"/>
      <c r="L891" s="4"/>
      <c r="M891" s="4"/>
      <c r="N891" s="4"/>
      <c r="O891" s="4"/>
      <c r="P891" s="4"/>
      <c r="Q891" s="4"/>
      <c r="R891" s="12"/>
      <c r="S891" s="12"/>
      <c r="T891" s="12"/>
      <c r="U891" s="12"/>
      <c r="V891" s="12"/>
      <c r="W891" s="12"/>
      <c r="X891" s="12"/>
      <c r="Y891" s="12"/>
      <c r="Z891" s="12"/>
      <c r="AA891" s="12"/>
      <c r="AB891" s="12"/>
      <c r="AC891" s="12"/>
      <c r="AD891" s="12"/>
    </row>
    <row r="892" spans="1:30" ht="13.5" customHeight="1">
      <c r="A892" s="4"/>
      <c r="B892" s="4"/>
      <c r="C892" s="4"/>
      <c r="D892" s="4"/>
      <c r="E892" s="4"/>
      <c r="F892" s="4"/>
      <c r="G892" s="4"/>
      <c r="H892" s="4"/>
      <c r="I892" s="4"/>
      <c r="J892" s="4"/>
      <c r="K892" s="4"/>
      <c r="L892" s="4"/>
      <c r="M892" s="4"/>
      <c r="N892" s="4"/>
      <c r="O892" s="4"/>
      <c r="P892" s="4"/>
      <c r="Q892" s="4"/>
      <c r="R892" s="12"/>
      <c r="S892" s="12"/>
      <c r="T892" s="12"/>
      <c r="U892" s="12"/>
      <c r="V892" s="12"/>
      <c r="W892" s="12"/>
      <c r="X892" s="12"/>
      <c r="Y892" s="12"/>
      <c r="Z892" s="12"/>
      <c r="AA892" s="12"/>
      <c r="AB892" s="12"/>
      <c r="AC892" s="12"/>
      <c r="AD892" s="12"/>
    </row>
    <row r="893" spans="1:30" ht="13.5" customHeight="1">
      <c r="A893" s="4"/>
      <c r="B893" s="4"/>
      <c r="C893" s="4"/>
      <c r="D893" s="4"/>
      <c r="E893" s="4"/>
      <c r="F893" s="4"/>
      <c r="G893" s="4"/>
      <c r="H893" s="4"/>
      <c r="I893" s="4"/>
      <c r="J893" s="4"/>
      <c r="K893" s="4"/>
      <c r="L893" s="4"/>
      <c r="M893" s="4"/>
      <c r="N893" s="4"/>
      <c r="O893" s="4"/>
      <c r="P893" s="4"/>
      <c r="Q893" s="4"/>
      <c r="R893" s="12"/>
      <c r="S893" s="12"/>
      <c r="T893" s="12"/>
      <c r="U893" s="12"/>
      <c r="V893" s="12"/>
      <c r="W893" s="12"/>
      <c r="X893" s="12"/>
      <c r="Y893" s="12"/>
      <c r="Z893" s="12"/>
      <c r="AA893" s="12"/>
      <c r="AB893" s="12"/>
      <c r="AC893" s="12"/>
      <c r="AD893" s="12"/>
    </row>
    <row r="894" spans="1:30" ht="13.5" customHeight="1">
      <c r="A894" s="4"/>
      <c r="B894" s="4"/>
      <c r="C894" s="4"/>
      <c r="D894" s="4"/>
      <c r="E894" s="4"/>
      <c r="F894" s="4"/>
      <c r="G894" s="4"/>
      <c r="H894" s="4"/>
      <c r="I894" s="4"/>
      <c r="J894" s="4"/>
      <c r="K894" s="4"/>
      <c r="L894" s="4"/>
      <c r="M894" s="4"/>
      <c r="N894" s="4"/>
      <c r="O894" s="4"/>
      <c r="P894" s="4"/>
      <c r="Q894" s="4"/>
      <c r="R894" s="12"/>
      <c r="S894" s="12"/>
      <c r="T894" s="12"/>
      <c r="U894" s="12"/>
      <c r="V894" s="12"/>
      <c r="W894" s="12"/>
      <c r="X894" s="12"/>
      <c r="Y894" s="12"/>
      <c r="Z894" s="12"/>
      <c r="AA894" s="12"/>
      <c r="AB894" s="12"/>
      <c r="AC894" s="12"/>
      <c r="AD894" s="12"/>
    </row>
    <row r="895" spans="1:30" ht="13.5" customHeight="1">
      <c r="A895" s="4"/>
      <c r="B895" s="4"/>
      <c r="C895" s="4"/>
      <c r="D895" s="4"/>
      <c r="E895" s="4"/>
      <c r="F895" s="4"/>
      <c r="G895" s="4"/>
      <c r="H895" s="4"/>
      <c r="I895" s="4"/>
      <c r="J895" s="4"/>
      <c r="K895" s="4"/>
      <c r="L895" s="4"/>
      <c r="M895" s="4"/>
      <c r="N895" s="4"/>
      <c r="O895" s="4"/>
      <c r="P895" s="4"/>
      <c r="Q895" s="4"/>
      <c r="R895" s="12"/>
      <c r="S895" s="12"/>
      <c r="T895" s="12"/>
      <c r="U895" s="12"/>
      <c r="V895" s="12"/>
      <c r="W895" s="12"/>
      <c r="X895" s="12"/>
      <c r="Y895" s="12"/>
      <c r="Z895" s="12"/>
      <c r="AA895" s="12"/>
      <c r="AB895" s="12"/>
      <c r="AC895" s="12"/>
      <c r="AD895" s="12"/>
    </row>
    <row r="896" spans="1:30" ht="13.5" customHeight="1">
      <c r="A896" s="4"/>
      <c r="B896" s="4"/>
      <c r="C896" s="4"/>
      <c r="D896" s="4"/>
      <c r="E896" s="4"/>
      <c r="F896" s="4"/>
      <c r="G896" s="4"/>
      <c r="H896" s="4"/>
      <c r="I896" s="4"/>
      <c r="J896" s="4"/>
      <c r="K896" s="4"/>
      <c r="L896" s="4"/>
      <c r="M896" s="4"/>
      <c r="N896" s="4"/>
      <c r="O896" s="4"/>
      <c r="P896" s="4"/>
      <c r="Q896" s="4"/>
      <c r="R896" s="12"/>
      <c r="S896" s="12"/>
      <c r="T896" s="12"/>
      <c r="U896" s="12"/>
      <c r="V896" s="12"/>
      <c r="W896" s="12"/>
      <c r="X896" s="12"/>
      <c r="Y896" s="12"/>
      <c r="Z896" s="12"/>
      <c r="AA896" s="12"/>
      <c r="AB896" s="12"/>
      <c r="AC896" s="12"/>
      <c r="AD896" s="12"/>
    </row>
    <row r="897" spans="1:30" ht="13.5" customHeight="1">
      <c r="A897" s="4"/>
      <c r="B897" s="4"/>
      <c r="C897" s="4"/>
      <c r="D897" s="4"/>
      <c r="E897" s="4"/>
      <c r="F897" s="4"/>
      <c r="G897" s="4"/>
      <c r="H897" s="4"/>
      <c r="I897" s="4"/>
      <c r="J897" s="4"/>
      <c r="K897" s="4"/>
      <c r="L897" s="4"/>
      <c r="M897" s="4"/>
      <c r="N897" s="4"/>
      <c r="O897" s="4"/>
      <c r="P897" s="4"/>
      <c r="Q897" s="4"/>
      <c r="R897" s="12"/>
      <c r="S897" s="12"/>
      <c r="T897" s="12"/>
      <c r="U897" s="12"/>
      <c r="V897" s="12"/>
      <c r="W897" s="12"/>
      <c r="X897" s="12"/>
      <c r="Y897" s="12"/>
      <c r="Z897" s="12"/>
      <c r="AA897" s="12"/>
      <c r="AB897" s="12"/>
      <c r="AC897" s="12"/>
      <c r="AD897" s="12"/>
    </row>
    <row r="898" spans="1:30" ht="13.5" customHeight="1">
      <c r="A898" s="4"/>
      <c r="B898" s="4"/>
      <c r="C898" s="4"/>
      <c r="D898" s="4"/>
      <c r="E898" s="4"/>
      <c r="F898" s="4"/>
      <c r="G898" s="4"/>
      <c r="H898" s="4"/>
      <c r="I898" s="4"/>
      <c r="J898" s="4"/>
      <c r="K898" s="4"/>
      <c r="L898" s="4"/>
      <c r="M898" s="4"/>
      <c r="N898" s="4"/>
      <c r="O898" s="4"/>
      <c r="P898" s="4"/>
      <c r="Q898" s="4"/>
      <c r="R898" s="12"/>
      <c r="S898" s="12"/>
      <c r="T898" s="12"/>
      <c r="U898" s="12"/>
      <c r="V898" s="12"/>
      <c r="W898" s="12"/>
      <c r="X898" s="12"/>
      <c r="Y898" s="12"/>
      <c r="Z898" s="12"/>
      <c r="AA898" s="12"/>
      <c r="AB898" s="12"/>
      <c r="AC898" s="12"/>
      <c r="AD898" s="12"/>
    </row>
    <row r="899" spans="1:30" ht="13.5" customHeight="1">
      <c r="A899" s="4"/>
      <c r="B899" s="4"/>
      <c r="C899" s="4"/>
      <c r="D899" s="4"/>
      <c r="E899" s="4"/>
      <c r="F899" s="4"/>
      <c r="G899" s="4"/>
      <c r="H899" s="4"/>
      <c r="I899" s="4"/>
      <c r="J899" s="4"/>
      <c r="K899" s="4"/>
      <c r="L899" s="4"/>
      <c r="M899" s="4"/>
      <c r="N899" s="4"/>
      <c r="O899" s="4"/>
      <c r="P899" s="4"/>
      <c r="Q899" s="4"/>
      <c r="R899" s="12"/>
      <c r="S899" s="12"/>
      <c r="T899" s="12"/>
      <c r="U899" s="12"/>
      <c r="V899" s="12"/>
      <c r="W899" s="12"/>
      <c r="X899" s="12"/>
      <c r="Y899" s="12"/>
      <c r="Z899" s="12"/>
      <c r="AA899" s="12"/>
      <c r="AB899" s="12"/>
      <c r="AC899" s="12"/>
      <c r="AD899" s="12"/>
    </row>
    <row r="900" spans="1:30" ht="13.5" customHeight="1">
      <c r="A900" s="4"/>
      <c r="B900" s="4"/>
      <c r="C900" s="4"/>
      <c r="D900" s="4"/>
      <c r="E900" s="4"/>
      <c r="F900" s="4"/>
      <c r="G900" s="4"/>
      <c r="H900" s="4"/>
      <c r="I900" s="4"/>
      <c r="J900" s="4"/>
      <c r="K900" s="4"/>
      <c r="L900" s="4"/>
      <c r="M900" s="4"/>
      <c r="N900" s="4"/>
      <c r="O900" s="4"/>
      <c r="P900" s="4"/>
      <c r="Q900" s="4"/>
      <c r="R900" s="12"/>
      <c r="S900" s="12"/>
      <c r="T900" s="12"/>
      <c r="U900" s="12"/>
      <c r="V900" s="12"/>
      <c r="W900" s="12"/>
      <c r="X900" s="12"/>
      <c r="Y900" s="12"/>
      <c r="Z900" s="12"/>
      <c r="AA900" s="12"/>
      <c r="AB900" s="12"/>
      <c r="AC900" s="12"/>
      <c r="AD900" s="12"/>
    </row>
    <row r="901" spans="1:30" ht="13.5" customHeight="1">
      <c r="A901" s="4"/>
      <c r="B901" s="4"/>
      <c r="C901" s="4"/>
      <c r="D901" s="4"/>
      <c r="E901" s="4"/>
      <c r="F901" s="4"/>
      <c r="G901" s="4"/>
      <c r="H901" s="4"/>
      <c r="I901" s="4"/>
      <c r="J901" s="4"/>
      <c r="K901" s="4"/>
      <c r="L901" s="4"/>
      <c r="M901" s="4"/>
      <c r="N901" s="4"/>
      <c r="O901" s="4"/>
      <c r="P901" s="4"/>
      <c r="Q901" s="4"/>
      <c r="R901" s="12"/>
      <c r="S901" s="12"/>
      <c r="T901" s="12"/>
      <c r="U901" s="12"/>
      <c r="V901" s="12"/>
      <c r="W901" s="12"/>
      <c r="X901" s="12"/>
      <c r="Y901" s="12"/>
      <c r="Z901" s="12"/>
      <c r="AA901" s="12"/>
      <c r="AB901" s="12"/>
      <c r="AC901" s="12"/>
      <c r="AD901" s="12"/>
    </row>
    <row r="902" spans="1:30" ht="13.5" customHeight="1">
      <c r="A902" s="4"/>
      <c r="B902" s="4"/>
      <c r="C902" s="4"/>
      <c r="D902" s="4"/>
      <c r="E902" s="4"/>
      <c r="F902" s="4"/>
      <c r="G902" s="4"/>
      <c r="H902" s="4"/>
      <c r="I902" s="4"/>
      <c r="J902" s="4"/>
      <c r="K902" s="4"/>
      <c r="L902" s="4"/>
      <c r="M902" s="4"/>
      <c r="N902" s="4"/>
      <c r="O902" s="4"/>
      <c r="P902" s="4"/>
      <c r="Q902" s="4"/>
      <c r="R902" s="12"/>
      <c r="S902" s="12"/>
      <c r="T902" s="12"/>
      <c r="U902" s="12"/>
      <c r="V902" s="12"/>
      <c r="W902" s="12"/>
      <c r="X902" s="12"/>
      <c r="Y902" s="12"/>
      <c r="Z902" s="12"/>
      <c r="AA902" s="12"/>
      <c r="AB902" s="12"/>
      <c r="AC902" s="12"/>
      <c r="AD902" s="12"/>
    </row>
    <row r="903" spans="1:30" ht="13.5" customHeight="1">
      <c r="A903" s="4"/>
      <c r="B903" s="4"/>
      <c r="C903" s="4"/>
      <c r="D903" s="4"/>
      <c r="E903" s="4"/>
      <c r="F903" s="4"/>
      <c r="G903" s="4"/>
      <c r="H903" s="4"/>
      <c r="I903" s="4"/>
      <c r="J903" s="4"/>
      <c r="K903" s="4"/>
      <c r="L903" s="4"/>
      <c r="M903" s="4"/>
      <c r="N903" s="4"/>
      <c r="O903" s="4"/>
      <c r="P903" s="4"/>
      <c r="Q903" s="4"/>
      <c r="R903" s="12"/>
      <c r="S903" s="12"/>
      <c r="T903" s="12"/>
      <c r="U903" s="12"/>
      <c r="V903" s="12"/>
      <c r="W903" s="12"/>
      <c r="X903" s="12"/>
      <c r="Y903" s="12"/>
      <c r="Z903" s="12"/>
      <c r="AA903" s="12"/>
      <c r="AB903" s="12"/>
      <c r="AC903" s="12"/>
      <c r="AD903" s="12"/>
    </row>
    <row r="904" spans="1:30" ht="13.5" customHeight="1">
      <c r="A904" s="4"/>
      <c r="B904" s="4"/>
      <c r="C904" s="4"/>
      <c r="D904" s="4"/>
      <c r="E904" s="4"/>
      <c r="F904" s="4"/>
      <c r="G904" s="4"/>
      <c r="H904" s="4"/>
      <c r="I904" s="4"/>
      <c r="J904" s="4"/>
      <c r="K904" s="4"/>
      <c r="L904" s="4"/>
      <c r="M904" s="4"/>
      <c r="N904" s="4"/>
      <c r="O904" s="4"/>
      <c r="P904" s="4"/>
      <c r="Q904" s="4"/>
      <c r="R904" s="12"/>
      <c r="S904" s="12"/>
      <c r="T904" s="12"/>
      <c r="U904" s="12"/>
      <c r="V904" s="12"/>
      <c r="W904" s="12"/>
      <c r="X904" s="12"/>
      <c r="Y904" s="12"/>
      <c r="Z904" s="12"/>
      <c r="AA904" s="12"/>
      <c r="AB904" s="12"/>
      <c r="AC904" s="12"/>
      <c r="AD904" s="12"/>
    </row>
    <row r="905" spans="1:30" ht="13.5" customHeight="1">
      <c r="A905" s="4"/>
      <c r="B905" s="4"/>
      <c r="C905" s="4"/>
      <c r="D905" s="4"/>
      <c r="E905" s="4"/>
      <c r="F905" s="4"/>
      <c r="G905" s="4"/>
      <c r="H905" s="4"/>
      <c r="I905" s="4"/>
      <c r="J905" s="4"/>
      <c r="K905" s="4"/>
      <c r="L905" s="4"/>
      <c r="M905" s="4"/>
      <c r="N905" s="4"/>
      <c r="O905" s="4"/>
      <c r="P905" s="4"/>
      <c r="Q905" s="4"/>
      <c r="R905" s="12"/>
      <c r="S905" s="12"/>
      <c r="T905" s="12"/>
      <c r="U905" s="12"/>
      <c r="V905" s="12"/>
      <c r="W905" s="12"/>
      <c r="X905" s="12"/>
      <c r="Y905" s="12"/>
      <c r="Z905" s="12"/>
      <c r="AA905" s="12"/>
      <c r="AB905" s="12"/>
      <c r="AC905" s="12"/>
      <c r="AD905" s="12"/>
    </row>
    <row r="906" spans="1:30" ht="13.5" customHeight="1">
      <c r="A906" s="4"/>
      <c r="B906" s="4"/>
      <c r="C906" s="4"/>
      <c r="D906" s="4"/>
      <c r="E906" s="4"/>
      <c r="F906" s="4"/>
      <c r="G906" s="4"/>
      <c r="H906" s="4"/>
      <c r="I906" s="4"/>
      <c r="J906" s="4"/>
      <c r="K906" s="4"/>
      <c r="L906" s="4"/>
      <c r="M906" s="4"/>
      <c r="N906" s="4"/>
      <c r="O906" s="4"/>
      <c r="P906" s="4"/>
      <c r="Q906" s="4"/>
      <c r="R906" s="12"/>
      <c r="S906" s="12"/>
      <c r="T906" s="12"/>
      <c r="U906" s="12"/>
      <c r="V906" s="12"/>
      <c r="W906" s="12"/>
      <c r="X906" s="12"/>
      <c r="Y906" s="12"/>
      <c r="Z906" s="12"/>
      <c r="AA906" s="12"/>
      <c r="AB906" s="12"/>
      <c r="AC906" s="12"/>
      <c r="AD906" s="12"/>
    </row>
    <row r="907" spans="1:30" ht="13.5" customHeight="1">
      <c r="A907" s="4"/>
      <c r="B907" s="4"/>
      <c r="C907" s="4"/>
      <c r="D907" s="4"/>
      <c r="E907" s="4"/>
      <c r="F907" s="4"/>
      <c r="G907" s="4"/>
      <c r="H907" s="4"/>
      <c r="I907" s="4"/>
      <c r="J907" s="4"/>
      <c r="K907" s="4"/>
      <c r="L907" s="4"/>
      <c r="M907" s="4"/>
      <c r="N907" s="4"/>
      <c r="O907" s="4"/>
      <c r="P907" s="4"/>
      <c r="Q907" s="4"/>
      <c r="R907" s="12"/>
      <c r="S907" s="12"/>
      <c r="T907" s="12"/>
      <c r="U907" s="12"/>
      <c r="V907" s="12"/>
      <c r="W907" s="12"/>
      <c r="X907" s="12"/>
      <c r="Y907" s="12"/>
      <c r="Z907" s="12"/>
      <c r="AA907" s="12"/>
      <c r="AB907" s="12"/>
      <c r="AC907" s="12"/>
      <c r="AD907" s="12"/>
    </row>
    <row r="908" spans="1:30" ht="13.5" customHeight="1">
      <c r="A908" s="4"/>
      <c r="B908" s="4"/>
      <c r="C908" s="4"/>
      <c r="D908" s="4"/>
      <c r="E908" s="4"/>
      <c r="F908" s="4"/>
      <c r="G908" s="4"/>
      <c r="H908" s="4"/>
      <c r="I908" s="4"/>
      <c r="J908" s="4"/>
      <c r="K908" s="4"/>
      <c r="L908" s="4"/>
      <c r="M908" s="4"/>
      <c r="N908" s="4"/>
      <c r="O908" s="4"/>
      <c r="P908" s="4"/>
      <c r="Q908" s="4"/>
      <c r="R908" s="12"/>
      <c r="S908" s="12"/>
      <c r="T908" s="12"/>
      <c r="U908" s="12"/>
      <c r="V908" s="12"/>
      <c r="W908" s="12"/>
      <c r="X908" s="12"/>
      <c r="Y908" s="12"/>
      <c r="Z908" s="12"/>
      <c r="AA908" s="12"/>
      <c r="AB908" s="12"/>
      <c r="AC908" s="12"/>
      <c r="AD908" s="12"/>
    </row>
    <row r="909" spans="1:30" ht="13.5" customHeight="1">
      <c r="A909" s="4"/>
      <c r="B909" s="4"/>
      <c r="C909" s="4"/>
      <c r="D909" s="4"/>
      <c r="E909" s="4"/>
      <c r="F909" s="4"/>
      <c r="G909" s="4"/>
      <c r="H909" s="4"/>
      <c r="I909" s="4"/>
      <c r="J909" s="4"/>
      <c r="K909" s="4"/>
      <c r="L909" s="4"/>
      <c r="M909" s="4"/>
      <c r="N909" s="4"/>
      <c r="O909" s="4"/>
      <c r="P909" s="4"/>
      <c r="Q909" s="4"/>
      <c r="R909" s="12"/>
      <c r="S909" s="12"/>
      <c r="T909" s="12"/>
      <c r="U909" s="12"/>
      <c r="V909" s="12"/>
      <c r="W909" s="12"/>
      <c r="X909" s="12"/>
      <c r="Y909" s="12"/>
      <c r="Z909" s="12"/>
      <c r="AA909" s="12"/>
      <c r="AB909" s="12"/>
      <c r="AC909" s="12"/>
      <c r="AD909" s="12"/>
    </row>
    <row r="910" spans="1:30" ht="13.5" customHeight="1">
      <c r="A910" s="4"/>
      <c r="B910" s="4"/>
      <c r="C910" s="4"/>
      <c r="D910" s="4"/>
      <c r="E910" s="4"/>
      <c r="F910" s="4"/>
      <c r="G910" s="4"/>
      <c r="H910" s="4"/>
      <c r="I910" s="4"/>
      <c r="J910" s="4"/>
      <c r="K910" s="4"/>
      <c r="L910" s="4"/>
      <c r="M910" s="4"/>
      <c r="N910" s="4"/>
      <c r="O910" s="4"/>
      <c r="P910" s="4"/>
      <c r="Q910" s="4"/>
      <c r="R910" s="12"/>
      <c r="S910" s="12"/>
      <c r="T910" s="12"/>
      <c r="U910" s="12"/>
      <c r="V910" s="12"/>
      <c r="W910" s="12"/>
      <c r="X910" s="12"/>
      <c r="Y910" s="12"/>
      <c r="Z910" s="12"/>
      <c r="AA910" s="12"/>
      <c r="AB910" s="12"/>
      <c r="AC910" s="12"/>
      <c r="AD910" s="12"/>
    </row>
    <row r="911" spans="1:30" ht="13.5" customHeight="1">
      <c r="A911" s="4"/>
      <c r="B911" s="4"/>
      <c r="C911" s="4"/>
      <c r="D911" s="4"/>
      <c r="E911" s="4"/>
      <c r="F911" s="4"/>
      <c r="G911" s="4"/>
      <c r="H911" s="4"/>
      <c r="I911" s="4"/>
      <c r="J911" s="4"/>
      <c r="K911" s="4"/>
      <c r="L911" s="4"/>
      <c r="M911" s="4"/>
      <c r="N911" s="4"/>
      <c r="O911" s="4"/>
      <c r="P911" s="4"/>
      <c r="Q911" s="4"/>
      <c r="R911" s="12"/>
      <c r="S911" s="12"/>
      <c r="T911" s="12"/>
      <c r="U911" s="12"/>
      <c r="V911" s="12"/>
      <c r="W911" s="12"/>
      <c r="X911" s="12"/>
      <c r="Y911" s="12"/>
      <c r="Z911" s="12"/>
      <c r="AA911" s="12"/>
      <c r="AB911" s="12"/>
      <c r="AC911" s="12"/>
      <c r="AD911" s="12"/>
    </row>
    <row r="912" spans="1:30" ht="13.5" customHeight="1">
      <c r="A912" s="4"/>
      <c r="B912" s="4"/>
      <c r="C912" s="4"/>
      <c r="D912" s="4"/>
      <c r="E912" s="4"/>
      <c r="F912" s="4"/>
      <c r="G912" s="4"/>
      <c r="H912" s="4"/>
      <c r="I912" s="4"/>
      <c r="J912" s="4"/>
      <c r="K912" s="4"/>
      <c r="L912" s="4"/>
      <c r="M912" s="4"/>
      <c r="N912" s="4"/>
      <c r="O912" s="4"/>
      <c r="P912" s="4"/>
      <c r="Q912" s="4"/>
      <c r="R912" s="12"/>
      <c r="S912" s="12"/>
      <c r="T912" s="12"/>
      <c r="U912" s="12"/>
      <c r="V912" s="12"/>
      <c r="W912" s="12"/>
      <c r="X912" s="12"/>
      <c r="Y912" s="12"/>
      <c r="Z912" s="12"/>
      <c r="AA912" s="12"/>
      <c r="AB912" s="12"/>
      <c r="AC912" s="12"/>
      <c r="AD912" s="12"/>
    </row>
    <row r="913" spans="1:30" ht="13.5" customHeight="1">
      <c r="A913" s="4"/>
      <c r="B913" s="4"/>
      <c r="C913" s="4"/>
      <c r="D913" s="4"/>
      <c r="E913" s="4"/>
      <c r="F913" s="4"/>
      <c r="G913" s="4"/>
      <c r="H913" s="4"/>
      <c r="I913" s="4"/>
      <c r="J913" s="4"/>
      <c r="K913" s="4"/>
      <c r="L913" s="4"/>
      <c r="M913" s="4"/>
      <c r="N913" s="4"/>
      <c r="O913" s="4"/>
      <c r="P913" s="4"/>
      <c r="Q913" s="4"/>
      <c r="R913" s="12"/>
      <c r="S913" s="12"/>
      <c r="T913" s="12"/>
      <c r="U913" s="12"/>
      <c r="V913" s="12"/>
      <c r="W913" s="12"/>
      <c r="X913" s="12"/>
      <c r="Y913" s="12"/>
      <c r="Z913" s="12"/>
      <c r="AA913" s="12"/>
      <c r="AB913" s="12"/>
      <c r="AC913" s="12"/>
      <c r="AD913" s="12"/>
    </row>
    <row r="914" spans="1:30" ht="13.5" customHeight="1">
      <c r="A914" s="4"/>
      <c r="B914" s="4"/>
      <c r="C914" s="4"/>
      <c r="D914" s="4"/>
      <c r="E914" s="4"/>
      <c r="F914" s="4"/>
      <c r="G914" s="4"/>
      <c r="H914" s="4"/>
      <c r="I914" s="4"/>
      <c r="J914" s="4"/>
      <c r="K914" s="4"/>
      <c r="L914" s="4"/>
      <c r="M914" s="4"/>
      <c r="N914" s="4"/>
      <c r="O914" s="4"/>
      <c r="P914" s="4"/>
      <c r="Q914" s="4"/>
      <c r="R914" s="12"/>
      <c r="S914" s="12"/>
      <c r="T914" s="12"/>
      <c r="U914" s="12"/>
      <c r="V914" s="12"/>
      <c r="W914" s="12"/>
      <c r="X914" s="12"/>
      <c r="Y914" s="12"/>
      <c r="Z914" s="12"/>
      <c r="AA914" s="12"/>
      <c r="AB914" s="12"/>
      <c r="AC914" s="12"/>
      <c r="AD914" s="12"/>
    </row>
    <row r="915" spans="1:30" ht="13.5" customHeight="1">
      <c r="A915" s="4"/>
      <c r="B915" s="4"/>
      <c r="C915" s="4"/>
      <c r="D915" s="4"/>
      <c r="E915" s="4"/>
      <c r="F915" s="4"/>
      <c r="G915" s="4"/>
      <c r="H915" s="4"/>
      <c r="I915" s="4"/>
      <c r="J915" s="4"/>
      <c r="K915" s="4"/>
      <c r="L915" s="4"/>
      <c r="M915" s="4"/>
      <c r="N915" s="4"/>
      <c r="O915" s="4"/>
      <c r="P915" s="4"/>
      <c r="Q915" s="4"/>
      <c r="R915" s="12"/>
      <c r="S915" s="12"/>
      <c r="T915" s="12"/>
      <c r="U915" s="12"/>
      <c r="V915" s="12"/>
      <c r="W915" s="12"/>
      <c r="X915" s="12"/>
      <c r="Y915" s="12"/>
      <c r="Z915" s="12"/>
      <c r="AA915" s="12"/>
      <c r="AB915" s="12"/>
      <c r="AC915" s="12"/>
      <c r="AD915" s="12"/>
    </row>
    <row r="916" spans="1:30" ht="13.5" customHeight="1">
      <c r="A916" s="4"/>
      <c r="B916" s="4"/>
      <c r="C916" s="4"/>
      <c r="D916" s="4"/>
      <c r="E916" s="4"/>
      <c r="F916" s="4"/>
      <c r="G916" s="4"/>
      <c r="H916" s="4"/>
      <c r="I916" s="4"/>
      <c r="J916" s="4"/>
      <c r="K916" s="4"/>
      <c r="L916" s="4"/>
      <c r="M916" s="4"/>
      <c r="N916" s="4"/>
      <c r="O916" s="4"/>
      <c r="P916" s="4"/>
      <c r="Q916" s="4"/>
      <c r="R916" s="12"/>
      <c r="S916" s="12"/>
      <c r="T916" s="12"/>
      <c r="U916" s="12"/>
      <c r="V916" s="12"/>
      <c r="W916" s="12"/>
      <c r="X916" s="12"/>
      <c r="Y916" s="12"/>
      <c r="Z916" s="12"/>
      <c r="AA916" s="12"/>
      <c r="AB916" s="12"/>
      <c r="AC916" s="12"/>
      <c r="AD916" s="12"/>
    </row>
    <row r="917" spans="1:30" ht="13.5" customHeight="1">
      <c r="A917" s="4"/>
      <c r="B917" s="4"/>
      <c r="C917" s="4"/>
      <c r="D917" s="4"/>
      <c r="E917" s="4"/>
      <c r="F917" s="4"/>
      <c r="G917" s="4"/>
      <c r="H917" s="4"/>
      <c r="I917" s="4"/>
      <c r="J917" s="4"/>
      <c r="K917" s="4"/>
      <c r="L917" s="4"/>
      <c r="M917" s="4"/>
      <c r="N917" s="4"/>
      <c r="O917" s="4"/>
      <c r="P917" s="4"/>
      <c r="Q917" s="4"/>
      <c r="R917" s="12"/>
      <c r="S917" s="12"/>
      <c r="T917" s="12"/>
      <c r="U917" s="12"/>
      <c r="V917" s="12"/>
      <c r="W917" s="12"/>
      <c r="X917" s="12"/>
      <c r="Y917" s="12"/>
      <c r="Z917" s="12"/>
      <c r="AA917" s="12"/>
      <c r="AB917" s="12"/>
      <c r="AC917" s="12"/>
      <c r="AD917" s="12"/>
    </row>
    <row r="918" spans="1:30" ht="13.5" customHeight="1">
      <c r="A918" s="4"/>
      <c r="B918" s="4"/>
      <c r="C918" s="4"/>
      <c r="D918" s="4"/>
      <c r="E918" s="4"/>
      <c r="F918" s="4"/>
      <c r="G918" s="4"/>
      <c r="H918" s="4"/>
      <c r="I918" s="4"/>
      <c r="J918" s="4"/>
      <c r="K918" s="4"/>
      <c r="L918" s="4"/>
      <c r="M918" s="4"/>
      <c r="N918" s="4"/>
      <c r="O918" s="4"/>
      <c r="P918" s="4"/>
      <c r="Q918" s="4"/>
      <c r="R918" s="12"/>
      <c r="S918" s="12"/>
      <c r="T918" s="12"/>
      <c r="U918" s="12"/>
      <c r="V918" s="12"/>
      <c r="W918" s="12"/>
      <c r="X918" s="12"/>
      <c r="Y918" s="12"/>
      <c r="Z918" s="12"/>
      <c r="AA918" s="12"/>
      <c r="AB918" s="12"/>
      <c r="AC918" s="12"/>
      <c r="AD918" s="12"/>
    </row>
    <row r="919" spans="1:30" ht="13.5" customHeight="1">
      <c r="A919" s="4"/>
      <c r="B919" s="4"/>
      <c r="C919" s="4"/>
      <c r="D919" s="4"/>
      <c r="E919" s="4"/>
      <c r="F919" s="4"/>
      <c r="G919" s="4"/>
      <c r="H919" s="4"/>
      <c r="I919" s="4"/>
      <c r="J919" s="4"/>
      <c r="K919" s="4"/>
      <c r="L919" s="4"/>
      <c r="M919" s="4"/>
      <c r="N919" s="4"/>
      <c r="O919" s="4"/>
      <c r="P919" s="4"/>
      <c r="Q919" s="4"/>
      <c r="R919" s="12"/>
      <c r="S919" s="12"/>
      <c r="T919" s="12"/>
      <c r="U919" s="12"/>
      <c r="V919" s="12"/>
      <c r="W919" s="12"/>
      <c r="X919" s="12"/>
      <c r="Y919" s="12"/>
      <c r="Z919" s="12"/>
      <c r="AA919" s="12"/>
      <c r="AB919" s="12"/>
      <c r="AC919" s="12"/>
      <c r="AD919" s="12"/>
    </row>
    <row r="920" spans="1:30" ht="13.5" customHeight="1">
      <c r="A920" s="4"/>
      <c r="B920" s="4"/>
      <c r="C920" s="4"/>
      <c r="D920" s="4"/>
      <c r="E920" s="4"/>
      <c r="F920" s="4"/>
      <c r="G920" s="4"/>
      <c r="H920" s="4"/>
      <c r="I920" s="4"/>
      <c r="J920" s="4"/>
      <c r="K920" s="4"/>
      <c r="L920" s="4"/>
      <c r="M920" s="4"/>
      <c r="N920" s="4"/>
      <c r="O920" s="4"/>
      <c r="P920" s="4"/>
      <c r="Q920" s="4"/>
      <c r="R920" s="12"/>
      <c r="S920" s="12"/>
      <c r="T920" s="12"/>
      <c r="U920" s="12"/>
      <c r="V920" s="12"/>
      <c r="W920" s="12"/>
      <c r="X920" s="12"/>
      <c r="Y920" s="12"/>
      <c r="Z920" s="12"/>
      <c r="AA920" s="12"/>
      <c r="AB920" s="12"/>
      <c r="AC920" s="12"/>
      <c r="AD920" s="12"/>
    </row>
    <row r="921" spans="1:30" ht="13.5" customHeight="1">
      <c r="A921" s="4"/>
      <c r="B921" s="4"/>
      <c r="C921" s="4"/>
      <c r="D921" s="4"/>
      <c r="E921" s="4"/>
      <c r="F921" s="4"/>
      <c r="G921" s="4"/>
      <c r="H921" s="4"/>
      <c r="I921" s="4"/>
      <c r="J921" s="4"/>
      <c r="K921" s="4"/>
      <c r="L921" s="4"/>
      <c r="M921" s="4"/>
      <c r="N921" s="4"/>
      <c r="O921" s="4"/>
      <c r="P921" s="4"/>
      <c r="Q921" s="4"/>
      <c r="R921" s="12"/>
      <c r="S921" s="12"/>
      <c r="T921" s="12"/>
      <c r="U921" s="12"/>
      <c r="V921" s="12"/>
      <c r="W921" s="12"/>
      <c r="X921" s="12"/>
      <c r="Y921" s="12"/>
      <c r="Z921" s="12"/>
      <c r="AA921" s="12"/>
      <c r="AB921" s="12"/>
      <c r="AC921" s="12"/>
      <c r="AD921" s="12"/>
    </row>
    <row r="922" spans="1:30" ht="13.5" customHeight="1">
      <c r="A922" s="4"/>
      <c r="B922" s="4"/>
      <c r="C922" s="4"/>
      <c r="D922" s="4"/>
      <c r="E922" s="4"/>
      <c r="F922" s="4"/>
      <c r="G922" s="4"/>
      <c r="H922" s="4"/>
      <c r="I922" s="4"/>
      <c r="J922" s="4"/>
      <c r="K922" s="4"/>
      <c r="L922" s="4"/>
      <c r="M922" s="4"/>
      <c r="N922" s="4"/>
      <c r="O922" s="4"/>
      <c r="P922" s="4"/>
      <c r="Q922" s="4"/>
      <c r="R922" s="12"/>
      <c r="S922" s="12"/>
      <c r="T922" s="12"/>
      <c r="U922" s="12"/>
      <c r="V922" s="12"/>
      <c r="W922" s="12"/>
      <c r="X922" s="12"/>
      <c r="Y922" s="12"/>
      <c r="Z922" s="12"/>
      <c r="AA922" s="12"/>
      <c r="AB922" s="12"/>
      <c r="AC922" s="12"/>
      <c r="AD922" s="12"/>
    </row>
    <row r="923" spans="1:30" ht="13.5" customHeight="1">
      <c r="A923" s="4"/>
      <c r="B923" s="4"/>
      <c r="C923" s="4"/>
      <c r="D923" s="4"/>
      <c r="E923" s="4"/>
      <c r="F923" s="4"/>
      <c r="G923" s="4"/>
      <c r="H923" s="4"/>
      <c r="I923" s="4"/>
      <c r="J923" s="4"/>
      <c r="K923" s="4"/>
      <c r="L923" s="4"/>
      <c r="M923" s="4"/>
      <c r="N923" s="4"/>
      <c r="O923" s="4"/>
      <c r="P923" s="4"/>
      <c r="Q923" s="4"/>
      <c r="R923" s="12"/>
      <c r="S923" s="12"/>
      <c r="T923" s="12"/>
      <c r="U923" s="12"/>
      <c r="V923" s="12"/>
      <c r="W923" s="12"/>
      <c r="X923" s="12"/>
      <c r="Y923" s="12"/>
      <c r="Z923" s="12"/>
      <c r="AA923" s="12"/>
      <c r="AB923" s="12"/>
      <c r="AC923" s="12"/>
      <c r="AD923" s="12"/>
    </row>
    <row r="924" spans="1:30" ht="13.5" customHeight="1">
      <c r="A924" s="4"/>
      <c r="B924" s="4"/>
      <c r="C924" s="4"/>
      <c r="D924" s="4"/>
      <c r="E924" s="4"/>
      <c r="F924" s="4"/>
      <c r="G924" s="4"/>
      <c r="H924" s="4"/>
      <c r="I924" s="4"/>
      <c r="J924" s="4"/>
      <c r="K924" s="4"/>
      <c r="L924" s="4"/>
      <c r="M924" s="4"/>
      <c r="N924" s="4"/>
      <c r="O924" s="4"/>
      <c r="P924" s="4"/>
      <c r="Q924" s="4"/>
      <c r="R924" s="12"/>
      <c r="S924" s="12"/>
      <c r="T924" s="12"/>
      <c r="U924" s="12"/>
      <c r="V924" s="12"/>
      <c r="W924" s="12"/>
      <c r="X924" s="12"/>
      <c r="Y924" s="12"/>
      <c r="Z924" s="12"/>
      <c r="AA924" s="12"/>
      <c r="AB924" s="12"/>
      <c r="AC924" s="12"/>
      <c r="AD924" s="12"/>
    </row>
    <row r="925" spans="1:30" ht="13.5" customHeight="1">
      <c r="A925" s="4"/>
      <c r="B925" s="4"/>
      <c r="C925" s="4"/>
      <c r="D925" s="4"/>
      <c r="E925" s="4"/>
      <c r="F925" s="4"/>
      <c r="G925" s="4"/>
      <c r="H925" s="4"/>
      <c r="I925" s="4"/>
      <c r="J925" s="4"/>
      <c r="K925" s="4"/>
      <c r="L925" s="4"/>
      <c r="M925" s="4"/>
      <c r="N925" s="4"/>
      <c r="O925" s="4"/>
      <c r="P925" s="4"/>
      <c r="Q925" s="4"/>
      <c r="R925" s="12"/>
      <c r="S925" s="12"/>
      <c r="T925" s="12"/>
      <c r="U925" s="12"/>
      <c r="V925" s="12"/>
      <c r="W925" s="12"/>
      <c r="X925" s="12"/>
      <c r="Y925" s="12"/>
      <c r="Z925" s="12"/>
      <c r="AA925" s="12"/>
      <c r="AB925" s="12"/>
      <c r="AC925" s="12"/>
      <c r="AD925" s="12"/>
    </row>
    <row r="926" spans="1:30" ht="13.5" customHeight="1">
      <c r="A926" s="4"/>
      <c r="B926" s="4"/>
      <c r="C926" s="4"/>
      <c r="D926" s="4"/>
      <c r="E926" s="4"/>
      <c r="F926" s="4"/>
      <c r="G926" s="4"/>
      <c r="H926" s="4"/>
      <c r="I926" s="4"/>
      <c r="J926" s="4"/>
      <c r="K926" s="4"/>
      <c r="L926" s="4"/>
      <c r="M926" s="4"/>
      <c r="N926" s="4"/>
      <c r="O926" s="4"/>
      <c r="P926" s="4"/>
      <c r="Q926" s="4"/>
      <c r="R926" s="12"/>
      <c r="S926" s="12"/>
      <c r="T926" s="12"/>
      <c r="U926" s="12"/>
      <c r="V926" s="12"/>
      <c r="W926" s="12"/>
      <c r="X926" s="12"/>
      <c r="Y926" s="12"/>
      <c r="Z926" s="12"/>
      <c r="AA926" s="12"/>
      <c r="AB926" s="12"/>
      <c r="AC926" s="12"/>
      <c r="AD926" s="12"/>
    </row>
    <row r="927" spans="1:30" ht="13.5" customHeight="1">
      <c r="A927" s="4"/>
      <c r="B927" s="4"/>
      <c r="C927" s="4"/>
      <c r="D927" s="4"/>
      <c r="E927" s="4"/>
      <c r="F927" s="4"/>
      <c r="G927" s="4"/>
      <c r="H927" s="4"/>
      <c r="I927" s="4"/>
      <c r="J927" s="4"/>
      <c r="K927" s="4"/>
      <c r="L927" s="4"/>
      <c r="M927" s="4"/>
      <c r="N927" s="4"/>
      <c r="O927" s="4"/>
      <c r="P927" s="4"/>
      <c r="Q927" s="4"/>
      <c r="R927" s="12"/>
      <c r="S927" s="12"/>
      <c r="T927" s="12"/>
      <c r="U927" s="12"/>
      <c r="V927" s="12"/>
      <c r="W927" s="12"/>
      <c r="X927" s="12"/>
      <c r="Y927" s="12"/>
      <c r="Z927" s="12"/>
      <c r="AA927" s="12"/>
      <c r="AB927" s="12"/>
      <c r="AC927" s="12"/>
      <c r="AD927" s="12"/>
    </row>
    <row r="928" spans="1:30" ht="13.5" customHeight="1">
      <c r="A928" s="4"/>
      <c r="B928" s="4"/>
      <c r="C928" s="4"/>
      <c r="D928" s="4"/>
      <c r="E928" s="4"/>
      <c r="F928" s="4"/>
      <c r="G928" s="4"/>
      <c r="H928" s="4"/>
      <c r="I928" s="4"/>
      <c r="J928" s="4"/>
      <c r="K928" s="4"/>
      <c r="L928" s="4"/>
      <c r="M928" s="4"/>
      <c r="N928" s="4"/>
      <c r="O928" s="4"/>
      <c r="P928" s="4"/>
      <c r="Q928" s="4"/>
      <c r="R928" s="12"/>
      <c r="S928" s="12"/>
      <c r="T928" s="12"/>
      <c r="U928" s="12"/>
      <c r="V928" s="12"/>
      <c r="W928" s="12"/>
      <c r="X928" s="12"/>
      <c r="Y928" s="12"/>
      <c r="Z928" s="12"/>
      <c r="AA928" s="12"/>
      <c r="AB928" s="12"/>
      <c r="AC928" s="12"/>
      <c r="AD928" s="12"/>
    </row>
    <row r="929" spans="1:30" ht="13.5" customHeight="1">
      <c r="A929" s="4"/>
      <c r="B929" s="4"/>
      <c r="C929" s="4"/>
      <c r="D929" s="4"/>
      <c r="E929" s="4"/>
      <c r="F929" s="4"/>
      <c r="G929" s="4"/>
      <c r="H929" s="4"/>
      <c r="I929" s="4"/>
      <c r="J929" s="4"/>
      <c r="K929" s="4"/>
      <c r="L929" s="4"/>
      <c r="M929" s="4"/>
      <c r="N929" s="4"/>
      <c r="O929" s="4"/>
      <c r="P929" s="4"/>
      <c r="Q929" s="4"/>
      <c r="R929" s="12"/>
      <c r="S929" s="12"/>
      <c r="T929" s="12"/>
      <c r="U929" s="12"/>
      <c r="V929" s="12"/>
      <c r="W929" s="12"/>
      <c r="X929" s="12"/>
      <c r="Y929" s="12"/>
      <c r="Z929" s="12"/>
      <c r="AA929" s="12"/>
      <c r="AB929" s="12"/>
      <c r="AC929" s="12"/>
      <c r="AD929" s="12"/>
    </row>
    <row r="930" spans="1:30" ht="13.5" customHeight="1">
      <c r="A930" s="4"/>
      <c r="B930" s="4"/>
      <c r="C930" s="4"/>
      <c r="D930" s="4"/>
      <c r="E930" s="4"/>
      <c r="F930" s="4"/>
      <c r="G930" s="4"/>
      <c r="H930" s="4"/>
      <c r="I930" s="4"/>
      <c r="J930" s="4"/>
      <c r="K930" s="4"/>
      <c r="L930" s="4"/>
      <c r="M930" s="4"/>
      <c r="N930" s="4"/>
      <c r="O930" s="4"/>
      <c r="P930" s="4"/>
      <c r="Q930" s="4"/>
      <c r="R930" s="12"/>
      <c r="S930" s="12"/>
      <c r="T930" s="12"/>
      <c r="U930" s="12"/>
      <c r="V930" s="12"/>
      <c r="W930" s="12"/>
      <c r="X930" s="12"/>
      <c r="Y930" s="12"/>
      <c r="Z930" s="12"/>
      <c r="AA930" s="12"/>
      <c r="AB930" s="12"/>
      <c r="AC930" s="12"/>
      <c r="AD930" s="12"/>
    </row>
    <row r="931" spans="1:30" ht="13.5" customHeight="1">
      <c r="A931" s="4"/>
      <c r="B931" s="4"/>
      <c r="C931" s="4"/>
      <c r="D931" s="4"/>
      <c r="E931" s="4"/>
      <c r="F931" s="4"/>
      <c r="G931" s="4"/>
      <c r="H931" s="4"/>
      <c r="I931" s="4"/>
      <c r="J931" s="4"/>
      <c r="K931" s="4"/>
      <c r="L931" s="4"/>
      <c r="M931" s="4"/>
      <c r="N931" s="4"/>
      <c r="O931" s="4"/>
      <c r="P931" s="4"/>
      <c r="Q931" s="4"/>
      <c r="R931" s="12"/>
      <c r="S931" s="12"/>
      <c r="T931" s="12"/>
      <c r="U931" s="12"/>
      <c r="V931" s="12"/>
      <c r="W931" s="12"/>
      <c r="X931" s="12"/>
      <c r="Y931" s="12"/>
      <c r="Z931" s="12"/>
      <c r="AA931" s="12"/>
      <c r="AB931" s="12"/>
      <c r="AC931" s="12"/>
      <c r="AD931" s="12"/>
    </row>
    <row r="932" spans="1:30" ht="13.5" customHeight="1">
      <c r="A932" s="4"/>
      <c r="B932" s="4"/>
      <c r="C932" s="4"/>
      <c r="D932" s="4"/>
      <c r="E932" s="4"/>
      <c r="F932" s="4"/>
      <c r="G932" s="4"/>
      <c r="H932" s="4"/>
      <c r="I932" s="4"/>
      <c r="J932" s="4"/>
      <c r="K932" s="4"/>
      <c r="L932" s="4"/>
      <c r="M932" s="4"/>
      <c r="N932" s="4"/>
      <c r="O932" s="4"/>
      <c r="P932" s="4"/>
      <c r="Q932" s="4"/>
      <c r="R932" s="12"/>
      <c r="S932" s="12"/>
      <c r="T932" s="12"/>
      <c r="U932" s="12"/>
      <c r="V932" s="12"/>
      <c r="W932" s="12"/>
      <c r="X932" s="12"/>
      <c r="Y932" s="12"/>
      <c r="Z932" s="12"/>
      <c r="AA932" s="12"/>
      <c r="AB932" s="12"/>
      <c r="AC932" s="12"/>
      <c r="AD932" s="12"/>
    </row>
    <row r="933" spans="1:30" ht="13.5" customHeight="1">
      <c r="A933" s="4"/>
      <c r="B933" s="4"/>
      <c r="C933" s="4"/>
      <c r="D933" s="4"/>
      <c r="E933" s="4"/>
      <c r="F933" s="4"/>
      <c r="G933" s="4"/>
      <c r="H933" s="4"/>
      <c r="I933" s="4"/>
      <c r="J933" s="4"/>
      <c r="K933" s="4"/>
      <c r="L933" s="4"/>
      <c r="M933" s="4"/>
      <c r="N933" s="4"/>
      <c r="O933" s="4"/>
      <c r="P933" s="4"/>
      <c r="Q933" s="4"/>
      <c r="R933" s="12"/>
      <c r="S933" s="12"/>
      <c r="T933" s="12"/>
      <c r="U933" s="12"/>
      <c r="V933" s="12"/>
      <c r="W933" s="12"/>
      <c r="X933" s="12"/>
      <c r="Y933" s="12"/>
      <c r="Z933" s="12"/>
      <c r="AA933" s="12"/>
      <c r="AB933" s="12"/>
      <c r="AC933" s="12"/>
      <c r="AD933" s="12"/>
    </row>
    <row r="934" spans="1:30" ht="13.5" customHeight="1">
      <c r="A934" s="4"/>
      <c r="B934" s="4"/>
      <c r="C934" s="4"/>
      <c r="D934" s="4"/>
      <c r="E934" s="4"/>
      <c r="F934" s="4"/>
      <c r="G934" s="4"/>
      <c r="H934" s="4"/>
      <c r="I934" s="4"/>
      <c r="J934" s="4"/>
      <c r="K934" s="4"/>
      <c r="L934" s="4"/>
      <c r="M934" s="4"/>
      <c r="N934" s="4"/>
      <c r="O934" s="4"/>
      <c r="P934" s="4"/>
      <c r="Q934" s="4"/>
      <c r="R934" s="12"/>
      <c r="S934" s="12"/>
      <c r="T934" s="12"/>
      <c r="U934" s="12"/>
      <c r="V934" s="12"/>
      <c r="W934" s="12"/>
      <c r="X934" s="12"/>
      <c r="Y934" s="12"/>
      <c r="Z934" s="12"/>
      <c r="AA934" s="12"/>
      <c r="AB934" s="12"/>
      <c r="AC934" s="12"/>
      <c r="AD934" s="12"/>
    </row>
    <row r="935" spans="1:30" ht="13.5" customHeight="1">
      <c r="A935" s="4"/>
      <c r="B935" s="4"/>
      <c r="C935" s="4"/>
      <c r="D935" s="4"/>
      <c r="E935" s="4"/>
      <c r="F935" s="4"/>
      <c r="G935" s="4"/>
      <c r="H935" s="4"/>
      <c r="I935" s="4"/>
      <c r="J935" s="4"/>
      <c r="K935" s="4"/>
      <c r="L935" s="4"/>
      <c r="M935" s="4"/>
      <c r="N935" s="4"/>
      <c r="O935" s="4"/>
      <c r="P935" s="4"/>
      <c r="Q935" s="4"/>
      <c r="R935" s="12"/>
      <c r="S935" s="12"/>
      <c r="T935" s="12"/>
      <c r="U935" s="12"/>
      <c r="V935" s="12"/>
      <c r="W935" s="12"/>
      <c r="X935" s="12"/>
      <c r="Y935" s="12"/>
      <c r="Z935" s="12"/>
      <c r="AA935" s="12"/>
      <c r="AB935" s="12"/>
      <c r="AC935" s="12"/>
      <c r="AD935" s="12"/>
    </row>
    <row r="936" spans="1:30" ht="13.5" customHeight="1">
      <c r="A936" s="4"/>
      <c r="B936" s="4"/>
      <c r="C936" s="4"/>
      <c r="D936" s="4"/>
      <c r="E936" s="4"/>
      <c r="F936" s="4"/>
      <c r="G936" s="4"/>
      <c r="H936" s="4"/>
      <c r="I936" s="4"/>
      <c r="J936" s="4"/>
      <c r="K936" s="4"/>
      <c r="L936" s="4"/>
      <c r="M936" s="4"/>
      <c r="N936" s="4"/>
      <c r="O936" s="4"/>
      <c r="P936" s="4"/>
      <c r="Q936" s="4"/>
      <c r="R936" s="12"/>
      <c r="S936" s="12"/>
      <c r="T936" s="12"/>
      <c r="U936" s="12"/>
      <c r="V936" s="12"/>
      <c r="W936" s="12"/>
      <c r="X936" s="12"/>
      <c r="Y936" s="12"/>
      <c r="Z936" s="12"/>
      <c r="AA936" s="12"/>
      <c r="AB936" s="12"/>
      <c r="AC936" s="12"/>
      <c r="AD936" s="12"/>
    </row>
    <row r="937" spans="1:30" ht="13.5" customHeight="1">
      <c r="A937" s="4"/>
      <c r="B937" s="4"/>
      <c r="C937" s="4"/>
      <c r="D937" s="4"/>
      <c r="E937" s="4"/>
      <c r="F937" s="4"/>
      <c r="G937" s="4"/>
      <c r="H937" s="4"/>
      <c r="I937" s="4"/>
      <c r="J937" s="4"/>
      <c r="K937" s="4"/>
      <c r="L937" s="4"/>
      <c r="M937" s="4"/>
      <c r="N937" s="4"/>
      <c r="O937" s="4"/>
      <c r="P937" s="4"/>
      <c r="Q937" s="4"/>
      <c r="R937" s="12"/>
      <c r="S937" s="12"/>
      <c r="T937" s="12"/>
      <c r="U937" s="12"/>
      <c r="V937" s="12"/>
      <c r="W937" s="12"/>
      <c r="X937" s="12"/>
      <c r="Y937" s="12"/>
      <c r="Z937" s="12"/>
      <c r="AA937" s="12"/>
      <c r="AB937" s="12"/>
      <c r="AC937" s="12"/>
      <c r="AD937" s="12"/>
    </row>
    <row r="938" spans="1:30" ht="13.5" customHeight="1">
      <c r="A938" s="4"/>
      <c r="B938" s="4"/>
      <c r="C938" s="4"/>
      <c r="D938" s="4"/>
      <c r="E938" s="4"/>
      <c r="F938" s="4"/>
      <c r="G938" s="4"/>
      <c r="H938" s="4"/>
      <c r="I938" s="4"/>
      <c r="J938" s="4"/>
      <c r="K938" s="4"/>
      <c r="L938" s="4"/>
      <c r="M938" s="4"/>
      <c r="N938" s="4"/>
      <c r="O938" s="4"/>
      <c r="P938" s="4"/>
      <c r="Q938" s="4"/>
      <c r="R938" s="12"/>
      <c r="S938" s="12"/>
      <c r="T938" s="12"/>
      <c r="U938" s="12"/>
      <c r="V938" s="12"/>
      <c r="W938" s="12"/>
      <c r="X938" s="12"/>
      <c r="Y938" s="12"/>
      <c r="Z938" s="12"/>
      <c r="AA938" s="12"/>
      <c r="AB938" s="12"/>
      <c r="AC938" s="12"/>
      <c r="AD938" s="12"/>
    </row>
    <row r="939" spans="1:30" ht="13.5" customHeight="1">
      <c r="A939" s="4"/>
      <c r="B939" s="4"/>
      <c r="C939" s="4"/>
      <c r="D939" s="4"/>
      <c r="E939" s="4"/>
      <c r="F939" s="4"/>
      <c r="G939" s="4"/>
      <c r="H939" s="4"/>
      <c r="I939" s="4"/>
      <c r="J939" s="4"/>
      <c r="K939" s="4"/>
      <c r="L939" s="4"/>
      <c r="M939" s="4"/>
      <c r="N939" s="4"/>
      <c r="O939" s="4"/>
      <c r="P939" s="4"/>
      <c r="Q939" s="4"/>
      <c r="R939" s="12"/>
      <c r="S939" s="12"/>
      <c r="T939" s="12"/>
      <c r="U939" s="12"/>
      <c r="V939" s="12"/>
      <c r="W939" s="12"/>
      <c r="X939" s="12"/>
      <c r="Y939" s="12"/>
      <c r="Z939" s="12"/>
      <c r="AA939" s="12"/>
      <c r="AB939" s="12"/>
      <c r="AC939" s="12"/>
      <c r="AD939" s="12"/>
    </row>
    <row r="940" spans="1:30" ht="13.5" customHeight="1">
      <c r="A940" s="4"/>
      <c r="B940" s="4"/>
      <c r="C940" s="4"/>
      <c r="D940" s="4"/>
      <c r="E940" s="4"/>
      <c r="F940" s="4"/>
      <c r="G940" s="4"/>
      <c r="H940" s="4"/>
      <c r="I940" s="4"/>
      <c r="J940" s="4"/>
      <c r="K940" s="4"/>
      <c r="L940" s="4"/>
      <c r="M940" s="4"/>
      <c r="N940" s="4"/>
      <c r="O940" s="4"/>
      <c r="P940" s="4"/>
      <c r="Q940" s="4"/>
      <c r="R940" s="12"/>
      <c r="S940" s="12"/>
      <c r="T940" s="12"/>
      <c r="U940" s="12"/>
      <c r="V940" s="12"/>
      <c r="W940" s="12"/>
      <c r="X940" s="12"/>
      <c r="Y940" s="12"/>
      <c r="Z940" s="12"/>
      <c r="AA940" s="12"/>
      <c r="AB940" s="12"/>
      <c r="AC940" s="12"/>
      <c r="AD940" s="12"/>
    </row>
    <row r="941" spans="1:30" ht="13.5" customHeight="1">
      <c r="A941" s="4"/>
      <c r="B941" s="4"/>
      <c r="C941" s="4"/>
      <c r="D941" s="4"/>
      <c r="E941" s="4"/>
      <c r="F941" s="4"/>
      <c r="G941" s="4"/>
      <c r="H941" s="4"/>
      <c r="I941" s="4"/>
      <c r="J941" s="4"/>
      <c r="K941" s="4"/>
      <c r="L941" s="4"/>
      <c r="M941" s="4"/>
      <c r="N941" s="4"/>
      <c r="O941" s="4"/>
      <c r="P941" s="4"/>
      <c r="Q941" s="4"/>
      <c r="R941" s="12"/>
      <c r="S941" s="12"/>
      <c r="T941" s="12"/>
      <c r="U941" s="12"/>
      <c r="V941" s="12"/>
      <c r="W941" s="12"/>
      <c r="X941" s="12"/>
      <c r="Y941" s="12"/>
      <c r="Z941" s="12"/>
      <c r="AA941" s="12"/>
      <c r="AB941" s="12"/>
      <c r="AC941" s="12"/>
      <c r="AD941" s="12"/>
    </row>
    <row r="942" spans="1:30" ht="13.5" customHeight="1">
      <c r="A942" s="4"/>
      <c r="B942" s="4"/>
      <c r="C942" s="4"/>
      <c r="D942" s="4"/>
      <c r="E942" s="4"/>
      <c r="F942" s="4"/>
      <c r="G942" s="4"/>
      <c r="H942" s="4"/>
      <c r="I942" s="4"/>
      <c r="J942" s="4"/>
      <c r="K942" s="4"/>
      <c r="L942" s="4"/>
      <c r="M942" s="4"/>
      <c r="N942" s="4"/>
      <c r="O942" s="4"/>
      <c r="P942" s="4"/>
      <c r="Q942" s="4"/>
      <c r="R942" s="12"/>
      <c r="S942" s="12"/>
      <c r="T942" s="12"/>
      <c r="U942" s="12"/>
      <c r="V942" s="12"/>
      <c r="W942" s="12"/>
      <c r="X942" s="12"/>
      <c r="Y942" s="12"/>
      <c r="Z942" s="12"/>
      <c r="AA942" s="12"/>
      <c r="AB942" s="12"/>
      <c r="AC942" s="12"/>
      <c r="AD942" s="12"/>
    </row>
    <row r="943" spans="1:30" ht="13.5" customHeight="1">
      <c r="A943" s="4"/>
      <c r="B943" s="4"/>
      <c r="C943" s="4"/>
      <c r="D943" s="4"/>
      <c r="E943" s="4"/>
      <c r="F943" s="4"/>
      <c r="G943" s="4"/>
      <c r="H943" s="4"/>
      <c r="I943" s="4"/>
      <c r="J943" s="4"/>
      <c r="K943" s="4"/>
      <c r="L943" s="4"/>
      <c r="M943" s="4"/>
      <c r="N943" s="4"/>
      <c r="O943" s="4"/>
      <c r="P943" s="4"/>
      <c r="Q943" s="4"/>
      <c r="R943" s="12"/>
      <c r="S943" s="12"/>
      <c r="T943" s="12"/>
      <c r="U943" s="12"/>
      <c r="V943" s="12"/>
      <c r="W943" s="12"/>
      <c r="X943" s="12"/>
      <c r="Y943" s="12"/>
      <c r="Z943" s="12"/>
      <c r="AA943" s="12"/>
      <c r="AB943" s="12"/>
      <c r="AC943" s="12"/>
      <c r="AD943" s="12"/>
    </row>
    <row r="944" spans="1:30" ht="13.5" customHeight="1">
      <c r="A944" s="4"/>
      <c r="B944" s="4"/>
      <c r="C944" s="4"/>
      <c r="D944" s="4"/>
      <c r="E944" s="4"/>
      <c r="F944" s="4"/>
      <c r="G944" s="4"/>
      <c r="H944" s="4"/>
      <c r="I944" s="4"/>
      <c r="J944" s="4"/>
      <c r="K944" s="4"/>
      <c r="L944" s="4"/>
      <c r="M944" s="4"/>
      <c r="N944" s="4"/>
      <c r="O944" s="4"/>
      <c r="P944" s="4"/>
      <c r="Q944" s="4"/>
      <c r="R944" s="12"/>
      <c r="S944" s="12"/>
      <c r="T944" s="12"/>
      <c r="U944" s="12"/>
      <c r="V944" s="12"/>
      <c r="W944" s="12"/>
      <c r="X944" s="12"/>
      <c r="Y944" s="12"/>
      <c r="Z944" s="12"/>
      <c r="AA944" s="12"/>
      <c r="AB944" s="12"/>
      <c r="AC944" s="12"/>
      <c r="AD944" s="12"/>
    </row>
    <row r="945" spans="1:30" ht="13.5" customHeight="1">
      <c r="A945" s="4"/>
      <c r="B945" s="4"/>
      <c r="C945" s="4"/>
      <c r="D945" s="4"/>
      <c r="E945" s="4"/>
      <c r="F945" s="4"/>
      <c r="G945" s="4"/>
      <c r="H945" s="4"/>
      <c r="I945" s="4"/>
      <c r="J945" s="4"/>
      <c r="K945" s="4"/>
      <c r="L945" s="4"/>
      <c r="M945" s="4"/>
      <c r="N945" s="4"/>
      <c r="O945" s="4"/>
      <c r="P945" s="4"/>
      <c r="Q945" s="4"/>
      <c r="R945" s="12"/>
      <c r="S945" s="12"/>
      <c r="T945" s="12"/>
      <c r="U945" s="12"/>
      <c r="V945" s="12"/>
      <c r="W945" s="12"/>
      <c r="X945" s="12"/>
      <c r="Y945" s="12"/>
      <c r="Z945" s="12"/>
      <c r="AA945" s="12"/>
      <c r="AB945" s="12"/>
      <c r="AC945" s="12"/>
      <c r="AD945" s="12"/>
    </row>
    <row r="946" spans="1:30" ht="13.5" customHeight="1">
      <c r="A946" s="4"/>
      <c r="B946" s="4"/>
      <c r="C946" s="4"/>
      <c r="D946" s="4"/>
      <c r="E946" s="4"/>
      <c r="F946" s="4"/>
      <c r="G946" s="4"/>
      <c r="H946" s="4"/>
      <c r="I946" s="4"/>
      <c r="J946" s="4"/>
      <c r="K946" s="4"/>
      <c r="L946" s="4"/>
      <c r="M946" s="4"/>
      <c r="N946" s="4"/>
      <c r="O946" s="4"/>
      <c r="P946" s="4"/>
      <c r="Q946" s="4"/>
      <c r="R946" s="12"/>
      <c r="S946" s="12"/>
      <c r="T946" s="12"/>
      <c r="U946" s="12"/>
      <c r="V946" s="12"/>
      <c r="W946" s="12"/>
      <c r="X946" s="12"/>
      <c r="Y946" s="12"/>
      <c r="Z946" s="12"/>
      <c r="AA946" s="12"/>
      <c r="AB946" s="12"/>
      <c r="AC946" s="12"/>
      <c r="AD946" s="12"/>
    </row>
    <row r="947" spans="1:30" ht="13.5" customHeight="1">
      <c r="A947" s="4"/>
      <c r="B947" s="4"/>
      <c r="C947" s="4"/>
      <c r="D947" s="4"/>
      <c r="E947" s="4"/>
      <c r="F947" s="4"/>
      <c r="G947" s="4"/>
      <c r="H947" s="4"/>
      <c r="I947" s="4"/>
      <c r="J947" s="4"/>
      <c r="K947" s="4"/>
      <c r="L947" s="4"/>
      <c r="M947" s="4"/>
      <c r="N947" s="4"/>
      <c r="O947" s="4"/>
      <c r="P947" s="4"/>
      <c r="Q947" s="4"/>
      <c r="R947" s="12"/>
      <c r="S947" s="12"/>
      <c r="T947" s="12"/>
      <c r="U947" s="12"/>
      <c r="V947" s="12"/>
      <c r="W947" s="12"/>
      <c r="X947" s="12"/>
      <c r="Y947" s="12"/>
      <c r="Z947" s="12"/>
      <c r="AA947" s="12"/>
      <c r="AB947" s="12"/>
      <c r="AC947" s="12"/>
      <c r="AD947" s="12"/>
    </row>
    <row r="948" spans="1:30" ht="13.5" customHeight="1">
      <c r="A948" s="4"/>
      <c r="B948" s="4"/>
      <c r="C948" s="4"/>
      <c r="D948" s="4"/>
      <c r="E948" s="4"/>
      <c r="F948" s="4"/>
      <c r="G948" s="4"/>
      <c r="H948" s="4"/>
      <c r="I948" s="4"/>
      <c r="J948" s="4"/>
      <c r="K948" s="4"/>
      <c r="L948" s="4"/>
      <c r="M948" s="4"/>
      <c r="N948" s="4"/>
      <c r="O948" s="4"/>
      <c r="P948" s="4"/>
      <c r="Q948" s="4"/>
      <c r="R948" s="12"/>
      <c r="S948" s="12"/>
      <c r="T948" s="12"/>
      <c r="U948" s="12"/>
      <c r="V948" s="12"/>
      <c r="W948" s="12"/>
      <c r="X948" s="12"/>
      <c r="Y948" s="12"/>
      <c r="Z948" s="12"/>
      <c r="AA948" s="12"/>
      <c r="AB948" s="12"/>
      <c r="AC948" s="12"/>
      <c r="AD948" s="12"/>
    </row>
    <row r="949" spans="1:30" ht="13.5" customHeight="1">
      <c r="A949" s="4"/>
      <c r="B949" s="4"/>
      <c r="C949" s="4"/>
      <c r="D949" s="4"/>
      <c r="E949" s="4"/>
      <c r="F949" s="4"/>
      <c r="G949" s="4"/>
      <c r="H949" s="4"/>
      <c r="I949" s="4"/>
      <c r="J949" s="4"/>
      <c r="K949" s="4"/>
      <c r="L949" s="4"/>
      <c r="M949" s="4"/>
      <c r="N949" s="4"/>
      <c r="O949" s="4"/>
      <c r="P949" s="4"/>
      <c r="Q949" s="4"/>
      <c r="R949" s="12"/>
      <c r="S949" s="12"/>
      <c r="T949" s="12"/>
      <c r="U949" s="12"/>
      <c r="V949" s="12"/>
      <c r="W949" s="12"/>
      <c r="X949" s="12"/>
      <c r="Y949" s="12"/>
      <c r="Z949" s="12"/>
      <c r="AA949" s="12"/>
      <c r="AB949" s="12"/>
      <c r="AC949" s="12"/>
      <c r="AD949" s="12"/>
    </row>
    <row r="950" spans="1:30" ht="13.5" customHeight="1">
      <c r="A950" s="4"/>
      <c r="B950" s="4"/>
      <c r="C950" s="4"/>
      <c r="D950" s="4"/>
      <c r="E950" s="4"/>
      <c r="F950" s="4"/>
      <c r="G950" s="4"/>
      <c r="H950" s="4"/>
      <c r="I950" s="4"/>
      <c r="J950" s="4"/>
      <c r="K950" s="4"/>
      <c r="L950" s="4"/>
      <c r="M950" s="4"/>
      <c r="N950" s="4"/>
      <c r="O950" s="4"/>
      <c r="P950" s="4"/>
      <c r="Q950" s="4"/>
      <c r="R950" s="12"/>
      <c r="S950" s="12"/>
      <c r="T950" s="12"/>
      <c r="U950" s="12"/>
      <c r="V950" s="12"/>
      <c r="W950" s="12"/>
      <c r="X950" s="12"/>
      <c r="Y950" s="12"/>
      <c r="Z950" s="12"/>
      <c r="AA950" s="12"/>
      <c r="AB950" s="12"/>
      <c r="AC950" s="12"/>
      <c r="AD950" s="12"/>
    </row>
    <row r="951" spans="1:30" ht="13.5" customHeight="1">
      <c r="A951" s="4"/>
      <c r="B951" s="4"/>
      <c r="C951" s="4"/>
      <c r="D951" s="4"/>
      <c r="E951" s="4"/>
      <c r="F951" s="4"/>
      <c r="G951" s="4"/>
      <c r="H951" s="4"/>
      <c r="I951" s="4"/>
      <c r="J951" s="4"/>
      <c r="K951" s="4"/>
      <c r="L951" s="4"/>
      <c r="M951" s="4"/>
      <c r="N951" s="4"/>
      <c r="O951" s="4"/>
      <c r="P951" s="4"/>
      <c r="Q951" s="4"/>
      <c r="R951" s="12"/>
      <c r="S951" s="12"/>
      <c r="T951" s="12"/>
      <c r="U951" s="12"/>
      <c r="V951" s="12"/>
      <c r="W951" s="12"/>
      <c r="X951" s="12"/>
      <c r="Y951" s="12"/>
      <c r="Z951" s="12"/>
      <c r="AA951" s="12"/>
      <c r="AB951" s="12"/>
      <c r="AC951" s="12"/>
      <c r="AD951" s="12"/>
    </row>
    <row r="952" spans="1:30" ht="13.5" customHeight="1">
      <c r="A952" s="4"/>
      <c r="B952" s="4"/>
      <c r="C952" s="4"/>
      <c r="D952" s="4"/>
      <c r="E952" s="4"/>
      <c r="F952" s="4"/>
      <c r="G952" s="4"/>
      <c r="H952" s="4"/>
      <c r="I952" s="4"/>
      <c r="J952" s="4"/>
      <c r="K952" s="4"/>
      <c r="L952" s="4"/>
      <c r="M952" s="4"/>
      <c r="N952" s="4"/>
      <c r="O952" s="4"/>
      <c r="P952" s="4"/>
      <c r="Q952" s="4"/>
      <c r="R952" s="12"/>
      <c r="S952" s="12"/>
      <c r="T952" s="12"/>
      <c r="U952" s="12"/>
      <c r="V952" s="12"/>
      <c r="W952" s="12"/>
      <c r="X952" s="12"/>
      <c r="Y952" s="12"/>
      <c r="Z952" s="12"/>
      <c r="AA952" s="12"/>
      <c r="AB952" s="12"/>
      <c r="AC952" s="12"/>
      <c r="AD952" s="12"/>
    </row>
    <row r="953" spans="1:30" ht="13.5" customHeight="1">
      <c r="A953" s="4"/>
      <c r="B953" s="4"/>
      <c r="C953" s="4"/>
      <c r="D953" s="4"/>
      <c r="E953" s="4"/>
      <c r="F953" s="4"/>
      <c r="G953" s="4"/>
      <c r="H953" s="4"/>
      <c r="I953" s="4"/>
      <c r="J953" s="4"/>
      <c r="K953" s="4"/>
      <c r="L953" s="4"/>
      <c r="M953" s="4"/>
      <c r="N953" s="4"/>
      <c r="O953" s="4"/>
      <c r="P953" s="4"/>
      <c r="Q953" s="4"/>
      <c r="R953" s="12"/>
      <c r="S953" s="12"/>
      <c r="T953" s="12"/>
      <c r="U953" s="12"/>
      <c r="V953" s="12"/>
      <c r="W953" s="12"/>
      <c r="X953" s="12"/>
      <c r="Y953" s="12"/>
      <c r="Z953" s="12"/>
      <c r="AA953" s="12"/>
      <c r="AB953" s="12"/>
      <c r="AC953" s="12"/>
      <c r="AD953" s="12"/>
    </row>
    <row r="954" spans="1:30" ht="13.5" customHeight="1">
      <c r="A954" s="4"/>
      <c r="B954" s="4"/>
      <c r="C954" s="4"/>
      <c r="D954" s="4"/>
      <c r="E954" s="4"/>
      <c r="F954" s="4"/>
      <c r="G954" s="4"/>
      <c r="H954" s="4"/>
      <c r="I954" s="4"/>
      <c r="J954" s="4"/>
      <c r="K954" s="4"/>
      <c r="L954" s="4"/>
      <c r="M954" s="4"/>
      <c r="N954" s="4"/>
      <c r="O954" s="4"/>
      <c r="P954" s="4"/>
      <c r="Q954" s="4"/>
      <c r="R954" s="12"/>
      <c r="S954" s="12"/>
      <c r="T954" s="12"/>
      <c r="U954" s="12"/>
      <c r="V954" s="12"/>
      <c r="W954" s="12"/>
      <c r="X954" s="12"/>
      <c r="Y954" s="12"/>
      <c r="Z954" s="12"/>
      <c r="AA954" s="12"/>
      <c r="AB954" s="12"/>
      <c r="AC954" s="12"/>
      <c r="AD954" s="12"/>
    </row>
    <row r="955" spans="1:30" ht="13.5" customHeight="1">
      <c r="A955" s="4"/>
      <c r="B955" s="4"/>
      <c r="C955" s="4"/>
      <c r="D955" s="4"/>
      <c r="E955" s="4"/>
      <c r="F955" s="4"/>
      <c r="G955" s="4"/>
      <c r="H955" s="4"/>
      <c r="I955" s="4"/>
      <c r="J955" s="4"/>
      <c r="K955" s="4"/>
      <c r="L955" s="4"/>
      <c r="M955" s="4"/>
      <c r="N955" s="4"/>
      <c r="O955" s="4"/>
      <c r="P955" s="4"/>
      <c r="Q955" s="4"/>
      <c r="R955" s="12"/>
      <c r="S955" s="12"/>
      <c r="T955" s="12"/>
      <c r="U955" s="12"/>
      <c r="V955" s="12"/>
      <c r="W955" s="12"/>
      <c r="X955" s="12"/>
      <c r="Y955" s="12"/>
      <c r="Z955" s="12"/>
      <c r="AA955" s="12"/>
      <c r="AB955" s="12"/>
      <c r="AC955" s="12"/>
      <c r="AD955" s="12"/>
    </row>
    <row r="956" spans="1:30" ht="13.5" customHeight="1">
      <c r="A956" s="4"/>
      <c r="B956" s="4"/>
      <c r="C956" s="4"/>
      <c r="D956" s="4"/>
      <c r="E956" s="4"/>
      <c r="F956" s="4"/>
      <c r="G956" s="4"/>
      <c r="H956" s="4"/>
      <c r="I956" s="4"/>
      <c r="J956" s="4"/>
      <c r="K956" s="4"/>
      <c r="L956" s="4"/>
      <c r="M956" s="4"/>
      <c r="N956" s="4"/>
      <c r="O956" s="4"/>
      <c r="P956" s="4"/>
      <c r="Q956" s="4"/>
      <c r="R956" s="12"/>
      <c r="S956" s="12"/>
      <c r="T956" s="12"/>
      <c r="U956" s="12"/>
      <c r="V956" s="12"/>
      <c r="W956" s="12"/>
      <c r="X956" s="12"/>
      <c r="Y956" s="12"/>
      <c r="Z956" s="12"/>
      <c r="AA956" s="12"/>
      <c r="AB956" s="12"/>
      <c r="AC956" s="12"/>
      <c r="AD956" s="12"/>
    </row>
    <row r="957" spans="1:30" ht="13.5" customHeight="1">
      <c r="A957" s="4"/>
      <c r="B957" s="4"/>
      <c r="C957" s="4"/>
      <c r="D957" s="4"/>
      <c r="E957" s="4"/>
      <c r="F957" s="4"/>
      <c r="G957" s="4"/>
      <c r="H957" s="4"/>
      <c r="I957" s="4"/>
      <c r="J957" s="4"/>
      <c r="K957" s="4"/>
      <c r="L957" s="4"/>
      <c r="M957" s="4"/>
      <c r="N957" s="4"/>
      <c r="O957" s="4"/>
      <c r="P957" s="4"/>
      <c r="Q957" s="4"/>
      <c r="R957" s="12"/>
      <c r="S957" s="12"/>
      <c r="T957" s="12"/>
      <c r="U957" s="12"/>
      <c r="V957" s="12"/>
      <c r="W957" s="12"/>
      <c r="X957" s="12"/>
      <c r="Y957" s="12"/>
      <c r="Z957" s="12"/>
      <c r="AA957" s="12"/>
      <c r="AB957" s="12"/>
      <c r="AC957" s="12"/>
      <c r="AD957" s="12"/>
    </row>
    <row r="958" spans="1:30" ht="13.5" customHeight="1">
      <c r="A958" s="4"/>
      <c r="B958" s="4"/>
      <c r="C958" s="4"/>
      <c r="D958" s="4"/>
      <c r="E958" s="4"/>
      <c r="F958" s="4"/>
      <c r="G958" s="4"/>
      <c r="H958" s="4"/>
      <c r="I958" s="4"/>
      <c r="J958" s="4"/>
      <c r="K958" s="4"/>
      <c r="L958" s="4"/>
      <c r="M958" s="4"/>
      <c r="N958" s="4"/>
      <c r="O958" s="4"/>
      <c r="P958" s="4"/>
      <c r="Q958" s="4"/>
      <c r="R958" s="12"/>
      <c r="S958" s="12"/>
      <c r="T958" s="12"/>
      <c r="U958" s="12"/>
      <c r="V958" s="12"/>
      <c r="W958" s="12"/>
      <c r="X958" s="12"/>
      <c r="Y958" s="12"/>
      <c r="Z958" s="12"/>
      <c r="AA958" s="12"/>
      <c r="AB958" s="12"/>
      <c r="AC958" s="12"/>
      <c r="AD958" s="12"/>
    </row>
    <row r="959" spans="1:30" ht="13.5" customHeight="1">
      <c r="A959" s="4"/>
      <c r="B959" s="4"/>
      <c r="C959" s="4"/>
      <c r="D959" s="4"/>
      <c r="E959" s="4"/>
      <c r="F959" s="4"/>
      <c r="G959" s="4"/>
      <c r="H959" s="4"/>
      <c r="I959" s="4"/>
      <c r="J959" s="4"/>
      <c r="K959" s="4"/>
      <c r="L959" s="4"/>
      <c r="M959" s="4"/>
      <c r="N959" s="4"/>
      <c r="O959" s="4"/>
      <c r="P959" s="4"/>
      <c r="Q959" s="4"/>
      <c r="R959" s="12"/>
      <c r="S959" s="12"/>
      <c r="T959" s="12"/>
      <c r="U959" s="12"/>
      <c r="V959" s="12"/>
      <c r="W959" s="12"/>
      <c r="X959" s="12"/>
      <c r="Y959" s="12"/>
      <c r="Z959" s="12"/>
      <c r="AA959" s="12"/>
      <c r="AB959" s="12"/>
      <c r="AC959" s="12"/>
      <c r="AD959" s="12"/>
    </row>
    <row r="960" spans="1:30" ht="13.5" customHeight="1">
      <c r="A960" s="4"/>
      <c r="B960" s="4"/>
      <c r="C960" s="4"/>
      <c r="D960" s="4"/>
      <c r="E960" s="4"/>
      <c r="F960" s="4"/>
      <c r="G960" s="4"/>
      <c r="H960" s="4"/>
      <c r="I960" s="4"/>
      <c r="J960" s="4"/>
      <c r="K960" s="4"/>
      <c r="L960" s="4"/>
      <c r="M960" s="4"/>
      <c r="N960" s="4"/>
      <c r="O960" s="4"/>
      <c r="P960" s="4"/>
      <c r="Q960" s="4"/>
      <c r="R960" s="12"/>
      <c r="S960" s="12"/>
      <c r="T960" s="12"/>
      <c r="U960" s="12"/>
      <c r="V960" s="12"/>
      <c r="W960" s="12"/>
      <c r="X960" s="12"/>
      <c r="Y960" s="12"/>
      <c r="Z960" s="12"/>
      <c r="AA960" s="12"/>
      <c r="AB960" s="12"/>
      <c r="AC960" s="12"/>
      <c r="AD960" s="12"/>
    </row>
    <row r="961" spans="1:30" ht="13.5" customHeight="1">
      <c r="A961" s="4"/>
      <c r="B961" s="4"/>
      <c r="C961" s="4"/>
      <c r="D961" s="4"/>
      <c r="E961" s="4"/>
      <c r="F961" s="4"/>
      <c r="G961" s="4"/>
      <c r="H961" s="4"/>
      <c r="I961" s="4"/>
      <c r="J961" s="4"/>
      <c r="K961" s="4"/>
      <c r="L961" s="4"/>
      <c r="M961" s="4"/>
      <c r="N961" s="4"/>
      <c r="O961" s="4"/>
      <c r="P961" s="4"/>
      <c r="Q961" s="4"/>
      <c r="R961" s="12"/>
      <c r="S961" s="12"/>
      <c r="T961" s="12"/>
      <c r="U961" s="12"/>
      <c r="V961" s="12"/>
      <c r="W961" s="12"/>
      <c r="X961" s="12"/>
      <c r="Y961" s="12"/>
      <c r="Z961" s="12"/>
      <c r="AA961" s="12"/>
      <c r="AB961" s="12"/>
      <c r="AC961" s="12"/>
      <c r="AD961" s="12"/>
    </row>
    <row r="962" spans="1:30" ht="13.5" customHeight="1">
      <c r="A962" s="4"/>
      <c r="B962" s="4"/>
      <c r="C962" s="4"/>
      <c r="D962" s="4"/>
      <c r="E962" s="4"/>
      <c r="F962" s="4"/>
      <c r="G962" s="4"/>
      <c r="H962" s="4"/>
      <c r="I962" s="4"/>
      <c r="J962" s="4"/>
      <c r="K962" s="4"/>
      <c r="L962" s="4"/>
      <c r="M962" s="4"/>
      <c r="N962" s="4"/>
      <c r="O962" s="4"/>
      <c r="P962" s="4"/>
      <c r="Q962" s="4"/>
      <c r="R962" s="12"/>
      <c r="S962" s="12"/>
      <c r="T962" s="12"/>
      <c r="U962" s="12"/>
      <c r="V962" s="12"/>
      <c r="W962" s="12"/>
      <c r="X962" s="12"/>
      <c r="Y962" s="12"/>
      <c r="Z962" s="12"/>
      <c r="AA962" s="12"/>
      <c r="AB962" s="12"/>
      <c r="AC962" s="12"/>
      <c r="AD962" s="12"/>
    </row>
    <row r="963" spans="1:30" ht="13.5" customHeight="1">
      <c r="A963" s="4"/>
      <c r="B963" s="4"/>
      <c r="C963" s="4"/>
      <c r="D963" s="4"/>
      <c r="E963" s="4"/>
      <c r="F963" s="4"/>
      <c r="G963" s="4"/>
      <c r="H963" s="4"/>
      <c r="I963" s="4"/>
      <c r="J963" s="4"/>
      <c r="K963" s="4"/>
      <c r="L963" s="4"/>
      <c r="M963" s="4"/>
      <c r="N963" s="4"/>
      <c r="O963" s="4"/>
      <c r="P963" s="4"/>
      <c r="Q963" s="4"/>
      <c r="R963" s="12"/>
      <c r="S963" s="12"/>
      <c r="T963" s="12"/>
      <c r="U963" s="12"/>
      <c r="V963" s="12"/>
      <c r="W963" s="12"/>
      <c r="X963" s="12"/>
      <c r="Y963" s="12"/>
      <c r="Z963" s="12"/>
      <c r="AA963" s="12"/>
      <c r="AB963" s="12"/>
      <c r="AC963" s="12"/>
      <c r="AD963" s="12"/>
    </row>
    <row r="964" spans="1:30" ht="13.5" customHeight="1">
      <c r="A964" s="4"/>
      <c r="B964" s="4"/>
      <c r="C964" s="4"/>
      <c r="D964" s="4"/>
      <c r="E964" s="4"/>
      <c r="F964" s="4"/>
      <c r="G964" s="4"/>
      <c r="H964" s="4"/>
      <c r="I964" s="4"/>
      <c r="J964" s="4"/>
      <c r="K964" s="4"/>
      <c r="L964" s="4"/>
      <c r="M964" s="4"/>
      <c r="N964" s="4"/>
      <c r="O964" s="4"/>
      <c r="P964" s="4"/>
      <c r="Q964" s="4"/>
      <c r="R964" s="12"/>
      <c r="S964" s="12"/>
      <c r="T964" s="12"/>
      <c r="U964" s="12"/>
      <c r="V964" s="12"/>
      <c r="W964" s="12"/>
      <c r="X964" s="12"/>
      <c r="Y964" s="12"/>
      <c r="Z964" s="12"/>
      <c r="AA964" s="12"/>
      <c r="AB964" s="12"/>
      <c r="AC964" s="12"/>
      <c r="AD964" s="12"/>
    </row>
    <row r="965" spans="1:30" ht="13.5" customHeight="1">
      <c r="A965" s="4"/>
      <c r="B965" s="4"/>
      <c r="C965" s="4"/>
      <c r="D965" s="4"/>
      <c r="E965" s="4"/>
      <c r="F965" s="4"/>
      <c r="G965" s="4"/>
      <c r="H965" s="4"/>
      <c r="I965" s="4"/>
      <c r="J965" s="4"/>
      <c r="K965" s="4"/>
      <c r="L965" s="4"/>
      <c r="M965" s="4"/>
      <c r="N965" s="4"/>
      <c r="O965" s="4"/>
      <c r="P965" s="4"/>
      <c r="Q965" s="4"/>
      <c r="R965" s="12"/>
      <c r="S965" s="12"/>
      <c r="T965" s="12"/>
      <c r="U965" s="12"/>
      <c r="V965" s="12"/>
      <c r="W965" s="12"/>
      <c r="X965" s="12"/>
      <c r="Y965" s="12"/>
      <c r="Z965" s="12"/>
      <c r="AA965" s="12"/>
      <c r="AB965" s="12"/>
      <c r="AC965" s="12"/>
      <c r="AD965" s="12"/>
    </row>
    <row r="966" spans="1:30" ht="13.5" customHeight="1">
      <c r="A966" s="4"/>
      <c r="B966" s="4"/>
      <c r="C966" s="4"/>
      <c r="D966" s="4"/>
      <c r="E966" s="4"/>
      <c r="F966" s="4"/>
      <c r="G966" s="4"/>
      <c r="H966" s="4"/>
      <c r="I966" s="4"/>
      <c r="J966" s="4"/>
      <c r="K966" s="4"/>
      <c r="L966" s="4"/>
      <c r="M966" s="4"/>
      <c r="N966" s="4"/>
      <c r="O966" s="4"/>
      <c r="P966" s="4"/>
      <c r="Q966" s="4"/>
      <c r="R966" s="12"/>
      <c r="S966" s="12"/>
      <c r="T966" s="12"/>
      <c r="U966" s="12"/>
      <c r="V966" s="12"/>
      <c r="W966" s="12"/>
      <c r="X966" s="12"/>
      <c r="Y966" s="12"/>
      <c r="Z966" s="12"/>
      <c r="AA966" s="12"/>
      <c r="AB966" s="12"/>
      <c r="AC966" s="12"/>
      <c r="AD966" s="12"/>
    </row>
    <row r="967" spans="1:30" ht="13.5" customHeight="1">
      <c r="A967" s="4"/>
      <c r="B967" s="4"/>
      <c r="C967" s="4"/>
      <c r="D967" s="4"/>
      <c r="E967" s="4"/>
      <c r="F967" s="4"/>
      <c r="G967" s="4"/>
      <c r="H967" s="4"/>
      <c r="I967" s="4"/>
      <c r="J967" s="4"/>
      <c r="K967" s="4"/>
      <c r="L967" s="4"/>
      <c r="M967" s="4"/>
      <c r="N967" s="4"/>
      <c r="O967" s="4"/>
      <c r="P967" s="4"/>
      <c r="Q967" s="4"/>
      <c r="R967" s="12"/>
      <c r="S967" s="12"/>
      <c r="T967" s="12"/>
      <c r="U967" s="12"/>
      <c r="V967" s="12"/>
      <c r="W967" s="12"/>
      <c r="X967" s="12"/>
      <c r="Y967" s="12"/>
      <c r="Z967" s="12"/>
      <c r="AA967" s="12"/>
      <c r="AB967" s="12"/>
      <c r="AC967" s="12"/>
      <c r="AD967" s="12"/>
    </row>
    <row r="968" spans="1:30" ht="13.5" customHeight="1">
      <c r="A968" s="4"/>
      <c r="B968" s="4"/>
      <c r="C968" s="4"/>
      <c r="D968" s="4"/>
      <c r="E968" s="4"/>
      <c r="F968" s="4"/>
      <c r="G968" s="4"/>
      <c r="H968" s="4"/>
      <c r="I968" s="4"/>
      <c r="J968" s="4"/>
      <c r="K968" s="4"/>
      <c r="L968" s="4"/>
      <c r="M968" s="4"/>
      <c r="N968" s="4"/>
      <c r="O968" s="4"/>
      <c r="P968" s="4"/>
      <c r="Q968" s="4"/>
      <c r="R968" s="12"/>
      <c r="S968" s="12"/>
      <c r="T968" s="12"/>
      <c r="U968" s="12"/>
      <c r="V968" s="12"/>
      <c r="W968" s="12"/>
      <c r="X968" s="12"/>
      <c r="Y968" s="12"/>
      <c r="Z968" s="12"/>
      <c r="AA968" s="12"/>
      <c r="AB968" s="12"/>
      <c r="AC968" s="12"/>
      <c r="AD968" s="12"/>
    </row>
    <row r="969" spans="1:30" ht="13.5" customHeight="1">
      <c r="A969" s="4"/>
      <c r="B969" s="4"/>
      <c r="C969" s="4"/>
      <c r="D969" s="4"/>
      <c r="E969" s="4"/>
      <c r="F969" s="4"/>
      <c r="G969" s="4"/>
      <c r="H969" s="4"/>
      <c r="I969" s="4"/>
      <c r="J969" s="4"/>
      <c r="K969" s="4"/>
      <c r="L969" s="4"/>
      <c r="M969" s="4"/>
      <c r="N969" s="4"/>
      <c r="O969" s="4"/>
      <c r="P969" s="4"/>
      <c r="Q969" s="4"/>
      <c r="R969" s="12"/>
      <c r="S969" s="12"/>
      <c r="T969" s="12"/>
      <c r="U969" s="12"/>
      <c r="V969" s="12"/>
      <c r="W969" s="12"/>
      <c r="X969" s="12"/>
      <c r="Y969" s="12"/>
      <c r="Z969" s="12"/>
      <c r="AA969" s="12"/>
      <c r="AB969" s="12"/>
      <c r="AC969" s="12"/>
      <c r="AD969" s="12"/>
    </row>
    <row r="970" spans="1:30" ht="13.5" customHeight="1">
      <c r="A970" s="4"/>
      <c r="B970" s="4"/>
      <c r="C970" s="4"/>
      <c r="D970" s="4"/>
      <c r="E970" s="4"/>
      <c r="F970" s="4"/>
      <c r="G970" s="4"/>
      <c r="H970" s="4"/>
      <c r="I970" s="4"/>
      <c r="J970" s="4"/>
      <c r="K970" s="4"/>
      <c r="L970" s="4"/>
      <c r="M970" s="4"/>
      <c r="N970" s="4"/>
      <c r="O970" s="4"/>
      <c r="P970" s="4"/>
      <c r="Q970" s="4"/>
      <c r="R970" s="12"/>
      <c r="S970" s="12"/>
      <c r="T970" s="12"/>
      <c r="U970" s="12"/>
      <c r="V970" s="12"/>
      <c r="W970" s="12"/>
      <c r="X970" s="12"/>
      <c r="Y970" s="12"/>
      <c r="Z970" s="12"/>
      <c r="AA970" s="12"/>
      <c r="AB970" s="12"/>
      <c r="AC970" s="12"/>
      <c r="AD970" s="12"/>
    </row>
    <row r="971" spans="1:30" ht="13.5" customHeight="1">
      <c r="A971" s="4"/>
      <c r="B971" s="4"/>
      <c r="C971" s="4"/>
      <c r="D971" s="4"/>
      <c r="E971" s="4"/>
      <c r="F971" s="4"/>
      <c r="G971" s="4"/>
      <c r="H971" s="4"/>
      <c r="I971" s="4"/>
      <c r="J971" s="4"/>
      <c r="K971" s="4"/>
      <c r="L971" s="4"/>
      <c r="M971" s="4"/>
      <c r="N971" s="4"/>
      <c r="O971" s="4"/>
      <c r="P971" s="4"/>
      <c r="Q971" s="4"/>
      <c r="R971" s="12"/>
      <c r="S971" s="12"/>
      <c r="T971" s="12"/>
      <c r="U971" s="12"/>
      <c r="V971" s="12"/>
      <c r="W971" s="12"/>
      <c r="X971" s="12"/>
      <c r="Y971" s="12"/>
      <c r="Z971" s="12"/>
      <c r="AA971" s="12"/>
      <c r="AB971" s="12"/>
      <c r="AC971" s="12"/>
      <c r="AD971" s="12"/>
    </row>
    <row r="972" spans="1:30" ht="13.5" customHeight="1">
      <c r="A972" s="4"/>
      <c r="B972" s="4"/>
      <c r="C972" s="4"/>
      <c r="D972" s="4"/>
      <c r="E972" s="4"/>
      <c r="F972" s="4"/>
      <c r="G972" s="4"/>
      <c r="H972" s="4"/>
      <c r="I972" s="4"/>
      <c r="J972" s="4"/>
      <c r="K972" s="4"/>
      <c r="L972" s="4"/>
      <c r="M972" s="4"/>
      <c r="N972" s="4"/>
      <c r="O972" s="4"/>
      <c r="P972" s="4"/>
      <c r="Q972" s="4"/>
      <c r="R972" s="12"/>
      <c r="S972" s="12"/>
      <c r="T972" s="12"/>
      <c r="U972" s="12"/>
      <c r="V972" s="12"/>
      <c r="W972" s="12"/>
      <c r="X972" s="12"/>
      <c r="Y972" s="12"/>
      <c r="Z972" s="12"/>
      <c r="AA972" s="12"/>
      <c r="AB972" s="12"/>
      <c r="AC972" s="12"/>
      <c r="AD972" s="12"/>
    </row>
    <row r="973" spans="1:30" ht="13.5" customHeight="1">
      <c r="A973" s="4"/>
      <c r="B973" s="4"/>
      <c r="C973" s="4"/>
      <c r="D973" s="4"/>
      <c r="E973" s="4"/>
      <c r="F973" s="4"/>
      <c r="G973" s="4"/>
      <c r="H973" s="4"/>
      <c r="I973" s="4"/>
      <c r="J973" s="4"/>
      <c r="K973" s="4"/>
      <c r="L973" s="4"/>
      <c r="M973" s="4"/>
      <c r="N973" s="4"/>
      <c r="O973" s="4"/>
      <c r="P973" s="4"/>
      <c r="Q973" s="4"/>
      <c r="R973" s="12"/>
      <c r="S973" s="12"/>
      <c r="T973" s="12"/>
      <c r="U973" s="12"/>
      <c r="V973" s="12"/>
      <c r="W973" s="12"/>
      <c r="X973" s="12"/>
      <c r="Y973" s="12"/>
      <c r="Z973" s="12"/>
      <c r="AA973" s="12"/>
      <c r="AB973" s="12"/>
      <c r="AC973" s="12"/>
      <c r="AD973" s="12"/>
    </row>
    <row r="974" spans="1:30" ht="13.5" customHeight="1">
      <c r="A974" s="4"/>
      <c r="B974" s="4"/>
      <c r="C974" s="4"/>
      <c r="D974" s="4"/>
      <c r="E974" s="4"/>
      <c r="F974" s="4"/>
      <c r="G974" s="4"/>
      <c r="H974" s="4"/>
      <c r="I974" s="4"/>
      <c r="J974" s="4"/>
      <c r="K974" s="4"/>
      <c r="L974" s="4"/>
      <c r="M974" s="4"/>
      <c r="N974" s="4"/>
      <c r="O974" s="4"/>
      <c r="P974" s="4"/>
      <c r="Q974" s="4"/>
      <c r="R974" s="12"/>
      <c r="S974" s="12"/>
      <c r="T974" s="12"/>
      <c r="U974" s="12"/>
      <c r="V974" s="12"/>
      <c r="W974" s="12"/>
      <c r="X974" s="12"/>
      <c r="Y974" s="12"/>
      <c r="Z974" s="12"/>
      <c r="AA974" s="12"/>
      <c r="AB974" s="12"/>
      <c r="AC974" s="12"/>
      <c r="AD974" s="12"/>
    </row>
    <row r="975" spans="1:30" ht="13.5" customHeight="1">
      <c r="A975" s="4"/>
      <c r="B975" s="4"/>
      <c r="C975" s="4"/>
      <c r="D975" s="4"/>
      <c r="E975" s="4"/>
      <c r="F975" s="4"/>
      <c r="G975" s="4"/>
      <c r="H975" s="4"/>
      <c r="I975" s="4"/>
      <c r="J975" s="4"/>
      <c r="K975" s="4"/>
      <c r="L975" s="4"/>
      <c r="M975" s="4"/>
      <c r="N975" s="4"/>
      <c r="O975" s="4"/>
      <c r="P975" s="4"/>
      <c r="Q975" s="4"/>
      <c r="R975" s="12"/>
      <c r="S975" s="12"/>
      <c r="T975" s="12"/>
      <c r="U975" s="12"/>
      <c r="V975" s="12"/>
      <c r="W975" s="12"/>
      <c r="X975" s="12"/>
      <c r="Y975" s="12"/>
      <c r="Z975" s="12"/>
      <c r="AA975" s="12"/>
      <c r="AB975" s="12"/>
      <c r="AC975" s="12"/>
      <c r="AD975" s="12"/>
    </row>
    <row r="976" spans="1:30" ht="13.5" customHeight="1">
      <c r="A976" s="4"/>
      <c r="B976" s="4"/>
      <c r="C976" s="4"/>
      <c r="D976" s="4"/>
      <c r="E976" s="4"/>
      <c r="F976" s="4"/>
      <c r="G976" s="4"/>
      <c r="H976" s="4"/>
      <c r="I976" s="4"/>
      <c r="J976" s="4"/>
      <c r="K976" s="4"/>
      <c r="L976" s="4"/>
      <c r="M976" s="4"/>
      <c r="N976" s="4"/>
      <c r="O976" s="4"/>
      <c r="P976" s="4"/>
      <c r="Q976" s="4"/>
      <c r="R976" s="12"/>
      <c r="S976" s="12"/>
      <c r="T976" s="12"/>
      <c r="U976" s="12"/>
      <c r="V976" s="12"/>
      <c r="W976" s="12"/>
      <c r="X976" s="12"/>
      <c r="Y976" s="12"/>
      <c r="Z976" s="12"/>
      <c r="AA976" s="12"/>
      <c r="AB976" s="12"/>
      <c r="AC976" s="12"/>
      <c r="AD976" s="12"/>
    </row>
    <row r="977" spans="1:30" ht="13.5" customHeight="1">
      <c r="A977" s="4"/>
      <c r="B977" s="4"/>
      <c r="C977" s="4"/>
      <c r="D977" s="4"/>
      <c r="E977" s="4"/>
      <c r="F977" s="4"/>
      <c r="G977" s="4"/>
      <c r="H977" s="4"/>
      <c r="I977" s="4"/>
      <c r="J977" s="4"/>
      <c r="K977" s="4"/>
      <c r="L977" s="4"/>
      <c r="M977" s="4"/>
      <c r="N977" s="4"/>
      <c r="O977" s="4"/>
      <c r="P977" s="4"/>
      <c r="Q977" s="4"/>
      <c r="R977" s="12"/>
      <c r="S977" s="12"/>
      <c r="T977" s="12"/>
      <c r="U977" s="12"/>
      <c r="V977" s="12"/>
      <c r="W977" s="12"/>
      <c r="X977" s="12"/>
      <c r="Y977" s="12"/>
      <c r="Z977" s="12"/>
      <c r="AA977" s="12"/>
      <c r="AB977" s="12"/>
      <c r="AC977" s="12"/>
      <c r="AD977" s="12"/>
    </row>
    <row r="978" spans="1:30" ht="13.5" customHeight="1">
      <c r="A978" s="4"/>
      <c r="B978" s="4"/>
      <c r="C978" s="4"/>
      <c r="D978" s="4"/>
      <c r="E978" s="4"/>
      <c r="F978" s="4"/>
      <c r="G978" s="4"/>
      <c r="H978" s="4"/>
      <c r="I978" s="4"/>
      <c r="J978" s="4"/>
      <c r="K978" s="4"/>
      <c r="L978" s="4"/>
      <c r="M978" s="4"/>
      <c r="N978" s="4"/>
      <c r="O978" s="4"/>
      <c r="P978" s="4"/>
      <c r="Q978" s="4"/>
      <c r="R978" s="12"/>
      <c r="S978" s="12"/>
      <c r="T978" s="12"/>
      <c r="U978" s="12"/>
      <c r="V978" s="12"/>
      <c r="W978" s="12"/>
      <c r="X978" s="12"/>
      <c r="Y978" s="12"/>
      <c r="Z978" s="12"/>
      <c r="AA978" s="12"/>
      <c r="AB978" s="12"/>
      <c r="AC978" s="12"/>
      <c r="AD978" s="12"/>
    </row>
    <row r="979" spans="1:30" ht="13.5" customHeight="1">
      <c r="A979" s="4"/>
      <c r="B979" s="4"/>
      <c r="C979" s="4"/>
      <c r="D979" s="4"/>
      <c r="E979" s="4"/>
      <c r="F979" s="4"/>
      <c r="G979" s="4"/>
      <c r="H979" s="4"/>
      <c r="I979" s="4"/>
      <c r="J979" s="4"/>
      <c r="K979" s="4"/>
      <c r="L979" s="4"/>
      <c r="M979" s="4"/>
      <c r="N979" s="4"/>
      <c r="O979" s="4"/>
      <c r="P979" s="4"/>
      <c r="Q979" s="4"/>
      <c r="R979" s="12"/>
      <c r="S979" s="12"/>
      <c r="T979" s="12"/>
      <c r="U979" s="12"/>
      <c r="V979" s="12"/>
      <c r="W979" s="12"/>
      <c r="X979" s="12"/>
      <c r="Y979" s="12"/>
      <c r="Z979" s="12"/>
      <c r="AA979" s="12"/>
      <c r="AB979" s="12"/>
      <c r="AC979" s="12"/>
      <c r="AD979" s="12"/>
    </row>
    <row r="980" spans="1:30" ht="13.5" customHeight="1">
      <c r="A980" s="4"/>
      <c r="B980" s="4"/>
      <c r="C980" s="4"/>
      <c r="D980" s="4"/>
      <c r="E980" s="4"/>
      <c r="F980" s="4"/>
      <c r="G980" s="4"/>
      <c r="H980" s="4"/>
      <c r="I980" s="4"/>
      <c r="J980" s="4"/>
      <c r="K980" s="4"/>
      <c r="L980" s="4"/>
      <c r="M980" s="4"/>
      <c r="N980" s="4"/>
      <c r="O980" s="4"/>
      <c r="P980" s="4"/>
      <c r="Q980" s="4"/>
      <c r="R980" s="12"/>
      <c r="S980" s="12"/>
      <c r="T980" s="12"/>
      <c r="U980" s="12"/>
      <c r="V980" s="12"/>
      <c r="W980" s="12"/>
      <c r="X980" s="12"/>
      <c r="Y980" s="12"/>
      <c r="Z980" s="12"/>
      <c r="AA980" s="12"/>
      <c r="AB980" s="12"/>
      <c r="AC980" s="12"/>
      <c r="AD980" s="12"/>
    </row>
    <row r="981" spans="1:30" ht="13.5" customHeight="1">
      <c r="A981" s="4"/>
      <c r="B981" s="4"/>
      <c r="C981" s="4"/>
      <c r="D981" s="4"/>
      <c r="E981" s="4"/>
      <c r="F981" s="4"/>
      <c r="G981" s="4"/>
      <c r="H981" s="4"/>
      <c r="I981" s="4"/>
      <c r="J981" s="4"/>
      <c r="K981" s="4"/>
      <c r="L981" s="4"/>
      <c r="M981" s="4"/>
      <c r="N981" s="4"/>
      <c r="O981" s="4"/>
      <c r="P981" s="4"/>
      <c r="Q981" s="4"/>
      <c r="R981" s="12"/>
      <c r="S981" s="12"/>
      <c r="T981" s="12"/>
      <c r="U981" s="12"/>
      <c r="V981" s="12"/>
      <c r="W981" s="12"/>
      <c r="X981" s="12"/>
      <c r="Y981" s="12"/>
      <c r="Z981" s="12"/>
      <c r="AA981" s="12"/>
      <c r="AB981" s="12"/>
      <c r="AC981" s="12"/>
      <c r="AD981" s="12"/>
    </row>
    <row r="982" spans="1:30" ht="13.5" customHeight="1">
      <c r="A982" s="4"/>
      <c r="B982" s="4"/>
      <c r="C982" s="4"/>
      <c r="D982" s="4"/>
      <c r="E982" s="4"/>
      <c r="F982" s="4"/>
      <c r="G982" s="4"/>
      <c r="H982" s="4"/>
      <c r="I982" s="4"/>
      <c r="J982" s="4"/>
      <c r="K982" s="4"/>
      <c r="L982" s="4"/>
      <c r="M982" s="4"/>
      <c r="N982" s="4"/>
      <c r="O982" s="4"/>
      <c r="P982" s="4"/>
      <c r="Q982" s="4"/>
      <c r="R982" s="12"/>
      <c r="S982" s="12"/>
      <c r="T982" s="12"/>
      <c r="U982" s="12"/>
      <c r="V982" s="12"/>
      <c r="W982" s="12"/>
      <c r="X982" s="12"/>
      <c r="Y982" s="12"/>
      <c r="Z982" s="12"/>
      <c r="AA982" s="12"/>
      <c r="AB982" s="12"/>
      <c r="AC982" s="12"/>
      <c r="AD982" s="12"/>
    </row>
    <row r="983" spans="1:30" ht="13.5" customHeight="1">
      <c r="A983" s="4"/>
      <c r="B983" s="4"/>
      <c r="C983" s="4"/>
      <c r="D983" s="4"/>
      <c r="E983" s="4"/>
      <c r="F983" s="4"/>
      <c r="G983" s="4"/>
      <c r="H983" s="4"/>
      <c r="I983" s="4"/>
      <c r="J983" s="4"/>
      <c r="K983" s="4"/>
      <c r="L983" s="4"/>
      <c r="M983" s="4"/>
      <c r="N983" s="4"/>
      <c r="O983" s="4"/>
      <c r="P983" s="4"/>
      <c r="Q983" s="4"/>
      <c r="R983" s="12"/>
      <c r="S983" s="12"/>
      <c r="T983" s="12"/>
      <c r="U983" s="12"/>
      <c r="V983" s="12"/>
      <c r="W983" s="12"/>
      <c r="X983" s="12"/>
      <c r="Y983" s="12"/>
      <c r="Z983" s="12"/>
      <c r="AA983" s="12"/>
      <c r="AB983" s="12"/>
      <c r="AC983" s="12"/>
      <c r="AD983" s="12"/>
    </row>
    <row r="984" spans="1:30" ht="13.5" customHeight="1">
      <c r="A984" s="4"/>
      <c r="B984" s="4"/>
      <c r="C984" s="4"/>
      <c r="D984" s="4"/>
      <c r="E984" s="4"/>
      <c r="F984" s="4"/>
      <c r="G984" s="4"/>
      <c r="H984" s="4"/>
      <c r="I984" s="4"/>
      <c r="J984" s="4"/>
      <c r="K984" s="4"/>
      <c r="L984" s="4"/>
      <c r="M984" s="4"/>
      <c r="N984" s="4"/>
      <c r="O984" s="4"/>
      <c r="P984" s="4"/>
      <c r="Q984" s="4"/>
      <c r="R984" s="12"/>
      <c r="S984" s="12"/>
      <c r="T984" s="12"/>
      <c r="U984" s="12"/>
      <c r="V984" s="12"/>
      <c r="W984" s="12"/>
      <c r="X984" s="12"/>
      <c r="Y984" s="12"/>
      <c r="Z984" s="12"/>
      <c r="AA984" s="12"/>
      <c r="AB984" s="12"/>
      <c r="AC984" s="12"/>
      <c r="AD984" s="12"/>
    </row>
    <row r="985" spans="1:30" ht="13.5" customHeight="1">
      <c r="A985" s="4"/>
      <c r="B985" s="4"/>
      <c r="C985" s="4"/>
      <c r="D985" s="4"/>
      <c r="E985" s="4"/>
      <c r="F985" s="4"/>
      <c r="G985" s="4"/>
      <c r="H985" s="4"/>
      <c r="I985" s="4"/>
      <c r="J985" s="4"/>
      <c r="K985" s="4"/>
      <c r="L985" s="4"/>
      <c r="M985" s="4"/>
      <c r="N985" s="4"/>
      <c r="O985" s="4"/>
      <c r="P985" s="4"/>
      <c r="Q985" s="4"/>
      <c r="R985" s="12"/>
      <c r="S985" s="12"/>
      <c r="T985" s="12"/>
      <c r="U985" s="12"/>
      <c r="V985" s="12"/>
      <c r="W985" s="12"/>
      <c r="X985" s="12"/>
      <c r="Y985" s="12"/>
      <c r="Z985" s="12"/>
      <c r="AA985" s="12"/>
      <c r="AB985" s="12"/>
      <c r="AC985" s="12"/>
      <c r="AD985" s="12"/>
    </row>
    <row r="986" spans="1:30" ht="13.5" customHeight="1">
      <c r="A986" s="4"/>
      <c r="B986" s="4"/>
      <c r="C986" s="4"/>
      <c r="D986" s="4"/>
      <c r="E986" s="4"/>
      <c r="F986" s="4"/>
      <c r="G986" s="4"/>
      <c r="H986" s="4"/>
      <c r="I986" s="4"/>
      <c r="J986" s="4"/>
      <c r="K986" s="4"/>
      <c r="L986" s="4"/>
      <c r="M986" s="4"/>
      <c r="N986" s="4"/>
      <c r="O986" s="4"/>
      <c r="P986" s="4"/>
      <c r="Q986" s="4"/>
      <c r="R986" s="12"/>
      <c r="S986" s="12"/>
      <c r="T986" s="12"/>
      <c r="U986" s="12"/>
      <c r="V986" s="12"/>
      <c r="W986" s="12"/>
      <c r="X986" s="12"/>
      <c r="Y986" s="12"/>
      <c r="Z986" s="12"/>
      <c r="AA986" s="12"/>
      <c r="AB986" s="12"/>
      <c r="AC986" s="12"/>
      <c r="AD986" s="12"/>
    </row>
    <row r="987" spans="1:30" ht="13.5" customHeight="1">
      <c r="A987" s="4"/>
      <c r="B987" s="4"/>
      <c r="C987" s="4"/>
      <c r="D987" s="4"/>
      <c r="E987" s="4"/>
      <c r="F987" s="4"/>
      <c r="G987" s="4"/>
      <c r="H987" s="4"/>
      <c r="I987" s="4"/>
      <c r="J987" s="4"/>
      <c r="K987" s="4"/>
      <c r="L987" s="4"/>
      <c r="M987" s="4"/>
      <c r="N987" s="4"/>
      <c r="O987" s="4"/>
      <c r="P987" s="4"/>
      <c r="Q987" s="4"/>
      <c r="R987" s="12"/>
      <c r="S987" s="12"/>
      <c r="T987" s="12"/>
      <c r="U987" s="12"/>
      <c r="V987" s="12"/>
      <c r="W987" s="12"/>
      <c r="X987" s="12"/>
      <c r="Y987" s="12"/>
      <c r="Z987" s="12"/>
      <c r="AA987" s="12"/>
      <c r="AB987" s="12"/>
      <c r="AC987" s="12"/>
      <c r="AD987" s="12"/>
    </row>
    <row r="988" spans="1:30" ht="13.5" customHeight="1">
      <c r="A988" s="4"/>
      <c r="B988" s="4"/>
      <c r="C988" s="4"/>
      <c r="D988" s="4"/>
      <c r="E988" s="4"/>
      <c r="F988" s="4"/>
      <c r="G988" s="4"/>
      <c r="H988" s="4"/>
      <c r="I988" s="4"/>
      <c r="J988" s="4"/>
      <c r="K988" s="4"/>
      <c r="L988" s="4"/>
      <c r="M988" s="4"/>
      <c r="N988" s="4"/>
      <c r="O988" s="4"/>
      <c r="P988" s="4"/>
      <c r="Q988" s="4"/>
      <c r="R988" s="12"/>
      <c r="S988" s="12"/>
      <c r="T988" s="12"/>
      <c r="U988" s="12"/>
      <c r="V988" s="12"/>
      <c r="W988" s="12"/>
      <c r="X988" s="12"/>
      <c r="Y988" s="12"/>
      <c r="Z988" s="12"/>
      <c r="AA988" s="12"/>
      <c r="AB988" s="12"/>
      <c r="AC988" s="12"/>
      <c r="AD988" s="12"/>
    </row>
    <row r="989" spans="1:30" ht="13.5" customHeight="1">
      <c r="A989" s="4"/>
      <c r="B989" s="4"/>
      <c r="C989" s="4"/>
      <c r="D989" s="4"/>
      <c r="E989" s="4"/>
      <c r="F989" s="4"/>
      <c r="G989" s="4"/>
      <c r="H989" s="4"/>
      <c r="I989" s="4"/>
      <c r="J989" s="4"/>
      <c r="K989" s="4"/>
      <c r="L989" s="4"/>
      <c r="M989" s="4"/>
      <c r="N989" s="4"/>
      <c r="O989" s="4"/>
      <c r="P989" s="4"/>
      <c r="Q989" s="4"/>
      <c r="R989" s="12"/>
      <c r="S989" s="12"/>
      <c r="T989" s="12"/>
      <c r="U989" s="12"/>
      <c r="V989" s="12"/>
      <c r="W989" s="12"/>
      <c r="X989" s="12"/>
      <c r="Y989" s="12"/>
      <c r="Z989" s="12"/>
      <c r="AA989" s="12"/>
      <c r="AB989" s="12"/>
      <c r="AC989" s="12"/>
      <c r="AD989" s="12"/>
    </row>
    <row r="990" spans="1:30" ht="13.5" customHeight="1">
      <c r="A990" s="4"/>
      <c r="B990" s="4"/>
      <c r="C990" s="4"/>
      <c r="D990" s="4"/>
      <c r="E990" s="4"/>
      <c r="F990" s="4"/>
      <c r="G990" s="4"/>
      <c r="H990" s="4"/>
      <c r="I990" s="4"/>
      <c r="J990" s="4"/>
      <c r="K990" s="4"/>
      <c r="L990" s="4"/>
      <c r="M990" s="4"/>
      <c r="N990" s="4"/>
      <c r="O990" s="4"/>
      <c r="P990" s="4"/>
      <c r="Q990" s="4"/>
      <c r="R990" s="12"/>
      <c r="S990" s="12"/>
      <c r="T990" s="12"/>
      <c r="U990" s="12"/>
      <c r="V990" s="12"/>
      <c r="W990" s="12"/>
      <c r="X990" s="12"/>
      <c r="Y990" s="12"/>
      <c r="Z990" s="12"/>
      <c r="AA990" s="12"/>
      <c r="AB990" s="12"/>
      <c r="AC990" s="12"/>
      <c r="AD990" s="12"/>
    </row>
    <row r="991" spans="1:30" ht="13.5" customHeight="1">
      <c r="A991" s="4"/>
      <c r="B991" s="4"/>
      <c r="C991" s="4"/>
      <c r="D991" s="4"/>
      <c r="E991" s="4"/>
      <c r="F991" s="4"/>
      <c r="G991" s="4"/>
      <c r="H991" s="4"/>
      <c r="I991" s="4"/>
      <c r="J991" s="4"/>
      <c r="K991" s="4"/>
      <c r="L991" s="4"/>
      <c r="M991" s="4"/>
      <c r="N991" s="4"/>
      <c r="O991" s="4"/>
      <c r="P991" s="4"/>
      <c r="Q991" s="4"/>
      <c r="R991" s="12"/>
      <c r="S991" s="12"/>
      <c r="T991" s="12"/>
      <c r="U991" s="12"/>
      <c r="V991" s="12"/>
      <c r="W991" s="12"/>
      <c r="X991" s="12"/>
      <c r="Y991" s="12"/>
      <c r="Z991" s="12"/>
      <c r="AA991" s="12"/>
      <c r="AB991" s="12"/>
      <c r="AC991" s="12"/>
      <c r="AD991" s="12"/>
    </row>
    <row r="992" spans="1:30" ht="13.5" customHeight="1">
      <c r="A992" s="4"/>
      <c r="B992" s="4"/>
      <c r="C992" s="4"/>
      <c r="D992" s="4"/>
      <c r="E992" s="4"/>
      <c r="F992" s="4"/>
      <c r="G992" s="4"/>
      <c r="H992" s="4"/>
      <c r="I992" s="4"/>
      <c r="J992" s="4"/>
      <c r="K992" s="4"/>
      <c r="L992" s="4"/>
      <c r="M992" s="4"/>
      <c r="N992" s="4"/>
      <c r="O992" s="4"/>
      <c r="P992" s="4"/>
      <c r="Q992" s="4"/>
      <c r="R992" s="12"/>
      <c r="S992" s="12"/>
      <c r="T992" s="12"/>
      <c r="U992" s="12"/>
      <c r="V992" s="12"/>
      <c r="W992" s="12"/>
      <c r="X992" s="12"/>
      <c r="Y992" s="12"/>
      <c r="Z992" s="12"/>
      <c r="AA992" s="12"/>
      <c r="AB992" s="12"/>
      <c r="AC992" s="12"/>
      <c r="AD992" s="12"/>
    </row>
    <row r="993" spans="1:30" ht="13.5" customHeight="1">
      <c r="A993" s="4"/>
      <c r="B993" s="4"/>
      <c r="C993" s="4"/>
      <c r="D993" s="4"/>
      <c r="E993" s="4"/>
      <c r="F993" s="4"/>
      <c r="G993" s="4"/>
      <c r="H993" s="4"/>
      <c r="I993" s="4"/>
      <c r="J993" s="4"/>
      <c r="K993" s="4"/>
      <c r="L993" s="4"/>
      <c r="M993" s="4"/>
      <c r="N993" s="4"/>
      <c r="O993" s="4"/>
      <c r="P993" s="4"/>
      <c r="Q993" s="4"/>
      <c r="R993" s="12"/>
      <c r="S993" s="12"/>
      <c r="T993" s="12"/>
      <c r="U993" s="12"/>
      <c r="V993" s="12"/>
      <c r="W993" s="12"/>
      <c r="X993" s="12"/>
      <c r="Y993" s="12"/>
      <c r="Z993" s="12"/>
      <c r="AA993" s="12"/>
      <c r="AB993" s="12"/>
      <c r="AC993" s="12"/>
      <c r="AD993" s="12"/>
    </row>
    <row r="994" spans="1:30" ht="13.5" customHeight="1">
      <c r="A994" s="4"/>
      <c r="B994" s="4"/>
      <c r="C994" s="4"/>
      <c r="D994" s="4"/>
      <c r="E994" s="4"/>
      <c r="F994" s="4"/>
      <c r="G994" s="4"/>
      <c r="H994" s="4"/>
      <c r="I994" s="4"/>
      <c r="J994" s="4"/>
      <c r="K994" s="4"/>
      <c r="L994" s="4"/>
      <c r="M994" s="4"/>
      <c r="N994" s="4"/>
      <c r="O994" s="4"/>
      <c r="P994" s="4"/>
      <c r="Q994" s="4"/>
      <c r="R994" s="12"/>
      <c r="S994" s="12"/>
      <c r="T994" s="12"/>
      <c r="U994" s="12"/>
      <c r="V994" s="12"/>
      <c r="W994" s="12"/>
      <c r="X994" s="12"/>
      <c r="Y994" s="12"/>
      <c r="Z994" s="12"/>
      <c r="AA994" s="12"/>
      <c r="AB994" s="12"/>
      <c r="AC994" s="12"/>
      <c r="AD994" s="12"/>
    </row>
    <row r="995" spans="1:30" ht="13.5" customHeight="1">
      <c r="A995" s="4"/>
      <c r="B995" s="4"/>
      <c r="C995" s="4"/>
      <c r="D995" s="4"/>
      <c r="E995" s="4"/>
      <c r="F995" s="4"/>
      <c r="G995" s="4"/>
      <c r="H995" s="4"/>
      <c r="I995" s="4"/>
      <c r="J995" s="4"/>
      <c r="K995" s="4"/>
      <c r="L995" s="4"/>
      <c r="M995" s="4"/>
      <c r="N995" s="4"/>
      <c r="O995" s="4"/>
      <c r="P995" s="4"/>
      <c r="Q995" s="4"/>
      <c r="R995" s="12"/>
      <c r="S995" s="12"/>
      <c r="T995" s="12"/>
      <c r="U995" s="12"/>
      <c r="V995" s="12"/>
      <c r="W995" s="12"/>
      <c r="X995" s="12"/>
      <c r="Y995" s="12"/>
      <c r="Z995" s="12"/>
      <c r="AA995" s="12"/>
      <c r="AB995" s="12"/>
      <c r="AC995" s="12"/>
      <c r="AD995" s="12"/>
    </row>
    <row r="996" spans="1:30" ht="13.5" customHeight="1">
      <c r="A996" s="4"/>
      <c r="B996" s="4"/>
      <c r="C996" s="4"/>
      <c r="D996" s="4"/>
      <c r="E996" s="4"/>
      <c r="F996" s="4"/>
      <c r="G996" s="4"/>
      <c r="H996" s="4"/>
      <c r="I996" s="4"/>
      <c r="J996" s="4"/>
      <c r="K996" s="4"/>
      <c r="L996" s="4"/>
      <c r="M996" s="4"/>
      <c r="N996" s="4"/>
      <c r="O996" s="4"/>
      <c r="P996" s="4"/>
      <c r="Q996" s="4"/>
      <c r="R996" s="12"/>
      <c r="S996" s="12"/>
      <c r="T996" s="12"/>
      <c r="U996" s="12"/>
      <c r="V996" s="12"/>
      <c r="W996" s="12"/>
      <c r="X996" s="12"/>
      <c r="Y996" s="12"/>
      <c r="Z996" s="12"/>
      <c r="AA996" s="12"/>
      <c r="AB996" s="12"/>
      <c r="AC996" s="12"/>
      <c r="AD996" s="12"/>
    </row>
    <row r="997" spans="1:30" ht="13.5" customHeight="1">
      <c r="A997" s="4"/>
      <c r="B997" s="4"/>
      <c r="C997" s="4"/>
      <c r="D997" s="4"/>
      <c r="E997" s="4"/>
      <c r="F997" s="4"/>
      <c r="G997" s="4"/>
      <c r="H997" s="4"/>
      <c r="I997" s="4"/>
      <c r="J997" s="4"/>
      <c r="K997" s="4"/>
      <c r="L997" s="4"/>
      <c r="M997" s="4"/>
      <c r="N997" s="4"/>
      <c r="O997" s="4"/>
      <c r="P997" s="4"/>
      <c r="Q997" s="4"/>
      <c r="R997" s="12"/>
      <c r="S997" s="12"/>
      <c r="T997" s="12"/>
      <c r="U997" s="12"/>
      <c r="V997" s="12"/>
      <c r="W997" s="12"/>
      <c r="X997" s="12"/>
      <c r="Y997" s="12"/>
      <c r="Z997" s="12"/>
      <c r="AA997" s="12"/>
      <c r="AB997" s="12"/>
      <c r="AC997" s="12"/>
      <c r="AD997" s="12"/>
    </row>
    <row r="998" spans="1:30" ht="13.5" customHeight="1">
      <c r="A998" s="4"/>
      <c r="B998" s="4"/>
      <c r="C998" s="4"/>
      <c r="D998" s="4"/>
      <c r="E998" s="4"/>
      <c r="F998" s="4"/>
      <c r="G998" s="4"/>
      <c r="H998" s="4"/>
      <c r="I998" s="4"/>
      <c r="J998" s="4"/>
      <c r="K998" s="4"/>
      <c r="L998" s="4"/>
      <c r="M998" s="4"/>
      <c r="N998" s="4"/>
      <c r="O998" s="4"/>
      <c r="P998" s="4"/>
      <c r="Q998" s="4"/>
      <c r="R998" s="12"/>
      <c r="S998" s="12"/>
      <c r="T998" s="12"/>
      <c r="U998" s="12"/>
      <c r="V998" s="12"/>
      <c r="W998" s="12"/>
      <c r="X998" s="12"/>
      <c r="Y998" s="12"/>
      <c r="Z998" s="12"/>
      <c r="AA998" s="12"/>
      <c r="AB998" s="12"/>
      <c r="AC998" s="12"/>
      <c r="AD998" s="12"/>
    </row>
    <row r="999" spans="1:30" ht="13.5" customHeight="1">
      <c r="A999" s="4"/>
      <c r="B999" s="4"/>
      <c r="C999" s="4"/>
      <c r="D999" s="4"/>
      <c r="E999" s="4"/>
      <c r="F999" s="4"/>
      <c r="G999" s="4"/>
      <c r="H999" s="4"/>
      <c r="I999" s="4"/>
      <c r="J999" s="4"/>
      <c r="K999" s="4"/>
      <c r="L999" s="4"/>
      <c r="M999" s="4"/>
      <c r="N999" s="4"/>
      <c r="O999" s="4"/>
      <c r="P999" s="4"/>
      <c r="Q999" s="4"/>
      <c r="R999" s="12"/>
      <c r="S999" s="12"/>
      <c r="T999" s="12"/>
      <c r="U999" s="12"/>
      <c r="V999" s="12"/>
      <c r="W999" s="12"/>
      <c r="X999" s="12"/>
      <c r="Y999" s="12"/>
      <c r="Z999" s="12"/>
      <c r="AA999" s="12"/>
      <c r="AB999" s="12"/>
      <c r="AC999" s="12"/>
      <c r="AD999" s="12"/>
    </row>
    <row r="1000" spans="1:30" ht="13.5" customHeight="1">
      <c r="A1000" s="4"/>
      <c r="B1000" s="4"/>
      <c r="C1000" s="4"/>
      <c r="D1000" s="4"/>
      <c r="E1000" s="4"/>
      <c r="F1000" s="4"/>
      <c r="G1000" s="4"/>
      <c r="H1000" s="4"/>
      <c r="I1000" s="4"/>
      <c r="J1000" s="4"/>
      <c r="K1000" s="4"/>
      <c r="L1000" s="4"/>
      <c r="M1000" s="4"/>
      <c r="N1000" s="4"/>
      <c r="O1000" s="4"/>
      <c r="P1000" s="4"/>
      <c r="Q1000" s="4"/>
      <c r="R1000" s="12"/>
      <c r="S1000" s="12"/>
      <c r="T1000" s="12"/>
      <c r="U1000" s="12"/>
      <c r="V1000" s="12"/>
      <c r="W1000" s="12"/>
      <c r="X1000" s="12"/>
      <c r="Y1000" s="12"/>
      <c r="Z1000" s="12"/>
      <c r="AA1000" s="12"/>
      <c r="AB1000" s="12"/>
      <c r="AC1000" s="12"/>
      <c r="AD1000" s="12"/>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39" priority="1">
      <formula>$Q$2="Report"</formula>
    </cfRule>
    <cfRule type="expression" dxfId="138" priority="2">
      <formula>$P$2="Report"</formula>
    </cfRule>
  </conditionalFormatting>
  <conditionalFormatting sqref="I12">
    <cfRule type="expression" dxfId="137" priority="3">
      <formula>$Q$2="Report"</formula>
    </cfRule>
    <cfRule type="expression" dxfId="136" priority="4">
      <formula>$P$2="Report"</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3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3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3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3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3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3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3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3.5" customHeight="1">
      <c r="A1" s="7"/>
      <c r="B1" s="7"/>
      <c r="C1" s="8" t="str">
        <f ca="1">Company_Name&amp;" - "&amp;MID(CELL("filename",A1),FIND("]",CELL("filename",A1))+1,255)&amp;": "&amp;Case_Scenario&amp;" Case"</f>
        <v>NETFLIX INC - Football Field: Base Case</v>
      </c>
      <c r="D1" s="7"/>
      <c r="E1" s="7"/>
      <c r="F1" s="7"/>
      <c r="G1" s="7"/>
      <c r="H1" s="7"/>
      <c r="I1" s="7"/>
      <c r="J1" s="7"/>
      <c r="K1" s="7"/>
      <c r="L1" s="7"/>
      <c r="M1" s="7"/>
      <c r="N1" s="7"/>
      <c r="O1" s="7"/>
      <c r="P1" s="7"/>
      <c r="Q1" s="7"/>
      <c r="R1" s="7"/>
      <c r="S1" s="7"/>
      <c r="T1" s="7"/>
      <c r="U1" s="7"/>
      <c r="V1" s="7"/>
      <c r="W1" s="175"/>
      <c r="X1" s="7"/>
      <c r="Y1" s="7"/>
      <c r="Z1" s="7"/>
    </row>
    <row r="2" spans="1:26" ht="13.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69"/>
      <c r="X2" s="12"/>
      <c r="Y2" s="12"/>
      <c r="Z2" s="12"/>
    </row>
    <row r="3" spans="1:26" ht="13.5" customHeight="1">
      <c r="A3" s="5"/>
      <c r="B3" s="12"/>
      <c r="C3" s="12"/>
      <c r="D3" s="12"/>
      <c r="E3" s="12"/>
      <c r="F3" s="12"/>
      <c r="G3" s="12"/>
      <c r="H3" s="12"/>
      <c r="I3" s="12"/>
      <c r="J3" s="12"/>
      <c r="K3" s="12"/>
      <c r="L3" s="12"/>
      <c r="M3" s="12"/>
      <c r="N3" s="12"/>
      <c r="O3" s="12"/>
      <c r="P3" s="12"/>
      <c r="Q3" s="12"/>
      <c r="R3" s="12"/>
      <c r="S3" s="12"/>
      <c r="T3" s="12"/>
      <c r="U3" s="12"/>
      <c r="V3" s="12"/>
      <c r="W3" s="69"/>
      <c r="X3" s="12"/>
      <c r="Y3" s="12"/>
      <c r="Z3" s="12"/>
    </row>
    <row r="4" spans="1:26" ht="13.5" customHeight="1">
      <c r="A4" s="176" t="s">
        <v>1</v>
      </c>
      <c r="B4" s="12"/>
      <c r="C4" s="12"/>
      <c r="D4" s="12"/>
      <c r="E4" s="12"/>
      <c r="F4" s="12"/>
      <c r="G4" s="12"/>
      <c r="H4" s="12"/>
      <c r="I4" s="12"/>
      <c r="J4" s="12"/>
      <c r="K4" s="12"/>
      <c r="L4" s="12"/>
      <c r="M4" s="12"/>
      <c r="N4" s="12"/>
      <c r="O4" s="81" t="s">
        <v>158</v>
      </c>
      <c r="P4" s="81"/>
      <c r="Q4" s="81"/>
      <c r="R4" s="81"/>
      <c r="S4" s="81"/>
      <c r="T4" s="177" t="s">
        <v>159</v>
      </c>
      <c r="U4" s="178" t="s">
        <v>160</v>
      </c>
      <c r="V4" s="179" t="s">
        <v>161</v>
      </c>
      <c r="W4" s="180" t="s">
        <v>1</v>
      </c>
      <c r="X4" s="12"/>
      <c r="Y4" s="12"/>
      <c r="Z4" s="12"/>
    </row>
    <row r="5" spans="1:26" ht="13.5" customHeight="1">
      <c r="A5" s="12"/>
      <c r="B5" s="12"/>
      <c r="C5" s="12"/>
      <c r="D5" s="12"/>
      <c r="E5" s="12"/>
      <c r="F5" s="12"/>
      <c r="G5" s="12"/>
      <c r="H5" s="12"/>
      <c r="I5" s="12"/>
      <c r="J5" s="12"/>
      <c r="K5" s="12"/>
      <c r="L5" s="12"/>
      <c r="M5" s="12"/>
      <c r="N5" s="12"/>
      <c r="O5" s="12" t="str">
        <f>TEXT(Valuation!E108,"0.0%")&amp;" - "&amp;TEXT(Valuation!E110,"0.0%")&amp;" WACC"&amp;" &amp; "&amp;TEXT(Valuation!G106,"0.0%")&amp;" - "&amp;TEXT(Valuation!I106,"0.0%")&amp;" PGR"</f>
        <v>8.4% - 9.4% WACC &amp; 1.5% - 2.5% PGR</v>
      </c>
      <c r="P5" s="12"/>
      <c r="Q5" s="12"/>
      <c r="R5" s="12"/>
      <c r="S5" s="12"/>
      <c r="T5" s="181">
        <f>Valuation!G108</f>
        <v>195.04954830416227</v>
      </c>
      <c r="U5" s="182">
        <f t="shared" ref="U5:U6" si="0">V5-T5</f>
        <v>20.38591593197205</v>
      </c>
      <c r="V5" s="181">
        <f>Valuation!I110</f>
        <v>215.43546423613432</v>
      </c>
      <c r="W5" s="69"/>
      <c r="X5" s="12"/>
      <c r="Y5" s="12"/>
      <c r="Z5" s="12"/>
    </row>
    <row r="6" spans="1:26" ht="13.5" customHeight="1">
      <c r="A6" s="12"/>
      <c r="B6" s="12"/>
      <c r="C6" s="12"/>
      <c r="D6" s="12"/>
      <c r="E6" s="12"/>
      <c r="F6" s="12"/>
      <c r="G6" s="12"/>
      <c r="H6" s="12"/>
      <c r="I6" s="12"/>
      <c r="J6" s="12"/>
      <c r="K6" s="12"/>
      <c r="L6" s="12"/>
      <c r="M6" s="12"/>
      <c r="N6" s="12"/>
      <c r="O6" s="12" t="str">
        <f>TEXT(Valuation!E100,"0.0%")&amp;" - "&amp;TEXT(Valuation!E102,"0.0%")&amp;" WACC"&amp;" &amp; "&amp;TEXT(Valuation!G98,"0.0x")&amp;" - "&amp;TEXT(Valuation!I98,"0.0x")&amp;" Exit Multiple"</f>
        <v>8.4% - 9.4% WACC &amp; 12.0x - 14.0x Exit Multiple</v>
      </c>
      <c r="P6" s="12"/>
      <c r="Q6" s="12"/>
      <c r="R6" s="12"/>
      <c r="S6" s="12"/>
      <c r="T6" s="52">
        <f>Valuation!G100</f>
        <v>250.78261834058881</v>
      </c>
      <c r="U6" s="112">
        <f t="shared" si="0"/>
        <v>27.264040885164633</v>
      </c>
      <c r="V6" s="52">
        <f>Valuation!I102</f>
        <v>278.04665922575344</v>
      </c>
      <c r="W6" s="69"/>
      <c r="X6" s="12"/>
      <c r="Y6" s="12"/>
      <c r="Z6" s="12"/>
    </row>
    <row r="7" spans="1:26" ht="13.5" customHeight="1">
      <c r="A7" s="12"/>
      <c r="B7" s="12"/>
      <c r="C7" s="12"/>
      <c r="D7" s="12"/>
      <c r="E7" s="12"/>
      <c r="F7" s="12"/>
      <c r="G7" s="12"/>
      <c r="H7" s="12"/>
      <c r="I7" s="12"/>
      <c r="J7" s="12"/>
      <c r="K7" s="12"/>
      <c r="L7" s="12"/>
      <c r="M7" s="12"/>
      <c r="N7" s="12"/>
      <c r="O7" s="12"/>
      <c r="P7" s="12"/>
      <c r="Q7" s="12"/>
      <c r="R7" s="12"/>
      <c r="S7" s="12"/>
      <c r="T7" s="112"/>
      <c r="U7" s="112"/>
      <c r="V7" s="112"/>
      <c r="W7" s="69"/>
      <c r="X7" s="12"/>
      <c r="Y7" s="12"/>
      <c r="Z7" s="12"/>
    </row>
    <row r="8" spans="1:26" ht="13.5" customHeight="1">
      <c r="A8" s="12"/>
      <c r="B8" s="12"/>
      <c r="C8" s="12"/>
      <c r="D8" s="12"/>
      <c r="E8" s="12"/>
      <c r="F8" s="12"/>
      <c r="G8" s="12"/>
      <c r="H8" s="12"/>
      <c r="I8" s="12"/>
      <c r="J8" s="12"/>
      <c r="K8" s="12"/>
      <c r="L8" s="12"/>
      <c r="M8" s="12"/>
      <c r="N8" s="12"/>
      <c r="O8" s="12" t="str">
        <f>Valuation!F184&amp;": "&amp;TEXT(Valuation!G185,"0.0x")&amp;" - "&amp;TEXT(Valuation!I185,"0.0x")</f>
        <v>NTM EV/EBITDA Spread to Comps: 12.0x - 14.0x</v>
      </c>
      <c r="P8" s="12"/>
      <c r="Q8" s="12"/>
      <c r="R8" s="12"/>
      <c r="S8" s="12"/>
      <c r="T8" s="52">
        <f>Valuation!G187</f>
        <v>209.23348011234188</v>
      </c>
      <c r="U8" s="112">
        <f t="shared" ref="U8:U11" si="1">V8-T8</f>
        <v>100.49024724596924</v>
      </c>
      <c r="V8" s="52">
        <f>Valuation!I189</f>
        <v>309.72372735831112</v>
      </c>
      <c r="W8" s="69"/>
      <c r="X8" s="12"/>
      <c r="Y8" s="12"/>
      <c r="Z8" s="12"/>
    </row>
    <row r="9" spans="1:26" ht="13.5" customHeight="1">
      <c r="A9" s="12"/>
      <c r="B9" s="12"/>
      <c r="C9" s="12"/>
      <c r="D9" s="12"/>
      <c r="E9" s="12"/>
      <c r="F9" s="12"/>
      <c r="G9" s="12"/>
      <c r="H9" s="12"/>
      <c r="I9" s="12"/>
      <c r="J9" s="12"/>
      <c r="K9" s="12"/>
      <c r="L9" s="12"/>
      <c r="M9" s="12"/>
      <c r="N9" s="12"/>
      <c r="O9" s="12" t="str">
        <f>Valuation!F176&amp;": "&amp;TEXT(Valuation!G177,"0.0x")&amp;" - "&amp;TEXT(Valuation!I177,"0.0x")</f>
        <v>NTM EV/EBITDA: 11.4x - 13.4x</v>
      </c>
      <c r="P9" s="12"/>
      <c r="Q9" s="12"/>
      <c r="R9" s="12"/>
      <c r="S9" s="12"/>
      <c r="T9" s="52">
        <f>Valuation!G179</f>
        <v>197.97413940238593</v>
      </c>
      <c r="U9" s="112">
        <f t="shared" si="1"/>
        <v>97.988171532645737</v>
      </c>
      <c r="V9" s="52">
        <f>Valuation!I181</f>
        <v>295.96231093503167</v>
      </c>
      <c r="W9" s="69"/>
      <c r="X9" s="12"/>
      <c r="Y9" s="12"/>
      <c r="Z9" s="12"/>
    </row>
    <row r="10" spans="1:26" ht="13.5" customHeight="1">
      <c r="A10" s="12"/>
      <c r="B10" s="12"/>
      <c r="C10" s="12"/>
      <c r="D10" s="12"/>
      <c r="E10" s="12"/>
      <c r="F10" s="12"/>
      <c r="G10" s="12"/>
      <c r="H10" s="12"/>
      <c r="I10" s="12"/>
      <c r="J10" s="12"/>
      <c r="K10" s="12"/>
      <c r="L10" s="12"/>
      <c r="M10" s="12"/>
      <c r="N10" s="12"/>
      <c r="O10" s="12" t="str">
        <f>Valuation!F168&amp;": "&amp;TEXT(Valuation!G169,"0.0x")&amp;" - "&amp;TEXT(Valuation!I169,"0.0x")</f>
        <v>NTM P/E Spread to Comps: 18.3x - 20.3x</v>
      </c>
      <c r="P10" s="12"/>
      <c r="Q10" s="12"/>
      <c r="R10" s="12"/>
      <c r="S10" s="12"/>
      <c r="T10" s="52">
        <f>Valuation!G171</f>
        <v>241.42389782472316</v>
      </c>
      <c r="U10" s="112">
        <f t="shared" si="1"/>
        <v>85.926567263803122</v>
      </c>
      <c r="V10" s="52">
        <f>Valuation!I173</f>
        <v>327.35046508852628</v>
      </c>
      <c r="W10" s="69"/>
      <c r="X10" s="12"/>
      <c r="Y10" s="12"/>
      <c r="Z10" s="12"/>
    </row>
    <row r="11" spans="1:26" ht="13.5" customHeight="1">
      <c r="A11" s="12"/>
      <c r="B11" s="12"/>
      <c r="C11" s="12"/>
      <c r="D11" s="12"/>
      <c r="E11" s="12"/>
      <c r="F11" s="12"/>
      <c r="G11" s="12"/>
      <c r="H11" s="12"/>
      <c r="I11" s="12"/>
      <c r="J11" s="12"/>
      <c r="K11" s="12"/>
      <c r="L11" s="12"/>
      <c r="M11" s="12"/>
      <c r="N11" s="12"/>
      <c r="O11" s="12" t="str">
        <f>Valuation!F160&amp;": "&amp;TEXT(Valuation!G161,"0.0x")&amp;" - "&amp;TEXT(Valuation!I161,"0.0x")</f>
        <v>NTM P/E: 17.8x - 19.8x</v>
      </c>
      <c r="P11" s="12"/>
      <c r="Q11" s="12"/>
      <c r="R11" s="12"/>
      <c r="S11" s="12"/>
      <c r="T11" s="52">
        <f>Valuation!G163</f>
        <v>234.48845213961636</v>
      </c>
      <c r="U11" s="112">
        <f t="shared" si="1"/>
        <v>84.385357111557198</v>
      </c>
      <c r="V11" s="52">
        <f>Valuation!I165</f>
        <v>318.87380925117355</v>
      </c>
      <c r="W11" s="69"/>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52"/>
      <c r="U12" s="112"/>
      <c r="V12" s="52"/>
      <c r="W12" s="69"/>
      <c r="X12" s="12"/>
      <c r="Y12" s="12"/>
      <c r="Z12" s="12"/>
    </row>
    <row r="13" spans="1:26" ht="13.5" customHeight="1">
      <c r="A13" s="12"/>
      <c r="B13" s="12"/>
      <c r="C13" s="12"/>
      <c r="D13" s="12"/>
      <c r="E13" s="12"/>
      <c r="F13" s="12"/>
      <c r="G13" s="12"/>
      <c r="H13" s="12"/>
      <c r="I13" s="12"/>
      <c r="J13" s="12"/>
      <c r="K13" s="12"/>
      <c r="L13" s="12"/>
      <c r="M13" s="12"/>
      <c r="N13" s="12"/>
      <c r="O13" s="12" t="str">
        <f>Valuation!F260&amp;": "&amp;TEXT(Valuation!G261,"0.0x")&amp;" - "&amp;TEXT(Valuation!I261,"0.0x")</f>
        <v>2009-2018 Early Cycle EV/EBITDA Spread to Comps: 11.7x - 13.7x</v>
      </c>
      <c r="P13" s="12"/>
      <c r="Q13" s="12"/>
      <c r="R13" s="12"/>
      <c r="S13" s="12"/>
      <c r="T13" s="52">
        <f>Valuation!G263</f>
        <v>202.21364140726214</v>
      </c>
      <c r="U13" s="112">
        <f t="shared" ref="U13:U16" si="2">V13-T13</f>
        <v>39.300331499266292</v>
      </c>
      <c r="V13" s="52">
        <f>Valuation!I263</f>
        <v>241.51397290652844</v>
      </c>
      <c r="W13" s="69"/>
      <c r="X13" s="12"/>
      <c r="Y13" s="12"/>
      <c r="Z13" s="12"/>
    </row>
    <row r="14" spans="1:26" ht="13.5" customHeight="1">
      <c r="A14" s="12"/>
      <c r="B14" s="12"/>
      <c r="C14" s="12"/>
      <c r="D14" s="12"/>
      <c r="E14" s="12"/>
      <c r="F14" s="12"/>
      <c r="G14" s="12"/>
      <c r="H14" s="12"/>
      <c r="I14" s="12"/>
      <c r="J14" s="12"/>
      <c r="K14" s="12"/>
      <c r="L14" s="12"/>
      <c r="M14" s="12"/>
      <c r="N14" s="12"/>
      <c r="O14" s="12" t="str">
        <f>Valuation!F252&amp;": "&amp;TEXT(Valuation!G253,"0.0x")&amp;" - "&amp;TEXT(Valuation!I253,"0.0x")</f>
        <v>2009-2018 Early Cycle EV/EBITDA: 6.4x - 8.4x</v>
      </c>
      <c r="P14" s="12"/>
      <c r="Q14" s="12"/>
      <c r="R14" s="12"/>
      <c r="S14" s="12"/>
      <c r="T14" s="52">
        <f>Valuation!G255</f>
        <v>99.10310229774737</v>
      </c>
      <c r="U14" s="112">
        <f t="shared" si="2"/>
        <v>39.300331499266349</v>
      </c>
      <c r="V14" s="52">
        <f>Valuation!I255</f>
        <v>138.40343379701372</v>
      </c>
      <c r="W14" s="69"/>
      <c r="X14" s="12"/>
      <c r="Y14" s="12"/>
      <c r="Z14" s="12"/>
    </row>
    <row r="15" spans="1:26" ht="13.5" customHeight="1">
      <c r="A15" s="12"/>
      <c r="B15" s="12"/>
      <c r="C15" s="12"/>
      <c r="D15" s="12"/>
      <c r="E15" s="12"/>
      <c r="F15" s="12"/>
      <c r="G15" s="12"/>
      <c r="H15" s="12"/>
      <c r="I15" s="12"/>
      <c r="J15" s="12"/>
      <c r="K15" s="12"/>
      <c r="L15" s="12"/>
      <c r="M15" s="12"/>
      <c r="N15" s="12"/>
      <c r="O15" s="12" t="str">
        <f>Valuation!F244&amp;": "&amp;TEXT(Valuation!G245,"0.0x")&amp;" - "&amp;TEXT(Valuation!I245,"0.0x")</f>
        <v>2009-2018 Early Cycle P/E Spread to Comps: 20.2x - 22.2x</v>
      </c>
      <c r="P15" s="12"/>
      <c r="Q15" s="12"/>
      <c r="R15" s="12"/>
      <c r="S15" s="12"/>
      <c r="T15" s="52">
        <f>Valuation!G247</f>
        <v>267.04260782546874</v>
      </c>
      <c r="U15" s="112">
        <f t="shared" si="2"/>
        <v>26.408300884071082</v>
      </c>
      <c r="V15" s="52">
        <f>Valuation!I247</f>
        <v>293.45090870953982</v>
      </c>
      <c r="W15" s="69"/>
      <c r="X15" s="12"/>
      <c r="Y15" s="12"/>
      <c r="Z15" s="12"/>
    </row>
    <row r="16" spans="1:26" ht="13.5" customHeight="1">
      <c r="A16" s="12"/>
      <c r="B16" s="12"/>
      <c r="C16" s="12"/>
      <c r="D16" s="12"/>
      <c r="E16" s="12"/>
      <c r="F16" s="12"/>
      <c r="G16" s="12"/>
      <c r="H16" s="12"/>
      <c r="I16" s="12"/>
      <c r="J16" s="12"/>
      <c r="K16" s="12"/>
      <c r="L16" s="12"/>
      <c r="M16" s="12"/>
      <c r="N16" s="12"/>
      <c r="O16" s="12" t="str">
        <f>Valuation!F236&amp;": "&amp;TEXT(Valuation!G237,"0.0x")&amp;" - "&amp;TEXT(Valuation!I237,"0.0x")</f>
        <v>2009-2018 Early Cycle P/E: 15.5x - 17.5x</v>
      </c>
      <c r="P16" s="12"/>
      <c r="Q16" s="12"/>
      <c r="R16" s="12"/>
      <c r="S16" s="12"/>
      <c r="T16" s="52">
        <f>Valuation!G239</f>
        <v>205.30918954876387</v>
      </c>
      <c r="U16" s="112">
        <f t="shared" si="2"/>
        <v>26.40830088407111</v>
      </c>
      <c r="V16" s="52">
        <f>Valuation!I239</f>
        <v>231.71749043283498</v>
      </c>
      <c r="W16" s="69"/>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12"/>
      <c r="U17" s="112"/>
      <c r="V17" s="112"/>
      <c r="W17" s="69"/>
      <c r="X17" s="12"/>
      <c r="Y17" s="12"/>
      <c r="Z17" s="12"/>
    </row>
    <row r="18" spans="1:26" ht="13.5" customHeight="1">
      <c r="A18" s="12"/>
      <c r="B18" s="12"/>
      <c r="C18" s="12"/>
      <c r="D18" s="12"/>
      <c r="E18" s="12"/>
      <c r="F18" s="12"/>
      <c r="G18" s="12"/>
      <c r="H18" s="12"/>
      <c r="I18" s="12"/>
      <c r="J18" s="12"/>
      <c r="K18" s="12"/>
      <c r="L18" s="12"/>
      <c r="M18" s="12"/>
      <c r="N18" s="12"/>
      <c r="O18" s="12" t="s">
        <v>162</v>
      </c>
      <c r="P18" s="12"/>
      <c r="Q18" s="12"/>
      <c r="R18" s="12"/>
      <c r="S18" s="12"/>
      <c r="T18" s="183">
        <f>Share_Price_Low</f>
        <v>146.72</v>
      </c>
      <c r="U18" s="184">
        <f>V18-T18</f>
        <v>68.5</v>
      </c>
      <c r="V18" s="185">
        <f>Share_Price_High</f>
        <v>215.22</v>
      </c>
      <c r="W18" s="69"/>
      <c r="X18" s="12"/>
      <c r="Y18" s="12"/>
      <c r="Z18" s="12"/>
    </row>
    <row r="19" spans="1:26" ht="13.5" customHeight="1">
      <c r="A19" s="12"/>
      <c r="B19" s="12"/>
      <c r="C19" s="12"/>
      <c r="D19" s="12"/>
      <c r="E19" s="12"/>
      <c r="F19" s="12"/>
      <c r="G19" s="12"/>
      <c r="H19" s="12"/>
      <c r="I19" s="12"/>
      <c r="J19" s="12"/>
      <c r="K19" s="12"/>
      <c r="L19" s="12"/>
      <c r="M19" s="12"/>
      <c r="N19" s="12"/>
      <c r="O19" s="186" t="s">
        <v>163</v>
      </c>
      <c r="P19" s="75"/>
      <c r="Q19" s="75"/>
      <c r="R19" s="75"/>
      <c r="S19" s="75"/>
      <c r="T19" s="187">
        <f t="shared" ref="T19:V19" si="3">MEDIAN(T5:T18)</f>
        <v>205.30918954876387</v>
      </c>
      <c r="U19" s="187">
        <f t="shared" si="3"/>
        <v>39.300331499266349</v>
      </c>
      <c r="V19" s="188">
        <f t="shared" si="3"/>
        <v>278.04665922575344</v>
      </c>
      <c r="W19" s="69"/>
      <c r="X19" s="12"/>
      <c r="Y19" s="12"/>
      <c r="Z19" s="12"/>
    </row>
    <row r="20" spans="1:26" ht="13.5" customHeight="1">
      <c r="A20" s="176" t="s">
        <v>1</v>
      </c>
      <c r="B20" s="12"/>
      <c r="C20" s="12"/>
      <c r="D20" s="12"/>
      <c r="E20" s="12"/>
      <c r="F20" s="12"/>
      <c r="G20" s="12"/>
      <c r="H20" s="12"/>
      <c r="I20" s="12"/>
      <c r="J20" s="12"/>
      <c r="K20" s="12"/>
      <c r="L20" s="12"/>
      <c r="M20" s="12"/>
      <c r="N20" s="12"/>
      <c r="O20" s="89" t="s">
        <v>164</v>
      </c>
      <c r="P20" s="12"/>
      <c r="Q20" s="12"/>
      <c r="R20" s="12"/>
      <c r="S20" s="12"/>
      <c r="T20" s="90">
        <f>T19/Share_Price-1</f>
        <v>-0.11952487542343315</v>
      </c>
      <c r="U20" s="90"/>
      <c r="V20" s="90">
        <f>V19/Share_Price-1</f>
        <v>0.19241212464942725</v>
      </c>
      <c r="W20" s="69"/>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69"/>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908" t="s">
        <v>165</v>
      </c>
      <c r="U22" s="909"/>
      <c r="V22" s="910"/>
      <c r="W22" s="69"/>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69"/>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69"/>
      <c r="U24" s="160" t="s">
        <v>166</v>
      </c>
      <c r="V24" s="12"/>
      <c r="W24" s="69"/>
      <c r="X24" s="12"/>
      <c r="Y24" s="12"/>
      <c r="Z24" s="12"/>
    </row>
    <row r="25" spans="1:26" ht="13.5" customHeight="1">
      <c r="A25" s="176" t="s">
        <v>1</v>
      </c>
      <c r="B25" s="12"/>
      <c r="C25" s="12"/>
      <c r="D25" s="12"/>
      <c r="E25" s="12"/>
      <c r="F25" s="12"/>
      <c r="G25" s="12"/>
      <c r="H25" s="12"/>
      <c r="I25" s="12"/>
      <c r="J25" s="12"/>
      <c r="K25" s="12"/>
      <c r="L25" s="12"/>
      <c r="M25" s="12"/>
      <c r="N25" s="12"/>
      <c r="O25" s="12"/>
      <c r="P25" s="12"/>
      <c r="Q25" s="12"/>
      <c r="R25" s="12"/>
      <c r="S25" s="12"/>
      <c r="T25" s="142" t="s">
        <v>167</v>
      </c>
      <c r="U25" s="181">
        <f>MAX(V5:V18)*1.1</f>
        <v>360.08551159737891</v>
      </c>
      <c r="V25" s="12"/>
      <c r="W25" s="180" t="s">
        <v>1</v>
      </c>
      <c r="X25" s="12"/>
      <c r="Y25" s="12"/>
      <c r="Z25" s="12"/>
    </row>
    <row r="26" spans="1:26" ht="13.5" customHeight="1">
      <c r="A26" s="176"/>
      <c r="B26" s="12"/>
      <c r="C26" s="12"/>
      <c r="D26" s="12"/>
      <c r="E26" s="12"/>
      <c r="F26" s="12"/>
      <c r="G26" s="12"/>
      <c r="H26" s="12"/>
      <c r="I26" s="12"/>
      <c r="J26" s="12"/>
      <c r="K26" s="12"/>
      <c r="L26" s="12"/>
      <c r="M26" s="12"/>
      <c r="N26" s="12"/>
      <c r="O26" s="12"/>
      <c r="P26" s="12"/>
      <c r="Q26" s="12"/>
      <c r="R26" s="12"/>
      <c r="S26" s="12"/>
      <c r="T26" s="142" t="s">
        <v>168</v>
      </c>
      <c r="U26" s="181">
        <f>MIN(T5:T18)*0.9</f>
        <v>89.192792067972633</v>
      </c>
      <c r="V26" s="12"/>
      <c r="W26" s="69"/>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69"/>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69"/>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69"/>
      <c r="X29" s="12"/>
      <c r="Y29" s="12"/>
      <c r="Z29" s="12"/>
    </row>
    <row r="30" spans="1:26" ht="13.5" customHeight="1">
      <c r="A30" s="176" t="s">
        <v>1</v>
      </c>
      <c r="B30" s="12"/>
      <c r="C30" s="12"/>
      <c r="D30" s="12"/>
      <c r="E30" s="12"/>
      <c r="F30" s="12"/>
      <c r="G30" s="12"/>
      <c r="H30" s="12"/>
      <c r="I30" s="12"/>
      <c r="J30" s="12"/>
      <c r="K30" s="12"/>
      <c r="L30" s="12"/>
      <c r="M30" s="12"/>
      <c r="N30" s="12"/>
      <c r="O30" s="12"/>
      <c r="P30" s="12"/>
      <c r="Q30" s="12"/>
      <c r="R30" s="12"/>
      <c r="S30" s="12"/>
      <c r="T30" s="12"/>
      <c r="U30" s="12"/>
      <c r="V30" s="12"/>
      <c r="W30" s="69"/>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69"/>
      <c r="X31" s="12"/>
      <c r="Y31" s="12"/>
      <c r="Z31" s="12"/>
    </row>
    <row r="32" spans="1:26" ht="13.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Normal="100" workbookViewId="0">
      <pane xSplit="1" ySplit="1" topLeftCell="B2" activePane="bottomRight" state="frozen"/>
      <selection pane="topRight"/>
      <selection pane="bottomLeft"/>
      <selection pane="bottomRight" activeCell="B2" sqref="B2"/>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3.5" customHeight="1">
      <c r="A1" s="4"/>
      <c r="B1" s="4"/>
      <c r="C1" s="8" t="str">
        <f ca="1">Company_Name&amp;" - "&amp;MID(CELL("filename",A1),FIND("]",CELL("filename",A1))+1,255)</f>
        <v>NETFLIX INC - Integrity</v>
      </c>
      <c r="D1" s="4"/>
      <c r="E1" s="4"/>
      <c r="F1" s="4"/>
      <c r="G1" s="4"/>
      <c r="H1" s="4"/>
      <c r="I1" s="4"/>
      <c r="J1" s="4"/>
      <c r="K1" s="4"/>
      <c r="L1" s="4"/>
      <c r="M1" s="4"/>
      <c r="N1" s="4"/>
      <c r="O1" s="4"/>
      <c r="P1" s="4"/>
      <c r="Q1" s="4"/>
      <c r="R1" s="4"/>
      <c r="S1" s="4"/>
      <c r="T1" s="4"/>
      <c r="U1" s="4"/>
      <c r="V1" s="4"/>
      <c r="W1" s="4"/>
      <c r="X1" s="4"/>
      <c r="Y1" s="4"/>
      <c r="Z1" s="4"/>
    </row>
    <row r="2" spans="1:26" ht="13.5" customHeight="1">
      <c r="A2" s="4"/>
      <c r="B2" s="4"/>
      <c r="C2" s="4"/>
      <c r="D2" s="4"/>
      <c r="E2" s="4"/>
      <c r="F2" s="4"/>
      <c r="G2" s="4"/>
      <c r="H2" s="4"/>
      <c r="I2" s="4"/>
      <c r="J2" s="4"/>
      <c r="K2" s="4"/>
      <c r="L2" s="4"/>
      <c r="M2" s="4"/>
      <c r="N2" s="4"/>
      <c r="O2" s="4"/>
      <c r="P2" s="4"/>
      <c r="Q2" s="4"/>
      <c r="R2" s="4"/>
      <c r="S2" s="4"/>
      <c r="T2" s="4"/>
      <c r="U2" s="4"/>
      <c r="V2" s="4"/>
      <c r="W2" s="4"/>
      <c r="X2" s="4"/>
      <c r="Y2" s="4"/>
      <c r="Z2" s="4"/>
    </row>
    <row r="3" spans="1:26" ht="13.5" customHeight="1">
      <c r="A3" s="5"/>
      <c r="B3" s="4"/>
      <c r="C3" s="190" t="s">
        <v>39</v>
      </c>
      <c r="D3" s="191"/>
      <c r="E3" s="191"/>
      <c r="F3" s="190"/>
      <c r="G3" s="190"/>
      <c r="H3" s="4"/>
      <c r="I3" s="4"/>
      <c r="J3" s="4"/>
      <c r="K3" s="4"/>
      <c r="L3" s="4"/>
      <c r="M3" s="4"/>
      <c r="N3" s="4"/>
      <c r="O3" s="4"/>
      <c r="P3" s="4"/>
      <c r="Q3" s="4"/>
      <c r="R3" s="4"/>
      <c r="S3" s="4"/>
      <c r="T3" s="4"/>
      <c r="U3" s="4"/>
      <c r="V3" s="4"/>
      <c r="W3" s="4"/>
      <c r="X3" s="4"/>
      <c r="Y3" s="4"/>
      <c r="Z3" s="4"/>
    </row>
    <row r="4" spans="1:26" ht="13.5" customHeight="1">
      <c r="A4" s="4"/>
      <c r="B4" s="4"/>
      <c r="C4" s="192" t="s">
        <v>169</v>
      </c>
      <c r="D4" s="193"/>
      <c r="E4" s="193"/>
      <c r="F4" s="193"/>
      <c r="G4" s="194"/>
      <c r="H4" s="4"/>
      <c r="I4" s="4"/>
      <c r="J4" s="4"/>
      <c r="K4" s="4"/>
      <c r="L4" s="4"/>
      <c r="M4" s="4"/>
      <c r="N4" s="4"/>
      <c r="O4" s="4"/>
      <c r="P4" s="4"/>
      <c r="Q4" s="4"/>
      <c r="R4" s="4"/>
      <c r="S4" s="4"/>
      <c r="T4" s="4"/>
      <c r="U4" s="4"/>
      <c r="V4" s="4"/>
      <c r="W4" s="4"/>
      <c r="X4" s="4"/>
      <c r="Y4" s="4"/>
      <c r="Z4" s="4"/>
    </row>
    <row r="5" spans="1:26" ht="13.5" customHeight="1">
      <c r="A5" s="4"/>
      <c r="B5" s="4"/>
      <c r="C5" s="195"/>
      <c r="D5" s="196"/>
      <c r="E5" s="4"/>
      <c r="F5" s="4"/>
      <c r="G5" s="4"/>
      <c r="H5" s="4"/>
      <c r="I5" s="4"/>
      <c r="J5" s="4"/>
      <c r="K5" s="4"/>
      <c r="L5" s="4"/>
      <c r="M5" s="4"/>
      <c r="N5" s="4"/>
      <c r="O5" s="4"/>
      <c r="P5" s="4"/>
      <c r="Q5" s="4"/>
      <c r="R5" s="4"/>
      <c r="S5" s="4"/>
      <c r="T5" s="4"/>
      <c r="U5" s="4"/>
      <c r="V5" s="4"/>
      <c r="W5" s="4"/>
      <c r="X5" s="4"/>
      <c r="Y5" s="4"/>
      <c r="Z5" s="4"/>
    </row>
    <row r="6" spans="1:26" ht="13.5" customHeight="1">
      <c r="A6" s="4"/>
      <c r="B6" s="4"/>
      <c r="C6" s="7" t="s">
        <v>170</v>
      </c>
      <c r="D6" s="196"/>
      <c r="E6" s="4"/>
      <c r="F6" s="4"/>
      <c r="G6" s="4"/>
      <c r="H6" s="4"/>
      <c r="I6" s="4"/>
      <c r="J6" s="4"/>
      <c r="K6" s="4"/>
      <c r="L6" s="4"/>
      <c r="M6" s="4"/>
      <c r="N6" s="4"/>
      <c r="O6" s="4"/>
      <c r="P6" s="4"/>
      <c r="Q6" s="4"/>
      <c r="R6" s="4"/>
      <c r="S6" s="4"/>
      <c r="T6" s="4"/>
      <c r="U6" s="4"/>
      <c r="V6" s="4"/>
      <c r="W6" s="4"/>
      <c r="X6" s="4"/>
      <c r="Y6" s="4"/>
      <c r="Z6" s="4"/>
    </row>
    <row r="7" spans="1:26" ht="13.5" customHeight="1">
      <c r="A7" s="4"/>
      <c r="B7" s="4"/>
      <c r="C7" s="195" t="s">
        <v>171</v>
      </c>
      <c r="D7" s="196" t="str">
        <f ca="1">SUM(Model!F158:AG158)</f>
        <v/>
      </c>
      <c r="E7" s="4"/>
      <c r="F7" s="4"/>
      <c r="G7" s="4"/>
      <c r="H7" s="4"/>
      <c r="I7" s="4"/>
      <c r="J7" s="4"/>
      <c r="K7" s="4"/>
      <c r="L7" s="4"/>
      <c r="M7" s="4"/>
      <c r="N7" s="4"/>
      <c r="O7" s="4"/>
      <c r="P7" s="4"/>
      <c r="Q7" s="4"/>
      <c r="R7" s="4"/>
      <c r="S7" s="4"/>
      <c r="T7" s="4"/>
      <c r="U7" s="4"/>
      <c r="V7" s="4"/>
      <c r="W7" s="4"/>
      <c r="X7" s="4"/>
      <c r="Y7" s="4"/>
      <c r="Z7" s="4"/>
    </row>
    <row r="8" spans="1:26" ht="13.5" customHeight="1">
      <c r="A8" s="4"/>
      <c r="B8" s="4"/>
      <c r="C8" s="195" t="s">
        <v>172</v>
      </c>
      <c r="D8" s="196" t="str">
        <f>IF(Case_Scenario="Base","OK!","Check!")</f>
        <v>OK!</v>
      </c>
      <c r="E8" s="4"/>
      <c r="F8" s="4"/>
      <c r="G8" s="4"/>
      <c r="H8" s="4"/>
      <c r="I8" s="4"/>
      <c r="J8" s="4"/>
      <c r="K8" s="4"/>
      <c r="L8" s="4"/>
      <c r="M8" s="4"/>
      <c r="N8" s="4"/>
      <c r="O8" s="4"/>
      <c r="P8" s="4"/>
      <c r="Q8" s="4"/>
      <c r="R8" s="4"/>
      <c r="S8" s="4"/>
      <c r="T8" s="4"/>
      <c r="U8" s="4"/>
      <c r="V8" s="4"/>
      <c r="W8" s="4"/>
      <c r="X8" s="4"/>
      <c r="Y8" s="4"/>
      <c r="Z8" s="4"/>
    </row>
    <row r="9" spans="1:26" ht="13.5" customHeight="1">
      <c r="A9" s="4"/>
      <c r="B9" s="4"/>
      <c r="C9" s="195" t="s">
        <v>173</v>
      </c>
      <c r="D9" s="196" t="str">
        <f>IF(Model!C8="On","OK!","CHECK - OFF")</f>
        <v>OK!</v>
      </c>
      <c r="E9" s="4"/>
      <c r="F9" s="4"/>
      <c r="G9" s="4"/>
      <c r="H9" s="4"/>
      <c r="I9" s="4"/>
      <c r="J9" s="4"/>
      <c r="K9" s="4"/>
      <c r="L9" s="4"/>
      <c r="M9" s="4"/>
      <c r="N9" s="4"/>
      <c r="O9" s="4"/>
      <c r="P9" s="4"/>
      <c r="Q9" s="4"/>
      <c r="R9" s="4"/>
      <c r="S9" s="4"/>
      <c r="T9" s="4"/>
      <c r="U9" s="4"/>
      <c r="V9" s="4"/>
      <c r="W9" s="4"/>
      <c r="X9" s="4"/>
      <c r="Y9" s="4"/>
      <c r="Z9" s="4"/>
    </row>
    <row r="10" spans="1:26" ht="13.5" customHeight="1">
      <c r="A10" s="4"/>
      <c r="B10" s="4"/>
      <c r="C10" s="195" t="s">
        <v>141</v>
      </c>
      <c r="D10" s="196"/>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7" t="s">
        <v>174</v>
      </c>
      <c r="D12" s="196"/>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195" t="s">
        <v>175</v>
      </c>
      <c r="D13" s="196">
        <f>SUM(Valuation!F92,Valuation!K92,Valuation!P92,Valuation!F151:F155,Valuation!L151:L155,Valuation!F227:F231,Valuation!L227:L231)</f>
        <v>2.4017932196848668E-4</v>
      </c>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195" t="s">
        <v>176</v>
      </c>
      <c r="D14" s="196">
        <f>SUM(WACC!Q20,WACC!N33:N37)</f>
        <v>-2.5865399713846104E-3</v>
      </c>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198" t="s">
        <v>177</v>
      </c>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195" t="s">
        <v>178</v>
      </c>
      <c r="D17" s="189" t="str">
        <f>Cover!$Q$2</f>
        <v>Working</v>
      </c>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195" t="s">
        <v>179</v>
      </c>
      <c r="D18" s="189" t="str">
        <f>'Revenue Build'!$C$22</f>
        <v>Working</v>
      </c>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195" t="s">
        <v>170</v>
      </c>
      <c r="D19" s="189" t="str">
        <f>Model!$C$5</f>
        <v>Working</v>
      </c>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195" t="s">
        <v>47</v>
      </c>
      <c r="D20" s="189" t="str">
        <f>WACC!R5</f>
        <v>Working</v>
      </c>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195" t="s">
        <v>180</v>
      </c>
      <c r="D21" s="189" t="str">
        <f>Valuation!$R$2</f>
        <v>Working</v>
      </c>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190" t="s">
        <v>181</v>
      </c>
      <c r="D23" s="191"/>
      <c r="E23" s="191"/>
      <c r="F23" s="190"/>
      <c r="G23" s="190"/>
      <c r="H23" s="4"/>
      <c r="I23" s="4"/>
      <c r="J23" s="4"/>
      <c r="K23" s="4"/>
      <c r="L23" s="4"/>
      <c r="M23" s="4"/>
      <c r="N23" s="4"/>
      <c r="O23" s="4"/>
      <c r="P23" s="4"/>
      <c r="Q23" s="4"/>
      <c r="R23" s="4"/>
      <c r="S23" s="4"/>
      <c r="T23" s="4"/>
      <c r="U23" s="4"/>
      <c r="V23" s="4"/>
      <c r="W23" s="4"/>
      <c r="X23" s="4"/>
      <c r="Y23" s="4"/>
      <c r="Z23" s="4"/>
    </row>
    <row r="24" spans="1:26" ht="13.5" customHeight="1">
      <c r="A24" s="4"/>
      <c r="B24" s="4"/>
      <c r="C24" s="192" t="s">
        <v>182</v>
      </c>
      <c r="D24" s="193" t="s">
        <v>183</v>
      </c>
      <c r="E24" s="193" t="s">
        <v>184</v>
      </c>
      <c r="F24" s="199" t="s">
        <v>185</v>
      </c>
      <c r="G24" s="194"/>
      <c r="H24" s="4"/>
      <c r="I24" s="4"/>
      <c r="J24" s="4"/>
      <c r="K24" s="4"/>
      <c r="L24" s="4"/>
      <c r="M24" s="4"/>
      <c r="N24" s="4"/>
      <c r="O24" s="4"/>
      <c r="P24" s="4"/>
      <c r="Q24" s="4"/>
      <c r="R24" s="4"/>
      <c r="S24" s="4"/>
      <c r="T24" s="4"/>
      <c r="U24" s="4"/>
      <c r="V24" s="4"/>
      <c r="W24" s="4"/>
      <c r="X24" s="4"/>
      <c r="Y24" s="4"/>
      <c r="Z24" s="4"/>
    </row>
    <row r="25" spans="1:26" ht="13.5" customHeight="1">
      <c r="A25" s="4"/>
      <c r="B25" s="4"/>
      <c r="C25" s="200">
        <v>44476</v>
      </c>
      <c r="D25" s="201"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3.5" customHeight="1">
      <c r="A26" s="4"/>
      <c r="B26" s="4"/>
      <c r="C26" s="203">
        <v>44476</v>
      </c>
      <c r="D26" s="189" t="s">
        <v>189</v>
      </c>
      <c r="E26" s="200" t="s">
        <v>190</v>
      </c>
      <c r="F26" s="202" t="s">
        <v>191</v>
      </c>
      <c r="G26" s="4"/>
      <c r="H26" s="4"/>
      <c r="I26" s="4"/>
      <c r="J26" s="4"/>
      <c r="K26" s="4"/>
      <c r="L26" s="4"/>
      <c r="M26" s="4"/>
      <c r="N26" s="4"/>
      <c r="O26" s="4"/>
      <c r="P26" s="4"/>
      <c r="Q26" s="4"/>
      <c r="R26" s="4"/>
      <c r="S26" s="4"/>
      <c r="T26" s="4"/>
      <c r="U26" s="4"/>
      <c r="V26" s="4"/>
      <c r="W26" s="4"/>
      <c r="X26" s="4"/>
      <c r="Y26" s="4"/>
      <c r="Z26" s="4"/>
    </row>
    <row r="27" spans="1:26" ht="13.5" customHeight="1">
      <c r="A27" s="4"/>
      <c r="B27" s="4"/>
      <c r="C27" s="200">
        <v>44480</v>
      </c>
      <c r="D27" s="201" t="s">
        <v>192</v>
      </c>
      <c r="E27" s="200" t="s">
        <v>187</v>
      </c>
      <c r="F27" s="202" t="s">
        <v>193</v>
      </c>
      <c r="G27" s="4"/>
      <c r="H27" s="4"/>
      <c r="I27" s="4"/>
      <c r="J27" s="4"/>
      <c r="K27" s="4"/>
      <c r="L27" s="4"/>
      <c r="M27" s="4"/>
      <c r="N27" s="4"/>
      <c r="O27" s="4"/>
      <c r="P27" s="4"/>
      <c r="Q27" s="4"/>
      <c r="R27" s="4"/>
      <c r="S27" s="4"/>
      <c r="T27" s="4"/>
      <c r="U27" s="4"/>
      <c r="V27" s="4"/>
      <c r="W27" s="4"/>
      <c r="X27" s="4"/>
      <c r="Y27" s="4"/>
      <c r="Z27" s="4"/>
    </row>
    <row r="28" spans="1:26" ht="13.5" customHeight="1">
      <c r="A28" s="4"/>
      <c r="B28" s="4"/>
      <c r="C28" s="200">
        <v>44488</v>
      </c>
      <c r="D28" s="201" t="s">
        <v>194</v>
      </c>
      <c r="E28" s="200" t="s">
        <v>187</v>
      </c>
      <c r="F28" s="202" t="s">
        <v>195</v>
      </c>
      <c r="G28" s="4"/>
      <c r="H28" s="4"/>
      <c r="I28" s="4"/>
      <c r="J28" s="4"/>
      <c r="K28" s="4"/>
      <c r="L28" s="4"/>
      <c r="M28" s="4"/>
      <c r="N28" s="4"/>
      <c r="O28" s="4"/>
      <c r="P28" s="4"/>
      <c r="Q28" s="4"/>
      <c r="R28" s="4"/>
      <c r="S28" s="4"/>
      <c r="T28" s="4"/>
      <c r="U28" s="4"/>
      <c r="V28" s="4"/>
      <c r="W28" s="4"/>
      <c r="X28" s="4"/>
      <c r="Y28" s="4"/>
      <c r="Z28" s="4"/>
    </row>
    <row r="29" spans="1:26" ht="13.5" customHeight="1">
      <c r="A29" s="4"/>
      <c r="B29" s="4"/>
      <c r="C29" s="203">
        <v>44489</v>
      </c>
      <c r="D29" s="189" t="s">
        <v>196</v>
      </c>
      <c r="E29" s="197" t="s">
        <v>197</v>
      </c>
      <c r="F29" s="202" t="s">
        <v>198</v>
      </c>
      <c r="G29" s="4"/>
      <c r="H29" s="4"/>
      <c r="I29" s="4"/>
      <c r="J29" s="4"/>
      <c r="K29" s="4"/>
      <c r="L29" s="4"/>
      <c r="M29" s="4"/>
      <c r="N29" s="4"/>
      <c r="O29" s="4"/>
      <c r="P29" s="4"/>
      <c r="Q29" s="4"/>
      <c r="R29" s="4"/>
      <c r="S29" s="4"/>
      <c r="T29" s="4"/>
      <c r="U29" s="4"/>
      <c r="V29" s="4"/>
      <c r="W29" s="4"/>
      <c r="X29" s="4"/>
      <c r="Y29" s="4"/>
      <c r="Z29" s="4"/>
    </row>
    <row r="30" spans="1:26" ht="13.5" customHeight="1">
      <c r="A30" s="4"/>
      <c r="B30" s="4"/>
      <c r="C30" s="203">
        <v>44491</v>
      </c>
      <c r="D30" s="189" t="s">
        <v>199</v>
      </c>
      <c r="E30" s="197" t="s">
        <v>197</v>
      </c>
      <c r="F30" s="202" t="s">
        <v>200</v>
      </c>
      <c r="G30" s="4"/>
      <c r="H30" s="4"/>
      <c r="I30" s="4"/>
      <c r="J30" s="4"/>
      <c r="K30" s="4"/>
      <c r="L30" s="4"/>
      <c r="M30" s="4"/>
      <c r="N30" s="4"/>
      <c r="O30" s="4"/>
      <c r="P30" s="4"/>
      <c r="Q30" s="4"/>
      <c r="R30" s="4"/>
      <c r="S30" s="4"/>
      <c r="T30" s="4"/>
      <c r="U30" s="4"/>
      <c r="V30" s="4"/>
      <c r="W30" s="4"/>
      <c r="X30" s="4"/>
      <c r="Y30" s="4"/>
      <c r="Z30" s="4"/>
    </row>
    <row r="31" spans="1:26" ht="13.5" customHeight="1">
      <c r="A31" s="4"/>
      <c r="B31" s="4"/>
      <c r="C31" s="204">
        <v>44496</v>
      </c>
      <c r="D31" s="189" t="s">
        <v>201</v>
      </c>
      <c r="E31" s="205" t="s">
        <v>190</v>
      </c>
      <c r="F31" s="206" t="s">
        <v>202</v>
      </c>
      <c r="G31" s="4"/>
      <c r="H31" s="4"/>
      <c r="I31" s="4"/>
      <c r="J31" s="4"/>
      <c r="K31" s="4"/>
      <c r="L31" s="4"/>
      <c r="M31" s="4"/>
      <c r="N31" s="4"/>
      <c r="O31" s="4"/>
      <c r="P31" s="4"/>
      <c r="Q31" s="4"/>
      <c r="R31" s="4"/>
      <c r="S31" s="4"/>
      <c r="T31" s="4"/>
      <c r="U31" s="4"/>
      <c r="V31" s="4"/>
      <c r="W31" s="4"/>
      <c r="X31" s="4"/>
      <c r="Y31" s="4"/>
      <c r="Z31" s="4"/>
    </row>
    <row r="32" spans="1:26" ht="13.5" customHeight="1">
      <c r="A32" s="4"/>
      <c r="B32" s="4"/>
      <c r="C32" s="204">
        <v>44503</v>
      </c>
      <c r="D32" s="189" t="s">
        <v>203</v>
      </c>
      <c r="E32" s="205" t="s">
        <v>197</v>
      </c>
      <c r="F32" s="206" t="s">
        <v>204</v>
      </c>
      <c r="G32" s="4"/>
      <c r="H32" s="4"/>
      <c r="I32" s="4"/>
      <c r="J32" s="4"/>
      <c r="K32" s="4"/>
      <c r="L32" s="4"/>
      <c r="M32" s="4"/>
      <c r="N32" s="4"/>
      <c r="O32" s="4"/>
      <c r="P32" s="4"/>
      <c r="Q32" s="4"/>
      <c r="R32" s="4"/>
      <c r="S32" s="4"/>
      <c r="T32" s="4"/>
      <c r="U32" s="4"/>
      <c r="V32" s="4"/>
      <c r="W32" s="4"/>
      <c r="X32" s="4"/>
      <c r="Y32" s="4"/>
      <c r="Z32" s="4"/>
    </row>
    <row r="33" spans="1:26" ht="13.5" customHeight="1">
      <c r="A33" s="4"/>
      <c r="B33" s="4"/>
      <c r="C33" s="204">
        <v>44512</v>
      </c>
      <c r="D33" s="189" t="s">
        <v>205</v>
      </c>
      <c r="E33" s="4" t="s">
        <v>197</v>
      </c>
      <c r="F33" s="207" t="s">
        <v>206</v>
      </c>
      <c r="G33" s="4"/>
      <c r="H33" s="4"/>
      <c r="I33" s="4"/>
      <c r="J33" s="4"/>
      <c r="K33" s="4"/>
      <c r="L33" s="4"/>
      <c r="M33" s="4"/>
      <c r="N33" s="4"/>
      <c r="O33" s="4"/>
      <c r="P33" s="4"/>
      <c r="Q33" s="4"/>
      <c r="R33" s="4"/>
      <c r="S33" s="4"/>
      <c r="T33" s="4"/>
      <c r="U33" s="4"/>
      <c r="V33" s="4"/>
      <c r="W33" s="4"/>
      <c r="X33" s="4"/>
      <c r="Y33" s="4"/>
      <c r="Z33" s="4"/>
    </row>
    <row r="34" spans="1:26" ht="13.5" customHeight="1">
      <c r="A34" s="4"/>
      <c r="B34" s="4"/>
      <c r="C34" s="204">
        <v>44522</v>
      </c>
      <c r="D34" s="189" t="s">
        <v>207</v>
      </c>
      <c r="E34" s="4" t="s">
        <v>197</v>
      </c>
      <c r="F34" s="207" t="s">
        <v>208</v>
      </c>
      <c r="G34" s="4"/>
      <c r="H34" s="4"/>
      <c r="I34" s="4"/>
      <c r="J34" s="4"/>
      <c r="K34" s="4"/>
      <c r="L34" s="4"/>
      <c r="M34" s="4"/>
      <c r="N34" s="4"/>
      <c r="O34" s="4"/>
      <c r="P34" s="4"/>
      <c r="Q34" s="4"/>
      <c r="R34" s="4"/>
      <c r="S34" s="4"/>
      <c r="T34" s="4"/>
      <c r="U34" s="4"/>
      <c r="V34" s="4"/>
      <c r="W34" s="4"/>
      <c r="X34" s="4"/>
      <c r="Y34" s="4"/>
      <c r="Z34" s="4"/>
    </row>
    <row r="35" spans="1:26" ht="13.5" customHeight="1">
      <c r="A35" s="4"/>
      <c r="B35" s="4"/>
      <c r="C35" s="204">
        <v>44582</v>
      </c>
      <c r="D35" s="189" t="s">
        <v>209</v>
      </c>
      <c r="E35" s="4" t="s">
        <v>190</v>
      </c>
      <c r="F35" s="207" t="s">
        <v>210</v>
      </c>
      <c r="G35" s="4"/>
      <c r="H35" s="4"/>
      <c r="I35" s="4"/>
      <c r="J35" s="4"/>
      <c r="K35" s="4"/>
      <c r="L35" s="4"/>
      <c r="M35" s="4"/>
      <c r="N35" s="4"/>
      <c r="O35" s="4"/>
      <c r="P35" s="4"/>
      <c r="Q35" s="4"/>
      <c r="R35" s="4"/>
      <c r="S35" s="4"/>
      <c r="T35" s="4"/>
      <c r="U35" s="4"/>
      <c r="V35" s="4"/>
      <c r="W35" s="4"/>
      <c r="X35" s="4"/>
      <c r="Y35" s="4"/>
      <c r="Z35" s="4"/>
    </row>
    <row r="36" spans="1:26" ht="13.5" customHeight="1">
      <c r="A36" s="4"/>
      <c r="B36" s="4"/>
      <c r="C36" s="204">
        <v>44584</v>
      </c>
      <c r="D36" s="189" t="s">
        <v>211</v>
      </c>
      <c r="E36" s="4" t="s">
        <v>212</v>
      </c>
      <c r="F36" s="197" t="s">
        <v>213</v>
      </c>
      <c r="G36" s="4"/>
      <c r="H36" s="4"/>
      <c r="I36" s="4"/>
      <c r="J36" s="4"/>
      <c r="K36" s="4"/>
      <c r="L36" s="4"/>
      <c r="M36" s="4"/>
      <c r="N36" s="4"/>
      <c r="O36" s="4"/>
      <c r="P36" s="4"/>
      <c r="Q36" s="4"/>
      <c r="R36" s="4"/>
      <c r="S36" s="4"/>
      <c r="T36" s="4"/>
      <c r="U36" s="4"/>
      <c r="V36" s="4"/>
      <c r="W36" s="4"/>
      <c r="X36" s="4"/>
      <c r="Y36" s="4"/>
      <c r="Z36" s="4"/>
    </row>
    <row r="37" spans="1:26" ht="153.75" customHeight="1">
      <c r="A37" s="4"/>
      <c r="B37" s="4"/>
      <c r="C37" s="204">
        <v>44587</v>
      </c>
      <c r="D37" s="189" t="s">
        <v>214</v>
      </c>
      <c r="E37" s="205" t="s">
        <v>190</v>
      </c>
      <c r="F37" s="207" t="s">
        <v>215</v>
      </c>
      <c r="G37" s="4"/>
      <c r="H37" s="4"/>
      <c r="I37" s="4"/>
      <c r="J37" s="4"/>
      <c r="K37" s="4"/>
      <c r="L37" s="4"/>
      <c r="M37" s="4"/>
      <c r="N37" s="4"/>
      <c r="O37" s="4"/>
      <c r="P37" s="4"/>
      <c r="Q37" s="4"/>
      <c r="R37" s="4"/>
      <c r="S37" s="4"/>
      <c r="T37" s="4"/>
      <c r="U37" s="4"/>
      <c r="V37" s="4"/>
      <c r="W37" s="4"/>
      <c r="X37" s="4"/>
      <c r="Y37" s="4"/>
      <c r="Z37" s="4"/>
    </row>
    <row r="38" spans="1:26" ht="13.5" customHeight="1">
      <c r="A38" s="4"/>
      <c r="B38" s="4"/>
      <c r="C38" s="204">
        <v>44607</v>
      </c>
      <c r="D38" s="189" t="s">
        <v>216</v>
      </c>
      <c r="E38" s="205" t="s">
        <v>197</v>
      </c>
      <c r="F38" s="207" t="s">
        <v>217</v>
      </c>
      <c r="G38" s="4"/>
      <c r="H38" s="4"/>
      <c r="I38" s="4"/>
      <c r="J38" s="4"/>
      <c r="K38" s="4"/>
      <c r="L38" s="4"/>
      <c r="M38" s="4"/>
      <c r="N38" s="4"/>
      <c r="O38" s="4"/>
      <c r="P38" s="4"/>
      <c r="Q38" s="4"/>
      <c r="R38" s="4"/>
      <c r="S38" s="4"/>
      <c r="T38" s="4"/>
      <c r="U38" s="4"/>
      <c r="V38" s="4"/>
      <c r="W38" s="4"/>
      <c r="X38" s="4"/>
      <c r="Y38" s="4"/>
      <c r="Z38" s="4"/>
    </row>
    <row r="39" spans="1:26" ht="13.5" customHeight="1">
      <c r="A39" s="4"/>
      <c r="B39" s="4"/>
      <c r="C39" s="203">
        <v>44979</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3.5" customHeight="1">
      <c r="A40" s="4"/>
      <c r="B40" s="4"/>
      <c r="C40" s="203">
        <v>44990</v>
      </c>
      <c r="D40" s="189" t="s">
        <v>221</v>
      </c>
      <c r="E40" s="208" t="s">
        <v>222</v>
      </c>
      <c r="F40" s="209" t="s">
        <v>223</v>
      </c>
      <c r="G40" s="4"/>
      <c r="H40" s="4"/>
      <c r="I40" s="4"/>
      <c r="J40" s="4"/>
      <c r="K40" s="4"/>
      <c r="L40" s="4"/>
      <c r="M40" s="4"/>
      <c r="N40" s="4"/>
      <c r="O40" s="4"/>
      <c r="P40" s="4"/>
      <c r="Q40" s="4"/>
      <c r="R40" s="4"/>
      <c r="S40" s="4"/>
      <c r="T40" s="4"/>
      <c r="U40" s="4"/>
      <c r="V40" s="4"/>
      <c r="W40" s="4"/>
      <c r="X40" s="4"/>
      <c r="Y40" s="4"/>
      <c r="Z40" s="4"/>
    </row>
    <row r="41" spans="1:26" ht="13.5" customHeight="1">
      <c r="A41" s="4"/>
      <c r="B41" s="4"/>
      <c r="C41" s="203">
        <v>44991</v>
      </c>
      <c r="D41" s="189" t="s">
        <v>224</v>
      </c>
      <c r="E41" s="208" t="s">
        <v>222</v>
      </c>
      <c r="F41" s="209" t="s">
        <v>225</v>
      </c>
      <c r="G41" s="4"/>
      <c r="H41" s="4"/>
      <c r="I41" s="4"/>
      <c r="J41" s="4"/>
      <c r="K41" s="4"/>
      <c r="L41" s="4"/>
      <c r="M41" s="4"/>
      <c r="N41" s="4"/>
      <c r="O41" s="4"/>
      <c r="P41" s="4"/>
      <c r="Q41" s="4"/>
      <c r="R41" s="4"/>
      <c r="S41" s="4"/>
      <c r="T41" s="4"/>
      <c r="U41" s="4"/>
      <c r="V41" s="4"/>
      <c r="W41" s="4"/>
      <c r="X41" s="4"/>
      <c r="Y41" s="4"/>
      <c r="Z41" s="4"/>
    </row>
    <row r="42" spans="1:26" ht="13.5" customHeight="1">
      <c r="A42" s="4"/>
      <c r="B42" s="4"/>
      <c r="C42" s="203">
        <v>45005</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3.5" customHeight="1">
      <c r="A43" s="4"/>
      <c r="B43" s="4"/>
      <c r="C43" s="203">
        <v>45130</v>
      </c>
      <c r="D43" s="189" t="s">
        <v>229</v>
      </c>
      <c r="E43" s="208" t="s">
        <v>230</v>
      </c>
      <c r="F43" s="209" t="s">
        <v>231</v>
      </c>
      <c r="G43" s="4"/>
      <c r="H43" s="4"/>
      <c r="I43" s="4"/>
      <c r="J43" s="4"/>
      <c r="K43" s="4"/>
      <c r="L43" s="4"/>
      <c r="M43" s="4"/>
      <c r="N43" s="4"/>
      <c r="O43" s="4"/>
      <c r="P43" s="4"/>
      <c r="Q43" s="4"/>
      <c r="R43" s="4"/>
      <c r="S43" s="4"/>
      <c r="T43" s="4"/>
      <c r="U43" s="4"/>
      <c r="V43" s="4"/>
      <c r="W43" s="4"/>
      <c r="X43" s="4"/>
      <c r="Y43" s="4"/>
      <c r="Z43" s="4"/>
    </row>
    <row r="44" spans="1:26" ht="107.25" customHeight="1">
      <c r="A44" s="4"/>
      <c r="B44" s="4"/>
      <c r="C44" s="203">
        <v>45230</v>
      </c>
      <c r="D44" s="189" t="s">
        <v>232</v>
      </c>
      <c r="E44" s="208" t="s">
        <v>230</v>
      </c>
      <c r="F44" s="209" t="s">
        <v>233</v>
      </c>
      <c r="G44" s="4"/>
      <c r="H44" s="4"/>
      <c r="I44" s="4"/>
      <c r="J44" s="4"/>
      <c r="K44" s="4"/>
      <c r="L44" s="4"/>
      <c r="M44" s="4"/>
      <c r="N44" s="4"/>
      <c r="O44" s="4"/>
      <c r="P44" s="4"/>
      <c r="Q44" s="4"/>
      <c r="R44" s="4"/>
      <c r="S44" s="4"/>
      <c r="T44" s="4"/>
      <c r="U44" s="4"/>
      <c r="V44" s="4"/>
      <c r="W44" s="4"/>
      <c r="X44" s="4"/>
      <c r="Y44" s="4"/>
      <c r="Z44" s="4"/>
    </row>
    <row r="45" spans="1:26" ht="13.5" customHeight="1">
      <c r="A45" s="4"/>
      <c r="B45" s="4"/>
      <c r="C45" s="203">
        <v>45325</v>
      </c>
      <c r="D45" s="189" t="s">
        <v>234</v>
      </c>
      <c r="E45" s="208" t="s">
        <v>235</v>
      </c>
      <c r="F45" s="209" t="s">
        <v>236</v>
      </c>
      <c r="G45" s="4"/>
      <c r="H45" s="4"/>
      <c r="I45" s="4"/>
      <c r="J45" s="4"/>
      <c r="K45" s="4"/>
      <c r="L45" s="4"/>
      <c r="M45" s="4"/>
      <c r="N45" s="4"/>
      <c r="O45" s="4"/>
      <c r="P45" s="4"/>
      <c r="Q45" s="4"/>
      <c r="R45" s="4"/>
      <c r="S45" s="4"/>
      <c r="T45" s="4"/>
      <c r="U45" s="4"/>
      <c r="V45" s="4"/>
      <c r="W45" s="4"/>
      <c r="X45" s="4"/>
      <c r="Y45" s="4"/>
      <c r="Z45" s="4"/>
    </row>
    <row r="46" spans="1:26" ht="90" customHeight="1">
      <c r="A46" s="4"/>
      <c r="B46" s="4"/>
      <c r="C46" s="203">
        <v>45376</v>
      </c>
      <c r="D46" s="189" t="s">
        <v>237</v>
      </c>
      <c r="E46" s="208" t="s">
        <v>230</v>
      </c>
      <c r="F46" s="209" t="s">
        <v>238</v>
      </c>
      <c r="G46" s="4"/>
      <c r="H46" s="4"/>
      <c r="I46" s="4"/>
      <c r="J46" s="4"/>
      <c r="K46" s="4"/>
      <c r="L46" s="4"/>
      <c r="M46" s="4"/>
      <c r="N46" s="4"/>
      <c r="O46" s="4"/>
      <c r="P46" s="4"/>
      <c r="Q46" s="4"/>
      <c r="R46" s="4"/>
      <c r="S46" s="4"/>
      <c r="T46" s="4"/>
      <c r="U46" s="4"/>
      <c r="V46" s="4"/>
      <c r="W46" s="4"/>
      <c r="X46" s="4"/>
      <c r="Y46" s="4"/>
      <c r="Z46" s="4"/>
    </row>
    <row r="47" spans="1:26" ht="13.5" customHeight="1">
      <c r="A47" s="4"/>
      <c r="B47" s="4"/>
      <c r="C47" s="203">
        <v>45581</v>
      </c>
      <c r="D47" s="189" t="s">
        <v>239</v>
      </c>
      <c r="E47" s="208" t="s">
        <v>240</v>
      </c>
      <c r="F47" s="209" t="s">
        <v>241</v>
      </c>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28" priority="1">
      <formula>$AM$2="Report"</formula>
    </cfRule>
  </conditionalFormatting>
  <pageMargins left="0.7" right="0.7" top="0.75" bottom="0.75" header="0" footer="0"/>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J1000"/>
  <sheetViews>
    <sheetView showGridLines="0" zoomScaleNormal="100" workbookViewId="0"/>
  </sheetViews>
  <sheetFormatPr baseColWidth="10" defaultColWidth="14.5" defaultRowHeight="15" outlineLevelRow="1" outlineLevelCol="1"/>
  <cols>
    <col min="1" max="2" width="1.6640625" customWidth="1"/>
    <col min="3" max="3" width="51.33203125" customWidth="1"/>
    <col min="4" max="5" width="1.6640625" customWidth="1"/>
    <col min="6" max="7" width="12.83203125" customWidth="1" outlineLevel="1" collapsed="1"/>
    <col min="8" max="8" width="13.1640625" customWidth="1" outlineLevel="1" collapsed="1"/>
    <col min="9" max="9" width="12.83203125" customWidth="1" outlineLevel="1" collapsed="1"/>
    <col min="10" max="10" width="12.83203125" customWidth="1"/>
    <col min="11" max="11" width="12.83203125" customWidth="1" outlineLevel="1" collapsed="1"/>
    <col min="12" max="12" width="13.1640625" customWidth="1" outlineLevel="1" collapsed="1"/>
    <col min="13" max="14" width="12.83203125" customWidth="1" outlineLevel="1" collapsed="1"/>
    <col min="15" max="15" width="12.83203125" customWidth="1"/>
    <col min="16" max="19" width="12.83203125" customWidth="1" outlineLevel="1" collapsed="1"/>
    <col min="20" max="20" width="13.5" customWidth="1"/>
    <col min="21" max="22" width="12.83203125" customWidth="1" outlineLevel="1" collapsed="1"/>
    <col min="23" max="23" width="13.1640625" customWidth="1" outlineLevel="1" collapsed="1"/>
    <col min="24" max="24" width="12.83203125" customWidth="1" outlineLevel="1" collapsed="1"/>
    <col min="25" max="25" width="12.83203125" customWidth="1"/>
    <col min="26" max="27" width="13.1640625" customWidth="1" outlineLevel="1" collapsed="1"/>
    <col min="28" max="28" width="12.83203125" customWidth="1" outlineLevel="1" collapsed="1"/>
    <col min="29" max="29" width="13.1640625" customWidth="1" outlineLevel="1" collapsed="1"/>
    <col min="30" max="33" width="13.5" customWidth="1"/>
    <col min="34" max="34" width="1.6640625" customWidth="1"/>
    <col min="35" max="36" width="12.83203125" customWidth="1"/>
  </cols>
  <sheetData>
    <row r="1" spans="1:36" ht="12.75" customHeight="1">
      <c r="A1" s="210"/>
      <c r="B1" s="210"/>
      <c r="C1" s="8" t="str">
        <f ca="1">Company_Name&amp;" - "&amp;MID(CELL("filename",A1),FIND("]",CELL("filename",A1))+1,255)&amp;": "&amp;Case_Scenario&amp;" Case"</f>
        <v>NETFLIX INC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12"/>
      <c r="B2" s="12"/>
      <c r="C2" s="10" t="str">
        <f>Cover!C2</f>
        <v>$ in Millions Except Per Share Data</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ht="12.75" customHeight="1">
      <c r="A4" s="211" t="s">
        <v>1</v>
      </c>
      <c r="B4" s="12"/>
      <c r="C4" s="55" t="s">
        <v>242</v>
      </c>
      <c r="D4" s="16"/>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2.75" hidden="1" customHeight="1" outlineLevel="1" collapsed="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ht="12.75" hidden="1" customHeight="1" outlineLevel="1" collapsed="1">
      <c r="A6" s="12"/>
      <c r="B6" s="12"/>
      <c r="C6" s="100" t="str">
        <f>C30&amp;" Methodology"</f>
        <v>Total Company Revenue Methodology</v>
      </c>
      <c r="D6" s="2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ht="12.75" hidden="1" customHeight="1" outlineLevel="1" collapsed="1">
      <c r="A7" s="12"/>
      <c r="B7" s="12"/>
      <c r="C7" s="108" t="s">
        <v>243</v>
      </c>
      <c r="D7" s="40"/>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ht="12.75" hidden="1" customHeight="1" outlineLevel="1" collapsed="1">
      <c r="A8" s="12"/>
      <c r="B8" s="12"/>
      <c r="C8" s="100" t="str">
        <f>C32&amp;" Methodology"</f>
        <v>Home Improvement Retail Revenue Methodology</v>
      </c>
      <c r="D8" s="2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ht="12.75" hidden="1" customHeight="1" outlineLevel="1" collapsed="1">
      <c r="A9" s="12"/>
      <c r="B9" s="12"/>
      <c r="C9" s="108" t="str">
        <f>IF(Company_Rev_Methodology="Segment","Segment",IF(Company_Rev_Methodology="Activity-Based","Activity-Based",IF(Company_Rev_Methodology="Backlog","Backlog",IF(Company_Rev_Methodology="Mixed",D9,"--"))))</f>
        <v>Segment</v>
      </c>
      <c r="D9" s="40" t="s">
        <v>244</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ht="12.75" hidden="1" customHeight="1" outlineLevel="1" collapsed="1">
      <c r="A10" s="12"/>
      <c r="B10" s="12"/>
      <c r="C10" s="100" t="str">
        <f>C35&amp;" Methodology"</f>
        <v>Segment 2 Revenue Methodology</v>
      </c>
      <c r="D10" s="2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ht="12.75" hidden="1" customHeight="1" outlineLevel="1" collapsed="1">
      <c r="A11" s="12"/>
      <c r="B11" s="12"/>
      <c r="C11" s="108" t="str">
        <f>IF(Company_Rev_Methodology="Segment","Segment",IF(Company_Rev_Methodology="Activity-Based","Activity-Based",IF(Company_Rev_Methodology="Backlog","Backlog",IF(Company_Rev_Methodology="Mixed",D11,"--"))))</f>
        <v>Segment</v>
      </c>
      <c r="D11" s="40" t="s">
        <v>245</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ht="12.75" hidden="1" customHeight="1" outlineLevel="1" collapsed="1">
      <c r="A12" s="12"/>
      <c r="B12" s="12"/>
      <c r="C12" s="100" t="str">
        <f>C38&amp;" Methodology"</f>
        <v>Segment 3 Revenue Methodology</v>
      </c>
      <c r="D12" s="2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ht="12.75" hidden="1" customHeight="1" outlineLevel="1" collapsed="1">
      <c r="A13" s="12"/>
      <c r="B13" s="12"/>
      <c r="C13" s="108" t="str">
        <f>IF(Company_Rev_Methodology="Segment","Segment",IF(Company_Rev_Methodology="Activity-Based","Activity-Based",IF(Company_Rev_Methodology="Backlog","Backlog",IF(Company_Rev_Methodology="Mixed",D13,"--"))))</f>
        <v>Segment</v>
      </c>
      <c r="D13" s="40" t="s">
        <v>243</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ht="12.75" hidden="1" customHeight="1" outlineLevel="1" collapsed="1">
      <c r="A14" s="12"/>
      <c r="B14" s="12"/>
      <c r="C14" s="100" t="str">
        <f>C41&amp;" Methodology"</f>
        <v>Segment 4 Revenue Methodology</v>
      </c>
      <c r="D14" s="2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ht="12.75" hidden="1" customHeight="1" outlineLevel="1" collapsed="1">
      <c r="A15" s="12"/>
      <c r="B15" s="12"/>
      <c r="C15" s="108" t="str">
        <f>IF(Company_Rev_Methodology="Segment","Segment",IF(Company_Rev_Methodology="Activity-Based","Activity-Based",IF(Company_Rev_Methodology="Backlog","Backlog",IF(Company_Rev_Methodology="Mixed",D15,"--"))))</f>
        <v>Segment</v>
      </c>
      <c r="D15" s="40" t="s">
        <v>243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ht="12.75" hidden="1" customHeight="1" outlineLevel="1" collapsed="1">
      <c r="A16" s="12"/>
      <c r="B16" s="12"/>
      <c r="C16" s="100" t="str">
        <f>C44&amp;" Methodology"</f>
        <v>Segment 5 Revenue Methodology</v>
      </c>
      <c r="D16" s="2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ht="12.75" hidden="1" customHeight="1" outlineLevel="1" collapsed="1">
      <c r="A17" s="12"/>
      <c r="B17" s="12"/>
      <c r="C17" s="108" t="str">
        <f>IF(Company_Rev_Methodology="Segment","Segment",IF(Company_Rev_Methodology="Activity-Based","Activity-Based",IF(Company_Rev_Methodology="Backlog","Backlog",IF(Company_Rev_Methodology="Mixed",D17,"--"))))</f>
        <v>Segment</v>
      </c>
      <c r="D17" s="40" t="s">
        <v>243</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ht="12.75" hidden="1" customHeight="1" outlineLevel="1" collapsed="1">
      <c r="A18" s="12"/>
      <c r="B18" s="12"/>
      <c r="C18" s="100" t="str">
        <f>C47&amp;" Methodology"</f>
        <v>Segment 6 Revenue Methodology</v>
      </c>
      <c r="D18" s="2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ht="12.75" hidden="1" customHeight="1" outlineLevel="1" collapsed="1">
      <c r="A19" s="12"/>
      <c r="B19" s="12"/>
      <c r="C19" s="108" t="str">
        <f>IF(Company_Rev_Methodology="Segment","Segment",IF(Company_Rev_Methodology="Activity-Based","Activity-Based",IF(Company_Rev_Methodology="Backlog","Backlog",IF(Company_Rev_Methodology="Mixed",D19,"--"))))</f>
        <v>Segment</v>
      </c>
      <c r="D19" s="40" t="s">
        <v>243</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ht="12.75" customHeight="1">
      <c r="A20" s="12"/>
      <c r="B20" s="12"/>
      <c r="C20" s="108"/>
      <c r="D20" s="40"/>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ht="12.75" customHeight="1">
      <c r="A21" s="12"/>
      <c r="B21" s="12"/>
      <c r="C21" s="213" t="s">
        <v>4</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ht="12.75" customHeight="1">
      <c r="A22" s="12"/>
      <c r="B22" s="12"/>
      <c r="C22" s="214"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ht="12.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ht="12.75" customHeight="1">
      <c r="A24" s="12"/>
      <c r="B24" s="12"/>
      <c r="C24" s="215" t="s">
        <v>246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ht="12.75" customHeight="1">
      <c r="A25" s="12"/>
      <c r="B25" s="12"/>
      <c r="C25" s="214" t="s">
        <v>103</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ht="12.75" customHeight="1" outlineLevel="1" collapsed="1">
      <c r="A26" s="211"/>
      <c r="B26" s="12"/>
      <c r="C26" s="12"/>
      <c r="D26" s="12"/>
      <c r="E26" s="12"/>
      <c r="F26" s="12"/>
      <c r="G26" s="12"/>
      <c r="H26" s="12"/>
      <c r="I26" s="12"/>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12"/>
      <c r="AI26" s="12"/>
      <c r="AJ26" s="12"/>
    </row>
    <row r="27" spans="1:36" ht="12.75" customHeight="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11" t="s">
        <v>104</v>
      </c>
      <c r="AJ27" s="898"/>
    </row>
    <row r="28" spans="1:36" ht="12.75" customHeight="1">
      <c r="A28" s="211" t="s">
        <v>1</v>
      </c>
      <c r="B28" s="12"/>
      <c r="C28" s="220" t="s">
        <v>34</v>
      </c>
      <c r="D28" s="221"/>
      <c r="E28" s="221"/>
      <c r="F28" s="222" t="str">
        <f>Model!F$25</f>
        <v>1Q23</v>
      </c>
      <c r="G28" s="151" t="str">
        <f>Model!G$25</f>
        <v>2Q23</v>
      </c>
      <c r="H28" s="151" t="str">
        <f>Model!H$25</f>
        <v>3Q23</v>
      </c>
      <c r="I28" s="151" t="str">
        <f>Model!I$25</f>
        <v>4Q23</v>
      </c>
      <c r="J28" s="151">
        <f>Model!J$25</f>
        <v>2023</v>
      </c>
      <c r="K28" s="151" t="str">
        <f>Model!K$25</f>
        <v>1Q24</v>
      </c>
      <c r="L28" s="151" t="str">
        <f>Model!L$25</f>
        <v>2Q24</v>
      </c>
      <c r="M28" s="151" t="str">
        <f>Model!M$25</f>
        <v>3Q24</v>
      </c>
      <c r="N28" s="151" t="str">
        <f>Model!N$25</f>
        <v>4Q24</v>
      </c>
      <c r="O28" s="151">
        <f>Model!O$25</f>
        <v>2024</v>
      </c>
      <c r="P28" s="151" t="str">
        <f>Model!P$25</f>
        <v>1Q25</v>
      </c>
      <c r="Q28" s="151" t="str">
        <f>Model!Q$25</f>
        <v>2Q25</v>
      </c>
      <c r="R28" s="151" t="str">
        <f>Model!R$25</f>
        <v>3Q25</v>
      </c>
      <c r="S28" s="151" t="str">
        <f>Model!S$25</f>
        <v>4Q25</v>
      </c>
      <c r="T28" s="151">
        <f>Model!T$25</f>
        <v>2025</v>
      </c>
      <c r="U28" s="151" t="str">
        <f>Model!U$25</f>
        <v>1Q26</v>
      </c>
      <c r="V28" s="151" t="str">
        <f>Model!V$25</f>
        <v>2Q26</v>
      </c>
      <c r="W28" s="151" t="str">
        <f>Model!W$25</f>
        <v>3Q26e</v>
      </c>
      <c r="X28" s="151" t="str">
        <f>Model!X$25</f>
        <v>4Q26e</v>
      </c>
      <c r="Y28" s="151" t="str">
        <f>Model!Y$25</f>
        <v>2026e</v>
      </c>
      <c r="Z28" s="151" t="str">
        <f>Model!Z$25</f>
        <v>1Q27e</v>
      </c>
      <c r="AA28" s="151" t="str">
        <f>Model!AA$25</f>
        <v>2Q27e</v>
      </c>
      <c r="AB28" s="151" t="str">
        <f>Model!AB$25</f>
        <v>3Q27e</v>
      </c>
      <c r="AC28" s="151" t="str">
        <f>Model!AC$25</f>
        <v>4Q27e</v>
      </c>
      <c r="AD28" s="151" t="str">
        <f>Model!AD$25</f>
        <v>2027e</v>
      </c>
      <c r="AE28" s="151" t="str">
        <f>Model!AE$25</f>
        <v>2028e</v>
      </c>
      <c r="AF28" s="151" t="str">
        <f>Model!AF$25</f>
        <v>2029e</v>
      </c>
      <c r="AG28" s="152" t="str">
        <f>Model!AG$25</f>
        <v>2030e</v>
      </c>
      <c r="AH28" s="223"/>
      <c r="AI28" s="224" t="s">
        <v>105</v>
      </c>
      <c r="AJ28" s="152" t="s">
        <v>106</v>
      </c>
    </row>
    <row r="29" spans="1:36" ht="12.75" customHeight="1">
      <c r="A29" s="12"/>
      <c r="B29" s="12"/>
      <c r="C29" s="12"/>
      <c r="D29" s="12"/>
      <c r="E29" s="12"/>
      <c r="F29" s="225"/>
      <c r="G29" s="225"/>
      <c r="H29" s="225"/>
      <c r="I29" s="225"/>
      <c r="J29" s="226"/>
      <c r="K29" s="225"/>
      <c r="L29" s="225"/>
      <c r="M29" s="225"/>
      <c r="N29" s="225"/>
      <c r="O29" s="226"/>
      <c r="P29" s="225"/>
      <c r="Q29" s="225"/>
      <c r="R29" s="225"/>
      <c r="S29" s="225"/>
      <c r="T29" s="226"/>
      <c r="U29" s="225"/>
      <c r="V29" s="225"/>
      <c r="W29" s="225"/>
      <c r="X29" s="227"/>
      <c r="Y29" s="228"/>
      <c r="Z29" s="227"/>
      <c r="AA29" s="227"/>
      <c r="AB29" s="227"/>
      <c r="AC29" s="227"/>
      <c r="AD29" s="228"/>
      <c r="AE29" s="228"/>
      <c r="AF29" s="228"/>
      <c r="AG29" s="228"/>
      <c r="AH29" s="12"/>
      <c r="AI29" s="143"/>
      <c r="AJ29" s="229"/>
    </row>
    <row r="30" spans="1:36" ht="12.75" customHeight="1">
      <c r="A30" s="12"/>
      <c r="B30" s="12"/>
      <c r="C30" s="12" t="s">
        <v>247</v>
      </c>
      <c r="D30" s="12"/>
      <c r="E30" s="12"/>
      <c r="F30" s="230">
        <f>'Segment Analysis'!F7</f>
        <v>8161.5029999999997</v>
      </c>
      <c r="G30" s="230">
        <f>'Segment Analysis'!G7</f>
        <v>8187.3010000000004</v>
      </c>
      <c r="H30" s="230">
        <f>'Segment Analysis'!H7</f>
        <v>8541.6679999999997</v>
      </c>
      <c r="I30" s="230">
        <f>'Segment Analysis'!I7</f>
        <v>8832.8250000000007</v>
      </c>
      <c r="J30" s="231">
        <f>'Segment Analysis'!J7</f>
        <v>33723.297000000006</v>
      </c>
      <c r="K30" s="230">
        <f>'Segment Analysis'!K7</f>
        <v>9370.44</v>
      </c>
      <c r="L30" s="230">
        <f>'Segment Analysis'!L7</f>
        <v>9559.31</v>
      </c>
      <c r="M30" s="230">
        <f>'Segment Analysis'!M7</f>
        <v>9824.7029999999995</v>
      </c>
      <c r="N30" s="230">
        <f>'Segment Analysis'!N7</f>
        <v>10246.513000000001</v>
      </c>
      <c r="O30" s="231">
        <f>'Segment Analysis'!O7</f>
        <v>39000.966</v>
      </c>
      <c r="P30" s="230">
        <f>'Segment Analysis'!P7</f>
        <v>10542.800999999999</v>
      </c>
      <c r="Q30" s="230">
        <f>'Segment Analysis'!Q7</f>
        <v>11079.165999999999</v>
      </c>
      <c r="R30" s="230">
        <f>'Segment Analysis'!R7</f>
        <v>11510.307000000001</v>
      </c>
      <c r="S30" s="230">
        <f>'Segment Analysis'!S7</f>
        <v>12050.762000000001</v>
      </c>
      <c r="T30" s="231">
        <f>'Segment Analysis'!T7</f>
        <v>45183.036</v>
      </c>
      <c r="U30" s="230">
        <f>'Segment Analysis'!U7</f>
        <v>12249.757</v>
      </c>
      <c r="V30" s="230">
        <f>'Segment Analysis'!V7</f>
        <v>27570</v>
      </c>
      <c r="W30" s="230">
        <f>'Segment Analysis'!W7</f>
        <v>22918</v>
      </c>
      <c r="X30" s="232">
        <f>SUM(X32,X35,X38,X41,X44,X47,)</f>
        <v>21772.1</v>
      </c>
      <c r="Y30" s="233">
        <f>SUM(U30:X30)</f>
        <v>84509.856999999989</v>
      </c>
      <c r="Z30" s="232">
        <f t="shared" ref="Z30:AC30" si="0">SUM(Z32,Z35,Z38,Z41,Z44,Z47,)</f>
        <v>25691.077999999998</v>
      </c>
      <c r="AA30" s="232">
        <f t="shared" si="0"/>
        <v>29287.82892</v>
      </c>
      <c r="AB30" s="232">
        <f t="shared" si="0"/>
        <v>25773.289449600001</v>
      </c>
      <c r="AC30" s="232">
        <f t="shared" si="0"/>
        <v>24484.624977119998</v>
      </c>
      <c r="AD30" s="233">
        <f>SUM(Z30:AC30)</f>
        <v>105236.82134671998</v>
      </c>
      <c r="AE30" s="233">
        <f t="shared" ref="AE30:AG30" si="1">SUM(AE32,AE35,AE38,AE41,AE44,AE47,)</f>
        <v>107341.55777365438</v>
      </c>
      <c r="AF30" s="233">
        <f t="shared" si="1"/>
        <v>109488.38892912747</v>
      </c>
      <c r="AG30" s="233">
        <f t="shared" si="1"/>
        <v>111678.15670771002</v>
      </c>
      <c r="AH30" s="12"/>
      <c r="AI30" s="234">
        <f>IFERROR((T30/J30)^(1/3)-1,"--")</f>
        <v>0.10242349558066399</v>
      </c>
      <c r="AJ30" s="235">
        <f>IFERROR((AG30/T30)^(1/5)-1,"--")</f>
        <v>0.19839107391671096</v>
      </c>
    </row>
    <row r="31" spans="1:36" ht="12.75" customHeight="1">
      <c r="A31" s="236"/>
      <c r="B31" s="237"/>
      <c r="C31" s="238" t="str">
        <f>IF($C$25="Quarterly","% Growth QoQ","% Growth YoY")</f>
        <v>% Growth QoQ</v>
      </c>
      <c r="D31" s="237"/>
      <c r="E31" s="237"/>
      <c r="F31" s="239"/>
      <c r="G31" s="240">
        <f>IF($C$25="Annual",'Segment Analysis'!G172,'Segment Analysis'!G192)</f>
        <v>3.1609373910663763E-3</v>
      </c>
      <c r="H31" s="240">
        <f>IF($C$25="Annual",'Segment Analysis'!H172,'Segment Analysis'!H192)</f>
        <v>4.3282517645314211E-2</v>
      </c>
      <c r="I31" s="240">
        <f>IF($C$25="Annual",'Segment Analysis'!I172,'Segment Analysis'!I192)</f>
        <v>3.4086667849886121E-2</v>
      </c>
      <c r="J31" s="241"/>
      <c r="K31" s="240">
        <f>IF($C$25="Annual",'Segment Analysis'!K172,'Segment Analysis'!K192)</f>
        <v>6.0865578113457497E-2</v>
      </c>
      <c r="L31" s="240">
        <f>IF($C$25="Annual",'Segment Analysis'!L172,'Segment Analysis'!L192)</f>
        <v>2.0155937181178141E-2</v>
      </c>
      <c r="M31" s="240">
        <f>IF($C$25="Annual",'Segment Analysis'!M172,'Segment Analysis'!M192)</f>
        <v>2.7762777857397669E-2</v>
      </c>
      <c r="N31" s="240">
        <f>IF($C$25="Annual",'Segment Analysis'!N172,'Segment Analysis'!N192)</f>
        <v>4.2933613362154732E-2</v>
      </c>
      <c r="O31" s="241">
        <f>IF($C$25="Annual",'Segment Analysis'!O172,'Segment Analysis'!O192)</f>
        <v>0</v>
      </c>
      <c r="P31" s="240">
        <f>IF($C$25="Annual",'Segment Analysis'!P172,'Segment Analysis'!P192)</f>
        <v>2.8915983417968416E-2</v>
      </c>
      <c r="Q31" s="240">
        <f>IF($C$25="Annual",'Segment Analysis'!Q172,'Segment Analysis'!Q192)</f>
        <v>5.0874999917005059E-2</v>
      </c>
      <c r="R31" s="240">
        <f>IF($C$25="Annual",'Segment Analysis'!R172,'Segment Analysis'!R192)</f>
        <v>3.8914571728594138E-2</v>
      </c>
      <c r="S31" s="240">
        <f>IF($C$25="Annual",'Segment Analysis'!S172,'Segment Analysis'!S192)</f>
        <v>4.6954003920138598E-2</v>
      </c>
      <c r="T31" s="241">
        <f>IF($C$25="Annual",'Segment Analysis'!T172,'Segment Analysis'!T192)</f>
        <v>0</v>
      </c>
      <c r="U31" s="240">
        <f>IF($C$25="Annual",'Segment Analysis'!U172,'Segment Analysis'!U192)</f>
        <v>1.6513063655227755E-2</v>
      </c>
      <c r="V31" s="240">
        <f>IF($C$25="Annual",'Segment Analysis'!V172,'Segment Analysis'!V192)</f>
        <v>1.2506568905815847</v>
      </c>
      <c r="W31" s="240">
        <f>IF($C$25="Annual",'Segment Analysis'!W172,'Segment Analysis'!W192)</f>
        <v>-0.16873413130213999</v>
      </c>
      <c r="X31" s="242">
        <f>IFERROR(X30/W30-1,"--")</f>
        <v>-5.0000000000000044E-2</v>
      </c>
      <c r="Y31" s="243">
        <f>IFERROR(Y30/T30-1,"--")</f>
        <v>0.87038907699783574</v>
      </c>
      <c r="Z31" s="242">
        <f>IFERROR(Z30/X30-1,"--")</f>
        <v>0.17999999999999994</v>
      </c>
      <c r="AA31" s="242">
        <f t="shared" ref="AA31:AC31" si="2">IFERROR(AA30/Z30-1,"--")</f>
        <v>0.14000000000000012</v>
      </c>
      <c r="AB31" s="242">
        <f t="shared" si="2"/>
        <v>-0.12</v>
      </c>
      <c r="AC31" s="242">
        <f t="shared" si="2"/>
        <v>-5.0000000000000044E-2</v>
      </c>
      <c r="AD31" s="243">
        <f>IFERROR(AD30/Y30-1,"--")</f>
        <v>0.24526090899337327</v>
      </c>
      <c r="AE31" s="243">
        <f t="shared" ref="AE31:AG31" si="3">IFERROR(AE30/AD30-1,"--")</f>
        <v>2.0000000000000018E-2</v>
      </c>
      <c r="AF31" s="243">
        <f t="shared" si="3"/>
        <v>2.0000000000000018E-2</v>
      </c>
      <c r="AG31" s="243">
        <f t="shared" si="3"/>
        <v>2.0000000000000018E-2</v>
      </c>
      <c r="AH31" s="237"/>
      <c r="AI31" s="244"/>
      <c r="AJ31" s="245"/>
    </row>
    <row r="32" spans="1:36" ht="12.75" customHeight="1">
      <c r="A32" s="12"/>
      <c r="B32" s="12"/>
      <c r="C32" s="12" t="str">
        <f>'Segment Analysis'!C8</f>
        <v>Home Improvement Retail Revenue</v>
      </c>
      <c r="D32" s="12"/>
      <c r="E32" s="12"/>
      <c r="F32" s="230">
        <f>'Segment Analysis'!F8</f>
        <v>8161.5029999999997</v>
      </c>
      <c r="G32" s="230">
        <f>'Segment Analysis'!G8</f>
        <v>8187.3010000000004</v>
      </c>
      <c r="H32" s="230">
        <f>'Segment Analysis'!H8</f>
        <v>8541.6679999999997</v>
      </c>
      <c r="I32" s="230">
        <f>'Segment Analysis'!I8</f>
        <v>8832.8250000000007</v>
      </c>
      <c r="J32" s="231">
        <f>'Segment Analysis'!J8</f>
        <v>33723.297000000006</v>
      </c>
      <c r="K32" s="230">
        <f>'Segment Analysis'!K8</f>
        <v>9370.44</v>
      </c>
      <c r="L32" s="230">
        <f>'Segment Analysis'!L8</f>
        <v>9559.31</v>
      </c>
      <c r="M32" s="230">
        <f>'Segment Analysis'!M8</f>
        <v>9824.7029999999995</v>
      </c>
      <c r="N32" s="230">
        <f>'Segment Analysis'!N8</f>
        <v>10246.513000000001</v>
      </c>
      <c r="O32" s="231">
        <f>'Segment Analysis'!O8</f>
        <v>39000.966</v>
      </c>
      <c r="P32" s="230">
        <f>'Segment Analysis'!P8</f>
        <v>10542.800999999999</v>
      </c>
      <c r="Q32" s="230">
        <f>'Segment Analysis'!Q8</f>
        <v>11079.165999999999</v>
      </c>
      <c r="R32" s="230">
        <f>'Segment Analysis'!R8</f>
        <v>11510.307000000001</v>
      </c>
      <c r="S32" s="230">
        <f>'Segment Analysis'!S8</f>
        <v>12050.762000000001</v>
      </c>
      <c r="T32" s="231">
        <f>'Segment Analysis'!T8</f>
        <v>45183.036</v>
      </c>
      <c r="U32" s="230">
        <f>'Segment Analysis'!U8</f>
        <v>12249.757</v>
      </c>
      <c r="V32" s="230">
        <f>'Segment Analysis'!V8</f>
        <v>27570</v>
      </c>
      <c r="W32" s="230">
        <f>'Segment Analysis'!W8</f>
        <v>22918</v>
      </c>
      <c r="X32" s="232">
        <f>IF(Segment1_Rev_Methodology="Segment",X53,IF(Segment1_Rev_Methodology="Activity-Based",X91,IF(Segment1_Rev_Methodology="Backlog",X165,"--")))</f>
        <v>21772.1</v>
      </c>
      <c r="Y32" s="233">
        <f>SUM(U32:X32)</f>
        <v>84509.856999999989</v>
      </c>
      <c r="Z32" s="232">
        <f>IF(Segment1_Rev_Methodology="Segment",Z53,IF(Segment1_Rev_Methodology="Activity-Based",Z91,IF(Segment1_Rev_Methodology="Backlog",Z165,"--")))</f>
        <v>25691.077999999998</v>
      </c>
      <c r="AA32" s="232">
        <f>IF(Segment1_Rev_Methodology="Segment",AA53,IF(Segment1_Rev_Methodology="Activity-Based",AA91,IF(Segment1_Rev_Methodology="Backlog",AA165,"--")))</f>
        <v>29287.82892</v>
      </c>
      <c r="AB32" s="232">
        <f>IF(Segment1_Rev_Methodology="Segment",AB53,IF(Segment1_Rev_Methodology="Activity-Based",AB91,IF(Segment1_Rev_Methodology="Backlog",AB165,"--")))</f>
        <v>25773.289449600001</v>
      </c>
      <c r="AC32" s="232">
        <f>IF(Segment1_Rev_Methodology="Segment",AC53,IF(Segment1_Rev_Methodology="Activity-Based",AC91,IF(Segment1_Rev_Methodology="Backlog",AC165,"--")))</f>
        <v>24484.624977119998</v>
      </c>
      <c r="AD32" s="233">
        <f>SUM(Z32:AC32)</f>
        <v>105236.82134671998</v>
      </c>
      <c r="AE32" s="233">
        <f>IF(Segment1_Rev_Methodology="Segment",AE53,IF(Segment1_Rev_Methodology="Activity-Based",AE91,IF(Segment1_Rev_Methodology="Backlog",AE165,"--")))</f>
        <v>107341.55777365438</v>
      </c>
      <c r="AF32" s="233">
        <f>IF(Segment1_Rev_Methodology="Segment",AF53,IF(Segment1_Rev_Methodology="Activity-Based",AF91,IF(Segment1_Rev_Methodology="Backlog",AF165,"--")))</f>
        <v>109488.38892912747</v>
      </c>
      <c r="AG32" s="233">
        <f>IF(Segment1_Rev_Methodology="Segment",AG53,IF(Segment1_Rev_Methodology="Activity-Based",AG91,IF(Segment1_Rev_Methodology="Backlog",AG165,"--")))</f>
        <v>111678.15670771002</v>
      </c>
      <c r="AH32" s="12"/>
      <c r="AI32" s="234">
        <f>IFERROR((T32/J32)^(1/3)-1,"--")</f>
        <v>0.10242349558066399</v>
      </c>
      <c r="AJ32" s="235">
        <f>IFERROR((AG32/T32)^(1/5)-1,"--")</f>
        <v>0.19839107391671096</v>
      </c>
    </row>
    <row r="33" spans="1:36" ht="12.75" customHeight="1">
      <c r="A33" s="236"/>
      <c r="B33" s="237"/>
      <c r="C33" s="238" t="str">
        <f>IF($C$25="Quarterly","% Growth QoQ","% Growth YoY")</f>
        <v>% Growth QoQ</v>
      </c>
      <c r="D33" s="237"/>
      <c r="E33" s="237"/>
      <c r="F33" s="239"/>
      <c r="G33" s="240">
        <f>IF($C$25="Annual",'Segment Analysis'!G173,'Segment Analysis'!G193)</f>
        <v>3.1609373910663763E-3</v>
      </c>
      <c r="H33" s="240">
        <f>IF($C$25="Annual",'Segment Analysis'!H173,'Segment Analysis'!H193)</f>
        <v>4.3282517645314211E-2</v>
      </c>
      <c r="I33" s="240">
        <f>IF($C$25="Annual",'Segment Analysis'!I173,'Segment Analysis'!I193)</f>
        <v>3.4086667849886121E-2</v>
      </c>
      <c r="J33" s="241"/>
      <c r="K33" s="240">
        <f>IF($C$25="Annual",'Segment Analysis'!K173,'Segment Analysis'!K193)</f>
        <v>6.0865578113457497E-2</v>
      </c>
      <c r="L33" s="240">
        <f>IF($C$25="Annual",'Segment Analysis'!L173,'Segment Analysis'!L193)</f>
        <v>2.0155937181178141E-2</v>
      </c>
      <c r="M33" s="240">
        <f>IF($C$25="Annual",'Segment Analysis'!M173,'Segment Analysis'!M193)</f>
        <v>2.7762777857397669E-2</v>
      </c>
      <c r="N33" s="240">
        <f>IF($C$25="Annual",'Segment Analysis'!N173,'Segment Analysis'!N193)</f>
        <v>4.2933613362154732E-2</v>
      </c>
      <c r="O33" s="241">
        <f>IF($C$25="Annual",'Segment Analysis'!O173,'Segment Analysis'!O193)</f>
        <v>0</v>
      </c>
      <c r="P33" s="240">
        <f>IF($C$25="Annual",'Segment Analysis'!P173,'Segment Analysis'!P193)</f>
        <v>2.8915983417968416E-2</v>
      </c>
      <c r="Q33" s="240">
        <f>IF($C$25="Annual",'Segment Analysis'!Q173,'Segment Analysis'!Q193)</f>
        <v>5.0874999917005059E-2</v>
      </c>
      <c r="R33" s="240">
        <f>IF($C$25="Annual",'Segment Analysis'!R173,'Segment Analysis'!R193)</f>
        <v>3.8914571728594138E-2</v>
      </c>
      <c r="S33" s="240">
        <f>IF($C$25="Annual",'Segment Analysis'!S173,'Segment Analysis'!S193)</f>
        <v>4.6954003920138598E-2</v>
      </c>
      <c r="T33" s="241">
        <f>IF($C$25="Annual",'Segment Analysis'!T173,'Segment Analysis'!T193)</f>
        <v>0</v>
      </c>
      <c r="U33" s="240">
        <f>IF($C$25="Annual",'Segment Analysis'!U173,'Segment Analysis'!U193)</f>
        <v>1.6513063655227755E-2</v>
      </c>
      <c r="V33" s="240">
        <f>IF($C$25="Annual",'Segment Analysis'!V173,'Segment Analysis'!V193)</f>
        <v>1.2506568905815847</v>
      </c>
      <c r="W33" s="240">
        <f>IF($C$25="Annual",'Segment Analysis'!W173,'Segment Analysis'!W193)</f>
        <v>-0.16873413130213999</v>
      </c>
      <c r="X33" s="242">
        <f>IFERROR(X32/W32-1,"--")</f>
        <v>-5.0000000000000044E-2</v>
      </c>
      <c r="Y33" s="243">
        <f>IFERROR(Y32/T32-1,"--")</f>
        <v>0.87038907699783574</v>
      </c>
      <c r="Z33" s="242">
        <f>IFERROR(Z32/X32-1,"--")</f>
        <v>0.17999999999999994</v>
      </c>
      <c r="AA33" s="242">
        <f t="shared" ref="AA33:AC33" si="4">IFERROR(AA32/Z32-1,"--")</f>
        <v>0.14000000000000012</v>
      </c>
      <c r="AB33" s="242">
        <f t="shared" si="4"/>
        <v>-0.12</v>
      </c>
      <c r="AC33" s="242">
        <f t="shared" si="4"/>
        <v>-5.0000000000000044E-2</v>
      </c>
      <c r="AD33" s="243">
        <f>IFERROR(AD32/Y32-1,"--")</f>
        <v>0.24526090899337327</v>
      </c>
      <c r="AE33" s="243">
        <f t="shared" ref="AE33:AG33" si="5">IFERROR(AE32/AD32-1,"--")</f>
        <v>2.0000000000000018E-2</v>
      </c>
      <c r="AF33" s="243">
        <f t="shared" si="5"/>
        <v>2.0000000000000018E-2</v>
      </c>
      <c r="AG33" s="243">
        <f t="shared" si="5"/>
        <v>2.0000000000000018E-2</v>
      </c>
      <c r="AH33" s="237"/>
      <c r="AI33" s="244"/>
      <c r="AJ33" s="245"/>
    </row>
    <row r="34" spans="1:36" ht="12.75" customHeight="1">
      <c r="A34" s="236"/>
      <c r="B34" s="237"/>
      <c r="C34" s="89" t="s">
        <v>248</v>
      </c>
      <c r="D34" s="237"/>
      <c r="E34" s="237"/>
      <c r="F34" s="240">
        <f>'Segment Analysis'!F16</f>
        <v>1</v>
      </c>
      <c r="G34" s="240">
        <f>'Segment Analysis'!G16</f>
        <v>1</v>
      </c>
      <c r="H34" s="240">
        <f>'Segment Analysis'!H16</f>
        <v>1</v>
      </c>
      <c r="I34" s="240">
        <f>'Segment Analysis'!I16</f>
        <v>1</v>
      </c>
      <c r="J34" s="241">
        <f>'Segment Analysis'!J16</f>
        <v>1</v>
      </c>
      <c r="K34" s="240">
        <f>'Segment Analysis'!K16</f>
        <v>1</v>
      </c>
      <c r="L34" s="240">
        <f>'Segment Analysis'!L16</f>
        <v>1</v>
      </c>
      <c r="M34" s="240">
        <f>'Segment Analysis'!M16</f>
        <v>1</v>
      </c>
      <c r="N34" s="240">
        <f>'Segment Analysis'!N16</f>
        <v>1</v>
      </c>
      <c r="O34" s="241">
        <f>'Segment Analysis'!O16</f>
        <v>1</v>
      </c>
      <c r="P34" s="240">
        <f>'Segment Analysis'!P16</f>
        <v>1</v>
      </c>
      <c r="Q34" s="240">
        <f>'Segment Analysis'!Q16</f>
        <v>1</v>
      </c>
      <c r="R34" s="240">
        <f>'Segment Analysis'!R16</f>
        <v>1</v>
      </c>
      <c r="S34" s="240">
        <f>'Segment Analysis'!S16</f>
        <v>1</v>
      </c>
      <c r="T34" s="241">
        <f>'Segment Analysis'!T16</f>
        <v>1</v>
      </c>
      <c r="U34" s="240">
        <f>'Segment Analysis'!U16</f>
        <v>1</v>
      </c>
      <c r="V34" s="240">
        <f>'Segment Analysis'!V16</f>
        <v>1</v>
      </c>
      <c r="W34" s="240">
        <f>'Segment Analysis'!W16</f>
        <v>1</v>
      </c>
      <c r="X34" s="242">
        <f t="shared" ref="X34:AG34" si="6">X32/X$30</f>
        <v>1</v>
      </c>
      <c r="Y34" s="243">
        <f t="shared" si="6"/>
        <v>1</v>
      </c>
      <c r="Z34" s="242">
        <f t="shared" si="6"/>
        <v>1</v>
      </c>
      <c r="AA34" s="242">
        <f t="shared" si="6"/>
        <v>1</v>
      </c>
      <c r="AB34" s="242">
        <f t="shared" si="6"/>
        <v>1</v>
      </c>
      <c r="AC34" s="242">
        <f t="shared" si="6"/>
        <v>1</v>
      </c>
      <c r="AD34" s="243">
        <f t="shared" si="6"/>
        <v>1</v>
      </c>
      <c r="AE34" s="243">
        <f t="shared" si="6"/>
        <v>1</v>
      </c>
      <c r="AF34" s="243">
        <f t="shared" si="6"/>
        <v>1</v>
      </c>
      <c r="AG34" s="243">
        <f t="shared" si="6"/>
        <v>1</v>
      </c>
      <c r="AH34" s="237"/>
      <c r="AI34" s="246"/>
      <c r="AJ34" s="247"/>
    </row>
    <row r="35" spans="1:36" ht="12.75" customHeight="1" outlineLevel="1" collapsed="1">
      <c r="A35" s="12"/>
      <c r="B35" s="12"/>
      <c r="C35" s="12" t="str">
        <f>'Segment Analysis'!C9</f>
        <v>Segment 2 Revenue</v>
      </c>
      <c r="D35" s="12"/>
      <c r="E35" s="12"/>
      <c r="F35" s="230">
        <f>'Segment Analysis'!F9</f>
        <v>0</v>
      </c>
      <c r="G35" s="230">
        <f>'Segment Analysis'!G9</f>
        <v>0</v>
      </c>
      <c r="H35" s="230">
        <f>'Segment Analysis'!H9</f>
        <v>0</v>
      </c>
      <c r="I35" s="230">
        <f>'Segment Analysis'!I9</f>
        <v>0</v>
      </c>
      <c r="J35" s="231">
        <f>'Segment Analysis'!J9</f>
        <v>0</v>
      </c>
      <c r="K35" s="230">
        <f>'Segment Analysis'!K9</f>
        <v>0</v>
      </c>
      <c r="L35" s="230">
        <f>'Segment Analysis'!L9</f>
        <v>0</v>
      </c>
      <c r="M35" s="230">
        <f>'Segment Analysis'!M9</f>
        <v>0</v>
      </c>
      <c r="N35" s="230">
        <f>'Segment Analysis'!N9</f>
        <v>0</v>
      </c>
      <c r="O35" s="231">
        <f>'Segment Analysis'!O9</f>
        <v>0</v>
      </c>
      <c r="P35" s="230">
        <f>'Segment Analysis'!P9</f>
        <v>0</v>
      </c>
      <c r="Q35" s="230">
        <f>'Segment Analysis'!Q9</f>
        <v>0</v>
      </c>
      <c r="R35" s="230">
        <f>'Segment Analysis'!R9</f>
        <v>0</v>
      </c>
      <c r="S35" s="230">
        <f>'Segment Analysis'!S9</f>
        <v>0</v>
      </c>
      <c r="T35" s="231">
        <f>'Segment Analysis'!T9</f>
        <v>0</v>
      </c>
      <c r="U35" s="230">
        <f>'Segment Analysis'!U9</f>
        <v>0</v>
      </c>
      <c r="V35" s="230">
        <f>'Segment Analysis'!V9</f>
        <v>0</v>
      </c>
      <c r="W35" s="230">
        <f>'Segment Analysis'!W9</f>
        <v>0</v>
      </c>
      <c r="X35" s="232">
        <f>IF(Segment2_Rev_Methodology="Segment",X59,IF(Segment2_Rev_Methodology="Activity-Based",X103,IF(Segment2_Rev_Methodology="Backlog",X177,"--")))</f>
        <v>0</v>
      </c>
      <c r="Y35" s="233">
        <f>SUM(U35:X35)</f>
        <v>0</v>
      </c>
      <c r="Z35" s="232">
        <f>IF(Segment2_Rev_Methodology="Segment",Z59,IF(Segment2_Rev_Methodology="Activity-Based",Z103,IF(Segment2_Rev_Methodology="Backlog",Z177,"--")))</f>
        <v>0</v>
      </c>
      <c r="AA35" s="232">
        <f>IF(Segment2_Rev_Methodology="Segment",AA59,IF(Segment2_Rev_Methodology="Activity-Based",AA103,IF(Segment2_Rev_Methodology="Backlog",AA177,"--")))</f>
        <v>0</v>
      </c>
      <c r="AB35" s="232">
        <f>IF(Segment2_Rev_Methodology="Segment",AB59,IF(Segment2_Rev_Methodology="Activity-Based",AB103,IF(Segment2_Rev_Methodology="Backlog",AB177,"--")))</f>
        <v>0</v>
      </c>
      <c r="AC35" s="232">
        <f>IF(Segment2_Rev_Methodology="Segment",AC59,IF(Segment2_Rev_Methodology="Activity-Based",AC103,IF(Segment2_Rev_Methodology="Backlog",AC177,"--")))</f>
        <v>0</v>
      </c>
      <c r="AD35" s="233">
        <f>SUM(Z35:AC35)</f>
        <v>0</v>
      </c>
      <c r="AE35" s="233">
        <f>IF(Segment2_Rev_Methodology="Segment",AE59,IF(Segment2_Rev_Methodology="Activity-Based",AE103,IF(Segment2_Rev_Methodology="Backlog",AE177,"--")))</f>
        <v>0</v>
      </c>
      <c r="AF35" s="233">
        <f>IF(Segment2_Rev_Methodology="Segment",AF59,IF(Segment2_Rev_Methodology="Activity-Based",AF103,IF(Segment2_Rev_Methodology="Backlog",AF177,"--")))</f>
        <v>0</v>
      </c>
      <c r="AG35" s="233">
        <f>IF(Segment2_Rev_Methodology="Segment",AG59,IF(Segment2_Rev_Methodology="Activity-Based",AG103,IF(Segment2_Rev_Methodology="Backlog",AG177,"--")))</f>
        <v>0</v>
      </c>
      <c r="AH35" s="12"/>
      <c r="AI35" s="234" t="str">
        <f>IFERROR((T35/J35)^(1/3)-1,"--")</f>
        <v>--</v>
      </c>
      <c r="AJ35" s="235" t="str">
        <f>IFERROR((AG35/T35)^(1/5)-1,"--")</f>
        <v>--</v>
      </c>
    </row>
    <row r="36" spans="1:36" ht="12.75" customHeight="1" outlineLevel="1" collapsed="1">
      <c r="A36" s="236"/>
      <c r="B36" s="237"/>
      <c r="C36" s="89" t="s">
        <v>249</v>
      </c>
      <c r="D36" s="237"/>
      <c r="E36" s="237"/>
      <c r="F36" s="239"/>
      <c r="G36" s="240" t="str">
        <f>IF($C$25="Annual",'Segment Analysis'!G174,'Segment Analysis'!G194)</f>
        <v>N/A</v>
      </c>
      <c r="H36" s="240" t="str">
        <f>IF($C$25="Annual",'Segment Analysis'!H174,'Segment Analysis'!H194)</f>
        <v>N/A</v>
      </c>
      <c r="I36" s="240" t="str">
        <f>IF($C$25="Annual",'Segment Analysis'!I174,'Segment Analysis'!I194)</f>
        <v>N/A</v>
      </c>
      <c r="J36" s="241"/>
      <c r="K36" s="240" t="str">
        <f>IF($C$25="Annual",'Segment Analysis'!K174,'Segment Analysis'!K194)</f>
        <v>N/A</v>
      </c>
      <c r="L36" s="240" t="str">
        <f>IF($C$25="Annual",'Segment Analysis'!L174,'Segment Analysis'!L194)</f>
        <v>N/A</v>
      </c>
      <c r="M36" s="240" t="str">
        <f>IF($C$25="Annual",'Segment Analysis'!M174,'Segment Analysis'!M194)</f>
        <v>N/A</v>
      </c>
      <c r="N36" s="240" t="str">
        <f>IF($C$25="Annual",'Segment Analysis'!N174,'Segment Analysis'!N194)</f>
        <v>N/A</v>
      </c>
      <c r="O36" s="241" t="str">
        <f>'Segment Analysis'!O174</f>
        <v>N/A</v>
      </c>
      <c r="P36" s="240" t="str">
        <f>IF($C$25="Annual",'Segment Analysis'!P174,'Segment Analysis'!P194)</f>
        <v>N/A</v>
      </c>
      <c r="Q36" s="240" t="str">
        <f>IF($C$25="Annual",'Segment Analysis'!Q174,'Segment Analysis'!Q194)</f>
        <v>N/A</v>
      </c>
      <c r="R36" s="240" t="str">
        <f>IF($C$25="Annual",'Segment Analysis'!R174,'Segment Analysis'!R194)</f>
        <v>N/A</v>
      </c>
      <c r="S36" s="240" t="str">
        <f>IF($C$25="Annual",'Segment Analysis'!S174,'Segment Analysis'!S194)</f>
        <v>N/A</v>
      </c>
      <c r="T36" s="241" t="str">
        <f>'Segment Analysis'!T174</f>
        <v>N/A</v>
      </c>
      <c r="U36" s="240" t="str">
        <f>IF($C$25="Annual",'Segment Analysis'!U174,'Segment Analysis'!U194)</f>
        <v>N/A</v>
      </c>
      <c r="V36" s="240" t="str">
        <f>IF($C$25="Annual",'Segment Analysis'!V174,'Segment Analysis'!V194)</f>
        <v>N/A</v>
      </c>
      <c r="W36" s="240" t="str">
        <f>IF($C$25="Annual",'Segment Analysis'!W174,'Segment Analysis'!W194)</f>
        <v>N/A</v>
      </c>
      <c r="X36" s="242" t="str">
        <f>IFERROR(X35/W35-1,"--")</f>
        <v>--</v>
      </c>
      <c r="Y36" s="243" t="str">
        <f>IFERROR(Y35/T35-1,"--")</f>
        <v>--</v>
      </c>
      <c r="Z36" s="242" t="str">
        <f>IFERROR(Z35/X35-1,"--")</f>
        <v>--</v>
      </c>
      <c r="AA36" s="242" t="str">
        <f t="shared" ref="AA36:AC36" si="7">IFERROR(AA35/Z35-1,"--")</f>
        <v>--</v>
      </c>
      <c r="AB36" s="242" t="str">
        <f t="shared" si="7"/>
        <v>--</v>
      </c>
      <c r="AC36" s="242" t="str">
        <f t="shared" si="7"/>
        <v>--</v>
      </c>
      <c r="AD36" s="243" t="str">
        <f>IFERROR(AD35/Y35-1,"--")</f>
        <v>--</v>
      </c>
      <c r="AE36" s="243" t="str">
        <f t="shared" ref="AE36:AG36" si="8">IFERROR(AE35/AD35-1,"--")</f>
        <v>--</v>
      </c>
      <c r="AF36" s="243" t="str">
        <f t="shared" si="8"/>
        <v>--</v>
      </c>
      <c r="AG36" s="243" t="str">
        <f t="shared" si="8"/>
        <v>--</v>
      </c>
      <c r="AH36" s="237"/>
      <c r="AI36" s="244"/>
      <c r="AJ36" s="245"/>
    </row>
    <row r="37" spans="1:36" ht="12.75" customHeight="1" outlineLevel="1" collapsed="1">
      <c r="A37" s="236"/>
      <c r="B37" s="237"/>
      <c r="C37" s="89" t="s">
        <v>248</v>
      </c>
      <c r="D37" s="237"/>
      <c r="E37" s="237"/>
      <c r="F37" s="240">
        <f>'Segment Analysis'!F17</f>
        <v>0</v>
      </c>
      <c r="G37" s="240">
        <f>'Segment Analysis'!G17</f>
        <v>0</v>
      </c>
      <c r="H37" s="240">
        <f>'Segment Analysis'!H17</f>
        <v>0</v>
      </c>
      <c r="I37" s="240">
        <f>'Segment Analysis'!I17</f>
        <v>0</v>
      </c>
      <c r="J37" s="241">
        <f>'Segment Analysis'!J17</f>
        <v>0</v>
      </c>
      <c r="K37" s="240">
        <f>'Segment Analysis'!K17</f>
        <v>0</v>
      </c>
      <c r="L37" s="240">
        <f>'Segment Analysis'!L17</f>
        <v>0</v>
      </c>
      <c r="M37" s="240">
        <f>'Segment Analysis'!M17</f>
        <v>0</v>
      </c>
      <c r="N37" s="240">
        <f>'Segment Analysis'!N17</f>
        <v>0</v>
      </c>
      <c r="O37" s="241">
        <f>'Segment Analysis'!O17</f>
        <v>0</v>
      </c>
      <c r="P37" s="240">
        <f>'Segment Analysis'!P17</f>
        <v>0</v>
      </c>
      <c r="Q37" s="240">
        <f>'Segment Analysis'!Q17</f>
        <v>0</v>
      </c>
      <c r="R37" s="240">
        <f>'Segment Analysis'!R17</f>
        <v>0</v>
      </c>
      <c r="S37" s="240">
        <f>'Segment Analysis'!S17</f>
        <v>0</v>
      </c>
      <c r="T37" s="241">
        <f>'Segment Analysis'!T17</f>
        <v>0</v>
      </c>
      <c r="U37" s="240">
        <f>'Segment Analysis'!U17</f>
        <v>0</v>
      </c>
      <c r="V37" s="240">
        <f>'Segment Analysis'!V17</f>
        <v>0</v>
      </c>
      <c r="W37" s="240">
        <f>'Segment Analysis'!W17</f>
        <v>0</v>
      </c>
      <c r="X37" s="242">
        <f t="shared" ref="X37:AG37" si="9">X35/X$30</f>
        <v>0</v>
      </c>
      <c r="Y37" s="243">
        <f t="shared" si="9"/>
        <v>0</v>
      </c>
      <c r="Z37" s="242">
        <f t="shared" si="9"/>
        <v>0</v>
      </c>
      <c r="AA37" s="242">
        <f t="shared" si="9"/>
        <v>0</v>
      </c>
      <c r="AB37" s="242">
        <f t="shared" si="9"/>
        <v>0</v>
      </c>
      <c r="AC37" s="242">
        <f t="shared" si="9"/>
        <v>0</v>
      </c>
      <c r="AD37" s="243">
        <f t="shared" si="9"/>
        <v>0</v>
      </c>
      <c r="AE37" s="243">
        <f t="shared" si="9"/>
        <v>0</v>
      </c>
      <c r="AF37" s="243">
        <f t="shared" si="9"/>
        <v>0</v>
      </c>
      <c r="AG37" s="243">
        <f t="shared" si="9"/>
        <v>0</v>
      </c>
      <c r="AH37" s="237"/>
      <c r="AI37" s="244"/>
      <c r="AJ37" s="245"/>
    </row>
    <row r="38" spans="1:36" ht="12.75" customHeight="1" outlineLevel="1" collapsed="1">
      <c r="A38" s="12"/>
      <c r="B38" s="12"/>
      <c r="C38" s="12" t="str">
        <f>'Segment Analysis'!C10</f>
        <v>Segment 3 Revenue</v>
      </c>
      <c r="D38" s="12"/>
      <c r="E38" s="12"/>
      <c r="F38" s="230">
        <f>'Segment Analysis'!F10</f>
        <v>0</v>
      </c>
      <c r="G38" s="230">
        <f>'Segment Analysis'!G10</f>
        <v>0</v>
      </c>
      <c r="H38" s="230">
        <f>'Segment Analysis'!H10</f>
        <v>0</v>
      </c>
      <c r="I38" s="230">
        <f>'Segment Analysis'!I10</f>
        <v>0</v>
      </c>
      <c r="J38" s="231">
        <f>'Segment Analysis'!J10</f>
        <v>0</v>
      </c>
      <c r="K38" s="230">
        <f>'Segment Analysis'!K10</f>
        <v>0</v>
      </c>
      <c r="L38" s="230">
        <f>'Segment Analysis'!L10</f>
        <v>0</v>
      </c>
      <c r="M38" s="230">
        <f>'Segment Analysis'!M10</f>
        <v>0</v>
      </c>
      <c r="N38" s="230">
        <f>'Segment Analysis'!N10</f>
        <v>0</v>
      </c>
      <c r="O38" s="231">
        <f>'Segment Analysis'!O10</f>
        <v>0</v>
      </c>
      <c r="P38" s="230">
        <f>'Segment Analysis'!P10</f>
        <v>0</v>
      </c>
      <c r="Q38" s="230">
        <f>'Segment Analysis'!Q10</f>
        <v>0</v>
      </c>
      <c r="R38" s="230">
        <f>'Segment Analysis'!R10</f>
        <v>0</v>
      </c>
      <c r="S38" s="230">
        <f>'Segment Analysis'!S10</f>
        <v>0</v>
      </c>
      <c r="T38" s="231">
        <f>'Segment Analysis'!T10</f>
        <v>0</v>
      </c>
      <c r="U38" s="230">
        <f>'Segment Analysis'!U10</f>
        <v>0</v>
      </c>
      <c r="V38" s="230">
        <f>'Segment Analysis'!V10</f>
        <v>0</v>
      </c>
      <c r="W38" s="230">
        <f>'Segment Analysis'!W10</f>
        <v>0</v>
      </c>
      <c r="X38" s="232">
        <f>IF(Segment3_Rev_Methodology="Segment",X65,IF(Segment3_Rev_Methodology="Activity-Based",X115,IF(Segment3_Rev_Methodology="Backlog",X189,"--")))</f>
        <v>0</v>
      </c>
      <c r="Y38" s="233">
        <f>SUM(U38:X38)</f>
        <v>0</v>
      </c>
      <c r="Z38" s="232">
        <f>IF(Segment3_Rev_Methodology="Segment",Z65,IF(Segment3_Rev_Methodology="Activity-Based",Z115,IF(Segment3_Rev_Methodology="Backlog",Z189,"--")))</f>
        <v>0</v>
      </c>
      <c r="AA38" s="232">
        <f>IF(Segment3_Rev_Methodology="Segment",AA65,IF(Segment3_Rev_Methodology="Activity-Based",AA115,IF(Segment3_Rev_Methodology="Backlog",AA189,"--")))</f>
        <v>0</v>
      </c>
      <c r="AB38" s="232">
        <f>IF(Segment3_Rev_Methodology="Segment",AB65,IF(Segment3_Rev_Methodology="Activity-Based",AB115,IF(Segment3_Rev_Methodology="Backlog",AB189,"--")))</f>
        <v>0</v>
      </c>
      <c r="AC38" s="232">
        <f>IF(Segment3_Rev_Methodology="Segment",AC65,IF(Segment3_Rev_Methodology="Activity-Based",AC115,IF(Segment3_Rev_Methodology="Backlog",AC189,"--")))</f>
        <v>0</v>
      </c>
      <c r="AD38" s="233">
        <f>SUM(Z38:AC38)</f>
        <v>0</v>
      </c>
      <c r="AE38" s="233">
        <f>IF(Segment3_Rev_Methodology="Segment",AE65,IF(Segment3_Rev_Methodology="Activity-Based",AE115,IF(Segment3_Rev_Methodology="Backlog",AE189,"--")))</f>
        <v>0</v>
      </c>
      <c r="AF38" s="233">
        <f>IF(Segment3_Rev_Methodology="Segment",AF65,IF(Segment3_Rev_Methodology="Activity-Based",AF115,IF(Segment3_Rev_Methodology="Backlog",AF189,"--")))</f>
        <v>0</v>
      </c>
      <c r="AG38" s="233">
        <f>IF(Segment3_Rev_Methodology="Segment",AG65,IF(Segment3_Rev_Methodology="Activity-Based",AG115,IF(Segment3_Rev_Methodology="Backlog",AG189,"--")))</f>
        <v>0</v>
      </c>
      <c r="AH38" s="12"/>
      <c r="AI38" s="234" t="str">
        <f>IFERROR((T38/J38)^(1/3)-1,"--")</f>
        <v>--</v>
      </c>
      <c r="AJ38" s="235" t="str">
        <f>IFERROR((AG38/T38)^(1/5)-1,"--")</f>
        <v>--</v>
      </c>
    </row>
    <row r="39" spans="1:36" ht="12.75" customHeight="1" outlineLevel="1" collapsed="1">
      <c r="A39" s="236"/>
      <c r="B39" s="237"/>
      <c r="C39" s="89" t="s">
        <v>249</v>
      </c>
      <c r="D39" s="237"/>
      <c r="E39" s="237"/>
      <c r="F39" s="239"/>
      <c r="G39" s="240" t="str">
        <f>IF($C$25="Annual",'Segment Analysis'!G175,'Segment Analysis'!G195)</f>
        <v>N/A</v>
      </c>
      <c r="H39" s="240" t="str">
        <f>IF($C$25="Annual",'Segment Analysis'!H175,'Segment Analysis'!H195)</f>
        <v>N/A</v>
      </c>
      <c r="I39" s="240" t="str">
        <f>IF($C$25="Annual",'Segment Analysis'!I175,'Segment Analysis'!I195)</f>
        <v>N/A</v>
      </c>
      <c r="J39" s="241"/>
      <c r="K39" s="240" t="str">
        <f>IF($C$25="Annual",'Segment Analysis'!K175,'Segment Analysis'!K195)</f>
        <v>N/A</v>
      </c>
      <c r="L39" s="240" t="str">
        <f>IF($C$25="Annual",'Segment Analysis'!L175,'Segment Analysis'!L195)</f>
        <v>N/A</v>
      </c>
      <c r="M39" s="240" t="str">
        <f>IF($C$25="Annual",'Segment Analysis'!M175,'Segment Analysis'!M195)</f>
        <v>N/A</v>
      </c>
      <c r="N39" s="240" t="str">
        <f>IF($C$25="Annual",'Segment Analysis'!N175,'Segment Analysis'!N195)</f>
        <v>N/A</v>
      </c>
      <c r="O39" s="241">
        <f>IF($C$25="Annual",'Segment Analysis'!O175,'Segment Analysis'!O195)</f>
        <v>0</v>
      </c>
      <c r="P39" s="240" t="str">
        <f>IF($C$25="Annual",'Segment Analysis'!P175,'Segment Analysis'!P195)</f>
        <v>N/A</v>
      </c>
      <c r="Q39" s="240" t="str">
        <f>IF($C$25="Annual",'Segment Analysis'!Q175,'Segment Analysis'!Q195)</f>
        <v>N/A</v>
      </c>
      <c r="R39" s="240" t="str">
        <f>IF($C$25="Annual",'Segment Analysis'!R175,'Segment Analysis'!R195)</f>
        <v>N/A</v>
      </c>
      <c r="S39" s="240" t="str">
        <f>IF($C$25="Annual",'Segment Analysis'!S175,'Segment Analysis'!S195)</f>
        <v>N/A</v>
      </c>
      <c r="T39" s="241">
        <f>IF($C$25="Annual",'Segment Analysis'!T175,'Segment Analysis'!T195)</f>
        <v>0</v>
      </c>
      <c r="U39" s="240" t="str">
        <f>IF($C$25="Annual",'Segment Analysis'!U175,'Segment Analysis'!U195)</f>
        <v>N/A</v>
      </c>
      <c r="V39" s="240" t="str">
        <f>IF($C$25="Annual",'Segment Analysis'!V175,'Segment Analysis'!V195)</f>
        <v>N/A</v>
      </c>
      <c r="W39" s="240" t="str">
        <f>IF($C$25="Annual",'Segment Analysis'!W175,'Segment Analysis'!W195)</f>
        <v>N/A</v>
      </c>
      <c r="X39" s="242" t="str">
        <f>IFERROR(X38/W38-1,"--")</f>
        <v>--</v>
      </c>
      <c r="Y39" s="243" t="str">
        <f>IFERROR(Y38/T38-1,"--")</f>
        <v>--</v>
      </c>
      <c r="Z39" s="242" t="str">
        <f>IFERROR(Z38/X38-1,"--")</f>
        <v>--</v>
      </c>
      <c r="AA39" s="242" t="str">
        <f t="shared" ref="AA39:AC39" si="10">IFERROR(AA38/Z38-1,"--")</f>
        <v>--</v>
      </c>
      <c r="AB39" s="242" t="str">
        <f t="shared" si="10"/>
        <v>--</v>
      </c>
      <c r="AC39" s="242" t="str">
        <f t="shared" si="10"/>
        <v>--</v>
      </c>
      <c r="AD39" s="243" t="str">
        <f>IFERROR(AD38/Y38-1,"--")</f>
        <v>--</v>
      </c>
      <c r="AE39" s="243" t="str">
        <f t="shared" ref="AE39:AG39" si="11">IFERROR(AE38/AD38-1,"--")</f>
        <v>--</v>
      </c>
      <c r="AF39" s="243" t="str">
        <f t="shared" si="11"/>
        <v>--</v>
      </c>
      <c r="AG39" s="243" t="str">
        <f t="shared" si="11"/>
        <v>--</v>
      </c>
      <c r="AH39" s="237"/>
      <c r="AI39" s="244"/>
      <c r="AJ39" s="245"/>
    </row>
    <row r="40" spans="1:36" ht="12.75" customHeight="1" outlineLevel="1" collapsed="1">
      <c r="A40" s="236"/>
      <c r="B40" s="237"/>
      <c r="C40" s="89" t="s">
        <v>248</v>
      </c>
      <c r="D40" s="237"/>
      <c r="E40" s="237"/>
      <c r="F40" s="240">
        <f>'Segment Analysis'!F18</f>
        <v>0</v>
      </c>
      <c r="G40" s="240">
        <f>'Segment Analysis'!G18</f>
        <v>0</v>
      </c>
      <c r="H40" s="240">
        <f>'Segment Analysis'!H18</f>
        <v>0</v>
      </c>
      <c r="I40" s="240">
        <f>'Segment Analysis'!I18</f>
        <v>0</v>
      </c>
      <c r="J40" s="241">
        <f>'Segment Analysis'!J18</f>
        <v>0</v>
      </c>
      <c r="K40" s="240">
        <f>'Segment Analysis'!K18</f>
        <v>0</v>
      </c>
      <c r="L40" s="240">
        <f>'Segment Analysis'!L18</f>
        <v>0</v>
      </c>
      <c r="M40" s="240">
        <f>'Segment Analysis'!M18</f>
        <v>0</v>
      </c>
      <c r="N40" s="240">
        <f>'Segment Analysis'!N18</f>
        <v>0</v>
      </c>
      <c r="O40" s="241">
        <f>'Segment Analysis'!O18</f>
        <v>0</v>
      </c>
      <c r="P40" s="240">
        <f>'Segment Analysis'!P18</f>
        <v>0</v>
      </c>
      <c r="Q40" s="240">
        <f>'Segment Analysis'!Q18</f>
        <v>0</v>
      </c>
      <c r="R40" s="240">
        <f>'Segment Analysis'!R18</f>
        <v>0</v>
      </c>
      <c r="S40" s="240">
        <f>'Segment Analysis'!S18</f>
        <v>0</v>
      </c>
      <c r="T40" s="241">
        <f>'Segment Analysis'!T18</f>
        <v>0</v>
      </c>
      <c r="U40" s="240">
        <f>'Segment Analysis'!U18</f>
        <v>0</v>
      </c>
      <c r="V40" s="240">
        <f>'Segment Analysis'!V18</f>
        <v>0</v>
      </c>
      <c r="W40" s="240">
        <f>'Segment Analysis'!W18</f>
        <v>0</v>
      </c>
      <c r="X40" s="242">
        <f t="shared" ref="X40:AG40" si="12">X38/X$30</f>
        <v>0</v>
      </c>
      <c r="Y40" s="243">
        <f t="shared" si="12"/>
        <v>0</v>
      </c>
      <c r="Z40" s="242">
        <f t="shared" si="12"/>
        <v>0</v>
      </c>
      <c r="AA40" s="242">
        <f t="shared" si="12"/>
        <v>0</v>
      </c>
      <c r="AB40" s="242">
        <f t="shared" si="12"/>
        <v>0</v>
      </c>
      <c r="AC40" s="242">
        <f t="shared" si="12"/>
        <v>0</v>
      </c>
      <c r="AD40" s="243">
        <f t="shared" si="12"/>
        <v>0</v>
      </c>
      <c r="AE40" s="243">
        <f t="shared" si="12"/>
        <v>0</v>
      </c>
      <c r="AF40" s="243">
        <f t="shared" si="12"/>
        <v>0</v>
      </c>
      <c r="AG40" s="243">
        <f t="shared" si="12"/>
        <v>0</v>
      </c>
      <c r="AH40" s="237"/>
      <c r="AI40" s="244"/>
      <c r="AJ40" s="245"/>
    </row>
    <row r="41" spans="1:36" ht="12.75" customHeight="1" outlineLevel="1" collapsed="1">
      <c r="A41" s="12"/>
      <c r="B41" s="12"/>
      <c r="C41" s="12" t="str">
        <f>'Segment Analysis'!C11</f>
        <v>Segment 4 Revenue</v>
      </c>
      <c r="D41" s="12"/>
      <c r="E41" s="12"/>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0">
        <f>'Segment Analysis'!U11</f>
        <v>0</v>
      </c>
      <c r="V41" s="230">
        <f>'Segment Analysis'!V11</f>
        <v>0</v>
      </c>
      <c r="W41" s="230">
        <f>'Segment Analysis'!W11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12"/>
      <c r="AI41" s="234" t="str">
        <f>IFERROR((T41/J41)^(1/3)-1,"--")</f>
        <v>--</v>
      </c>
      <c r="AJ41" s="235" t="str">
        <f>IFERROR((AG41/T41)^(1/5)-1,"--")</f>
        <v>--</v>
      </c>
    </row>
    <row r="42" spans="1:36" ht="12.75" customHeight="1" outlineLevel="1" collapsed="1">
      <c r="A42" s="236"/>
      <c r="B42" s="237"/>
      <c r="C42" s="89" t="s">
        <v>249</v>
      </c>
      <c r="D42" s="237"/>
      <c r="E42" s="237"/>
      <c r="F42" s="239"/>
      <c r="G42" s="240" t="str">
        <f>IF($C$25="Annual",'Segment Analysis'!G176,'Segment Analysis'!G196)</f>
        <v>N/A</v>
      </c>
      <c r="H42" s="240" t="str">
        <f>IF($C$25="Annual",'Segment Analysis'!H176,'Segment Analysis'!H196)</f>
        <v>N/A</v>
      </c>
      <c r="I42" s="240" t="str">
        <f>IF($C$25="Annual",'Segment Analysis'!I176,'Segment Analysis'!I196)</f>
        <v>N/A</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f>IF($C$25="Annual",'Segment Analysis'!O176,'Segment Analysis'!O196)</f>
        <v>0</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f>IF($C$25="Annual",'Segment Analysis'!T176,'Segment Analysis'!T196)</f>
        <v>0</v>
      </c>
      <c r="U42" s="240" t="str">
        <f>IF($C$25="Annual",'Segment Analysis'!U176,'Segment Analysis'!U196)</f>
        <v>N/A</v>
      </c>
      <c r="V42" s="240" t="str">
        <f>IF($C$25="Annual",'Segment Analysis'!V176,'Segment Analysis'!V196)</f>
        <v>N/A</v>
      </c>
      <c r="W42" s="240" t="str">
        <f>IF($C$25="Annual",'Segment Analysis'!W176,'Segment Analysis'!W196)</f>
        <v>N/A</v>
      </c>
      <c r="X42" s="242" t="str">
        <f>IFERROR(X41/W41-1,"--")</f>
        <v>--</v>
      </c>
      <c r="Y42" s="243" t="str">
        <f>IFERROR(Y41/T41-1,"--")</f>
        <v>--</v>
      </c>
      <c r="Z42" s="242" t="str">
        <f>IFERROR(Z41/X41-1,"--")</f>
        <v>--</v>
      </c>
      <c r="AA42" s="242" t="str">
        <f t="shared" ref="AA42:AC42" si="13">IFERROR(AA41/Z41-1,"--")</f>
        <v>--</v>
      </c>
      <c r="AB42" s="242" t="str">
        <f t="shared" si="13"/>
        <v>--</v>
      </c>
      <c r="AC42" s="242" t="str">
        <f t="shared" si="13"/>
        <v>--</v>
      </c>
      <c r="AD42" s="243" t="str">
        <f>IFERROR(AD41/Y41-1,"--")</f>
        <v>--</v>
      </c>
      <c r="AE42" s="243" t="str">
        <f t="shared" ref="AE42:AG42" si="14">IFERROR(AE41/AD41-1,"--")</f>
        <v>--</v>
      </c>
      <c r="AF42" s="243" t="str">
        <f t="shared" si="14"/>
        <v>--</v>
      </c>
      <c r="AG42" s="243" t="str">
        <f t="shared" si="14"/>
        <v>--</v>
      </c>
      <c r="AH42" s="237"/>
      <c r="AI42" s="244"/>
      <c r="AJ42" s="245"/>
    </row>
    <row r="43" spans="1:36" ht="12.75" customHeight="1" outlineLevel="1" collapsed="1">
      <c r="A43" s="236"/>
      <c r="B43" s="237"/>
      <c r="C43" s="89" t="s">
        <v>248</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0">
        <f>'Segment Analysis'!U19</f>
        <v>0</v>
      </c>
      <c r="V43" s="240">
        <f>'Segment Analysis'!V19</f>
        <v>0</v>
      </c>
      <c r="W43" s="240">
        <f>'Segment Analysis'!W19</f>
        <v>0</v>
      </c>
      <c r="X43" s="242">
        <f t="shared" ref="X43:AG43" si="15">X41/X$30</f>
        <v>0</v>
      </c>
      <c r="Y43" s="243">
        <f t="shared" si="15"/>
        <v>0</v>
      </c>
      <c r="Z43" s="242">
        <f t="shared" si="15"/>
        <v>0</v>
      </c>
      <c r="AA43" s="242">
        <f t="shared" si="15"/>
        <v>0</v>
      </c>
      <c r="AB43" s="242">
        <f t="shared" si="15"/>
        <v>0</v>
      </c>
      <c r="AC43" s="242">
        <f t="shared" si="15"/>
        <v>0</v>
      </c>
      <c r="AD43" s="243">
        <f t="shared" si="15"/>
        <v>0</v>
      </c>
      <c r="AE43" s="243">
        <f t="shared" si="15"/>
        <v>0</v>
      </c>
      <c r="AF43" s="243">
        <f t="shared" si="15"/>
        <v>0</v>
      </c>
      <c r="AG43" s="243">
        <f t="shared" si="15"/>
        <v>0</v>
      </c>
      <c r="AH43" s="237"/>
      <c r="AI43" s="244"/>
      <c r="AJ43" s="245"/>
    </row>
    <row r="44" spans="1:36" ht="12.75" customHeight="1" outlineLevel="1" collapsed="1">
      <c r="A44" s="12"/>
      <c r="B44" s="12"/>
      <c r="C44" s="12" t="str">
        <f>'Segment Analysis'!C12</f>
        <v>Segment 5 Revenue</v>
      </c>
      <c r="D44" s="12"/>
      <c r="E44" s="12"/>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0">
        <f>'Segment Analysis'!U12</f>
        <v>0</v>
      </c>
      <c r="V44" s="230">
        <f>'Segment Analysis'!V12</f>
        <v>0</v>
      </c>
      <c r="W44" s="230">
        <f>'Segment Analysis'!W12</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12"/>
      <c r="AI44" s="234" t="str">
        <f>IFERROR((T44/J44)^(1/3)-1,"--")</f>
        <v>--</v>
      </c>
      <c r="AJ44" s="235" t="str">
        <f>IFERROR((AG44/T44)^(1/5)-1,"--")</f>
        <v>--</v>
      </c>
    </row>
    <row r="45" spans="1:36" ht="12.75" customHeight="1" outlineLevel="1" collapsed="1">
      <c r="A45" s="236"/>
      <c r="B45" s="237"/>
      <c r="C45" s="89" t="s">
        <v>249</v>
      </c>
      <c r="D45" s="237"/>
      <c r="E45" s="237"/>
      <c r="F45" s="239"/>
      <c r="G45" s="240" t="str">
        <f>IF($C$25="Annual",'Segment Analysis'!G177,'Segment Analysis'!G197)</f>
        <v>N/A</v>
      </c>
      <c r="H45" s="240" t="str">
        <f>IF($C$25="Annual",'Segment Analysis'!H177,'Segment Analysis'!H197)</f>
        <v>N/A</v>
      </c>
      <c r="I45" s="240" t="str">
        <f>IF($C$25="Annual",'Segment Analysis'!I177,'Segment Analysis'!I197)</f>
        <v>N/A</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f>IF($C$25="Annual",'Segment Analysis'!O177,'Segment Analysis'!O197)</f>
        <v>0</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f>IF($C$25="Annual",'Segment Analysis'!T177,'Segment Analysis'!T197)</f>
        <v>0</v>
      </c>
      <c r="U45" s="240" t="str">
        <f>IF($C$25="Annual",'Segment Analysis'!U177,'Segment Analysis'!U197)</f>
        <v>N/A</v>
      </c>
      <c r="V45" s="240" t="str">
        <f>IF($C$25="Annual",'Segment Analysis'!V177,'Segment Analysis'!V197)</f>
        <v>N/A</v>
      </c>
      <c r="W45" s="240" t="str">
        <f>IF($C$25="Annual",'Segment Analysis'!W177,'Segment Analysis'!W197)</f>
        <v>N/A</v>
      </c>
      <c r="X45" s="242" t="str">
        <f>IFERROR(X44/W44-1,"--")</f>
        <v>--</v>
      </c>
      <c r="Y45" s="243" t="str">
        <f>IFERROR(Y44/T44-1,"--")</f>
        <v>--</v>
      </c>
      <c r="Z45" s="242" t="str">
        <f>IFERROR(Z44/X44-1,"--")</f>
        <v>--</v>
      </c>
      <c r="AA45" s="242" t="str">
        <f t="shared" ref="AA45:AC45" si="16">IFERROR(AA44/Z44-1,"--")</f>
        <v>--</v>
      </c>
      <c r="AB45" s="242" t="str">
        <f t="shared" si="16"/>
        <v>--</v>
      </c>
      <c r="AC45" s="242" t="str">
        <f t="shared" si="16"/>
        <v>--</v>
      </c>
      <c r="AD45" s="243" t="str">
        <f>IFERROR(AD44/Y44-1,"--")</f>
        <v>--</v>
      </c>
      <c r="AE45" s="243" t="str">
        <f t="shared" ref="AE45:AG45" si="17">IFERROR(AE44/AD44-1,"--")</f>
        <v>--</v>
      </c>
      <c r="AF45" s="243" t="str">
        <f t="shared" si="17"/>
        <v>--</v>
      </c>
      <c r="AG45" s="243" t="str">
        <f t="shared" si="17"/>
        <v>--</v>
      </c>
      <c r="AH45" s="237"/>
      <c r="AI45" s="244"/>
      <c r="AJ45" s="245"/>
    </row>
    <row r="46" spans="1:36" ht="12.75" customHeight="1" outlineLevel="1" collapsed="1">
      <c r="A46" s="236"/>
      <c r="B46" s="237"/>
      <c r="C46" s="89" t="s">
        <v>248</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0">
        <f>'Segment Analysis'!U20</f>
        <v>0</v>
      </c>
      <c r="V46" s="240">
        <f>'Segment Analysis'!V20</f>
        <v>0</v>
      </c>
      <c r="W46" s="240">
        <f>'Segment Analysis'!W20</f>
        <v>0</v>
      </c>
      <c r="X46" s="242">
        <f t="shared" ref="X46:AG46" si="18">X44/X$30</f>
        <v>0</v>
      </c>
      <c r="Y46" s="243">
        <f t="shared" si="18"/>
        <v>0</v>
      </c>
      <c r="Z46" s="242">
        <f t="shared" si="18"/>
        <v>0</v>
      </c>
      <c r="AA46" s="242">
        <f t="shared" si="18"/>
        <v>0</v>
      </c>
      <c r="AB46" s="242">
        <f t="shared" si="18"/>
        <v>0</v>
      </c>
      <c r="AC46" s="242">
        <f t="shared" si="18"/>
        <v>0</v>
      </c>
      <c r="AD46" s="243">
        <f t="shared" si="18"/>
        <v>0</v>
      </c>
      <c r="AE46" s="243">
        <f t="shared" si="18"/>
        <v>0</v>
      </c>
      <c r="AF46" s="243">
        <f t="shared" si="18"/>
        <v>0</v>
      </c>
      <c r="AG46" s="243">
        <f t="shared" si="18"/>
        <v>0</v>
      </c>
      <c r="AH46" s="237"/>
      <c r="AI46" s="244"/>
      <c r="AJ46" s="245"/>
    </row>
    <row r="47" spans="1:36" ht="12.75" customHeight="1" outlineLevel="1" collapsed="1">
      <c r="A47" s="12"/>
      <c r="B47" s="12"/>
      <c r="C47" s="12" t="str">
        <f>'Segment Analysis'!C13</f>
        <v>Segment 6 Revenue</v>
      </c>
      <c r="D47" s="12"/>
      <c r="E47" s="12"/>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0">
        <f>'Segment Analysis'!U13</f>
        <v>0</v>
      </c>
      <c r="V47" s="230">
        <f>'Segment Analysis'!V13</f>
        <v>0</v>
      </c>
      <c r="W47" s="230">
        <f>'Segment Analysis'!W13</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12"/>
      <c r="AI47" s="234" t="str">
        <f>IFERROR((T47/J47)^(1/3)-1,"--")</f>
        <v>--</v>
      </c>
      <c r="AJ47" s="235" t="str">
        <f>IFERROR((AG47/T47)^(1/5)-1,"--")</f>
        <v>--</v>
      </c>
    </row>
    <row r="48" spans="1:36" ht="12.75" customHeight="1" outlineLevel="1" collapsed="1">
      <c r="A48" s="248"/>
      <c r="B48" s="249"/>
      <c r="C48" s="89" t="s">
        <v>249</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0" t="str">
        <f>IF($C$25="Annual",'Segment Analysis'!U198,'Segment Analysis'!U198)</f>
        <v>N/A</v>
      </c>
      <c r="V48" s="240" t="str">
        <f>IF($C$25="Annual",'Segment Analysis'!V198,'Segment Analysis'!V198)</f>
        <v>N/A</v>
      </c>
      <c r="W48" s="240" t="str">
        <f>IF($C$25="Annual",'Segment Analysis'!W198,'Segment Analysis'!W198)</f>
        <v>N/A</v>
      </c>
      <c r="X48" s="251" t="str">
        <f>IFERROR(X47/W47-1,"--")</f>
        <v>--</v>
      </c>
      <c r="Y48" s="252" t="str">
        <f>IFERROR(Y47/T47-1,"--")</f>
        <v>--</v>
      </c>
      <c r="Z48" s="251" t="str">
        <f>IFERROR(Z47/X47-1,"--")</f>
        <v>--</v>
      </c>
      <c r="AA48" s="251" t="str">
        <f t="shared" ref="AA48:AC48" si="19">IFERROR(AA47/Z47-1,"--")</f>
        <v>--</v>
      </c>
      <c r="AB48" s="251" t="str">
        <f t="shared" si="19"/>
        <v>--</v>
      </c>
      <c r="AC48" s="251" t="str">
        <f t="shared" si="19"/>
        <v>--</v>
      </c>
      <c r="AD48" s="252" t="str">
        <f>IFERROR(AD47/Y47-1,"--")</f>
        <v>--</v>
      </c>
      <c r="AE48" s="252" t="str">
        <f t="shared" ref="AE48:AG48" si="20">IFERROR(AE47/AD47-1,"--")</f>
        <v>--</v>
      </c>
      <c r="AF48" s="252" t="str">
        <f t="shared" si="20"/>
        <v>--</v>
      </c>
      <c r="AG48" s="252" t="str">
        <f t="shared" si="20"/>
        <v>--</v>
      </c>
      <c r="AH48" s="249"/>
      <c r="AI48" s="253"/>
      <c r="AJ48" s="254"/>
    </row>
    <row r="49" spans="1:36" ht="12.75" customHeight="1" outlineLevel="1" collapsed="1">
      <c r="A49" s="248"/>
      <c r="B49" s="249"/>
      <c r="C49" s="89" t="s">
        <v>248</v>
      </c>
      <c r="D49" s="249"/>
      <c r="E49" s="249"/>
      <c r="F49" s="255">
        <f>'Segment Analysis'!F21</f>
        <v>0</v>
      </c>
      <c r="G49" s="255">
        <f>'Segment Analysis'!G21</f>
        <v>0</v>
      </c>
      <c r="H49" s="255">
        <f>'Segment Analysis'!H21</f>
        <v>0</v>
      </c>
      <c r="I49" s="255">
        <f>'Segment Analysis'!I21</f>
        <v>0</v>
      </c>
      <c r="J49" s="256">
        <f>'Segment Analysis'!J21</f>
        <v>0</v>
      </c>
      <c r="K49" s="255">
        <f>'Segment Analysis'!K21</f>
        <v>0</v>
      </c>
      <c r="L49" s="255">
        <f>'Segment Analysis'!L21</f>
        <v>0</v>
      </c>
      <c r="M49" s="255">
        <f>'Segment Analysis'!M21</f>
        <v>0</v>
      </c>
      <c r="N49" s="255">
        <f>'Segment Analysis'!N21</f>
        <v>0</v>
      </c>
      <c r="O49" s="256">
        <f>'Segment Analysis'!O21</f>
        <v>0</v>
      </c>
      <c r="P49" s="255">
        <f>'Segment Analysis'!P21</f>
        <v>0</v>
      </c>
      <c r="Q49" s="255">
        <f>'Segment Analysis'!Q21</f>
        <v>0</v>
      </c>
      <c r="R49" s="255">
        <f>'Segment Analysis'!R21</f>
        <v>0</v>
      </c>
      <c r="S49" s="255">
        <f>'Segment Analysis'!S21</f>
        <v>0</v>
      </c>
      <c r="T49" s="256">
        <f>'Segment Analysis'!T21</f>
        <v>0</v>
      </c>
      <c r="U49" s="255">
        <f>'Segment Analysis'!U21</f>
        <v>0</v>
      </c>
      <c r="V49" s="255">
        <f>'Segment Analysis'!V21</f>
        <v>0</v>
      </c>
      <c r="W49" s="255">
        <f>'Segment Analysis'!W21</f>
        <v>0</v>
      </c>
      <c r="X49" s="251">
        <f t="shared" ref="X49:AG49" si="21">X47/X$30</f>
        <v>0</v>
      </c>
      <c r="Y49" s="252">
        <f t="shared" si="21"/>
        <v>0</v>
      </c>
      <c r="Z49" s="251">
        <f t="shared" si="21"/>
        <v>0</v>
      </c>
      <c r="AA49" s="251">
        <f t="shared" si="21"/>
        <v>0</v>
      </c>
      <c r="AB49" s="251">
        <f t="shared" si="21"/>
        <v>0</v>
      </c>
      <c r="AC49" s="251">
        <f t="shared" si="21"/>
        <v>0</v>
      </c>
      <c r="AD49" s="252">
        <f t="shared" si="21"/>
        <v>0</v>
      </c>
      <c r="AE49" s="252">
        <f t="shared" si="21"/>
        <v>0</v>
      </c>
      <c r="AF49" s="252">
        <f t="shared" si="21"/>
        <v>0</v>
      </c>
      <c r="AG49" s="252">
        <f t="shared" si="21"/>
        <v>0</v>
      </c>
      <c r="AH49" s="249"/>
      <c r="AI49" s="257"/>
      <c r="AJ49" s="258"/>
    </row>
    <row r="50" spans="1:36" ht="12.75" customHeight="1">
      <c r="A50" s="12"/>
      <c r="B50" s="12"/>
      <c r="C50" s="12"/>
      <c r="D50" s="12"/>
      <c r="E50" s="12"/>
      <c r="F50" s="225"/>
      <c r="G50" s="225"/>
      <c r="H50" s="225"/>
      <c r="I50" s="225"/>
      <c r="J50" s="226"/>
      <c r="K50" s="225"/>
      <c r="L50" s="225"/>
      <c r="M50" s="225"/>
      <c r="N50" s="225"/>
      <c r="O50" s="226"/>
      <c r="P50" s="225"/>
      <c r="Q50" s="225"/>
      <c r="R50" s="225"/>
      <c r="S50" s="225"/>
      <c r="T50" s="226"/>
      <c r="U50" s="225"/>
      <c r="V50" s="225"/>
      <c r="W50" s="225"/>
      <c r="X50" s="227"/>
      <c r="Y50" s="228"/>
      <c r="Z50" s="227"/>
      <c r="AA50" s="227"/>
      <c r="AB50" s="227"/>
      <c r="AC50" s="227"/>
      <c r="AD50" s="228"/>
      <c r="AE50" s="228"/>
      <c r="AF50" s="228"/>
      <c r="AG50" s="228"/>
      <c r="AH50" s="12"/>
      <c r="AI50" s="12"/>
      <c r="AJ50" s="12"/>
    </row>
    <row r="51" spans="1:36" ht="12.75" customHeight="1">
      <c r="A51" s="211" t="s">
        <v>1</v>
      </c>
      <c r="B51" s="12"/>
      <c r="C51" s="55" t="s">
        <v>250</v>
      </c>
      <c r="D51" s="15"/>
      <c r="E51" s="15"/>
      <c r="F51" s="259" t="str">
        <f t="shared" ref="F51:AG51" si="22">F$28</f>
        <v>1Q23</v>
      </c>
      <c r="G51" s="259" t="str">
        <f t="shared" si="22"/>
        <v>2Q23</v>
      </c>
      <c r="H51" s="259" t="str">
        <f t="shared" si="22"/>
        <v>3Q23</v>
      </c>
      <c r="I51" s="259" t="str">
        <f t="shared" si="22"/>
        <v>4Q23</v>
      </c>
      <c r="J51" s="259">
        <f t="shared" si="22"/>
        <v>2023</v>
      </c>
      <c r="K51" s="259" t="str">
        <f t="shared" si="22"/>
        <v>1Q24</v>
      </c>
      <c r="L51" s="259" t="str">
        <f t="shared" si="22"/>
        <v>2Q24</v>
      </c>
      <c r="M51" s="259" t="str">
        <f t="shared" si="22"/>
        <v>3Q24</v>
      </c>
      <c r="N51" s="259" t="str">
        <f t="shared" si="22"/>
        <v>4Q24</v>
      </c>
      <c r="O51" s="259">
        <f t="shared" si="22"/>
        <v>2024</v>
      </c>
      <c r="P51" s="259" t="str">
        <f t="shared" si="22"/>
        <v>1Q25</v>
      </c>
      <c r="Q51" s="259" t="str">
        <f t="shared" si="22"/>
        <v>2Q25</v>
      </c>
      <c r="R51" s="259" t="str">
        <f t="shared" si="22"/>
        <v>3Q25</v>
      </c>
      <c r="S51" s="259" t="str">
        <f t="shared" si="22"/>
        <v>4Q25</v>
      </c>
      <c r="T51" s="259">
        <f t="shared" si="22"/>
        <v>2025</v>
      </c>
      <c r="U51" s="259" t="str">
        <f t="shared" si="22"/>
        <v>1Q26</v>
      </c>
      <c r="V51" s="259" t="str">
        <f t="shared" si="22"/>
        <v>2Q26</v>
      </c>
      <c r="W51" s="259" t="str">
        <f t="shared" si="22"/>
        <v>3Q26e</v>
      </c>
      <c r="X51" s="259" t="str">
        <f t="shared" si="22"/>
        <v>4Q26e</v>
      </c>
      <c r="Y51" s="259" t="str">
        <f t="shared" si="22"/>
        <v>2026e</v>
      </c>
      <c r="Z51" s="259" t="str">
        <f t="shared" si="22"/>
        <v>1Q27e</v>
      </c>
      <c r="AA51" s="259" t="str">
        <f t="shared" si="22"/>
        <v>2Q27e</v>
      </c>
      <c r="AB51" s="259" t="str">
        <f t="shared" si="22"/>
        <v>3Q27e</v>
      </c>
      <c r="AC51" s="259" t="str">
        <f t="shared" si="22"/>
        <v>4Q27e</v>
      </c>
      <c r="AD51" s="259" t="str">
        <f t="shared" si="22"/>
        <v>2027e</v>
      </c>
      <c r="AE51" s="259" t="str">
        <f t="shared" si="22"/>
        <v>2028e</v>
      </c>
      <c r="AF51" s="259" t="str">
        <f t="shared" si="22"/>
        <v>2029e</v>
      </c>
      <c r="AG51" s="260" t="str">
        <f t="shared" si="22"/>
        <v>2030e</v>
      </c>
      <c r="AH51" s="223" t="s">
        <v>1</v>
      </c>
      <c r="AI51" s="12"/>
      <c r="AJ51" s="12"/>
    </row>
    <row r="52" spans="1:36" ht="12.75" customHeight="1">
      <c r="A52" s="12"/>
      <c r="B52" s="12"/>
      <c r="C52" s="12"/>
      <c r="D52" s="12"/>
      <c r="E52" s="12"/>
      <c r="F52" s="261"/>
      <c r="G52" s="261"/>
      <c r="H52" s="261"/>
      <c r="I52" s="261"/>
      <c r="J52" s="12"/>
      <c r="K52" s="261"/>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row>
    <row r="53" spans="1:36" ht="12.75" customHeight="1">
      <c r="A53" s="12"/>
      <c r="B53" s="12"/>
      <c r="C53" s="108" t="str">
        <f>C32</f>
        <v>Home Improvement Retail Revenue</v>
      </c>
      <c r="D53" s="12"/>
      <c r="E53" s="12"/>
      <c r="F53" s="263">
        <f t="shared" ref="F53:W53" si="23">F32</f>
        <v>8161.5029999999997</v>
      </c>
      <c r="G53" s="263">
        <f t="shared" si="23"/>
        <v>8187.3010000000004</v>
      </c>
      <c r="H53" s="263">
        <f t="shared" si="23"/>
        <v>8541.6679999999997</v>
      </c>
      <c r="I53" s="263">
        <f t="shared" si="23"/>
        <v>8832.8250000000007</v>
      </c>
      <c r="J53" s="233">
        <f t="shared" si="23"/>
        <v>33723.297000000006</v>
      </c>
      <c r="K53" s="263">
        <f t="shared" si="23"/>
        <v>9370.44</v>
      </c>
      <c r="L53" s="263">
        <f t="shared" si="23"/>
        <v>9559.31</v>
      </c>
      <c r="M53" s="263">
        <f t="shared" si="23"/>
        <v>9824.7029999999995</v>
      </c>
      <c r="N53" s="263">
        <f t="shared" si="23"/>
        <v>10246.513000000001</v>
      </c>
      <c r="O53" s="233">
        <f t="shared" si="23"/>
        <v>39000.966</v>
      </c>
      <c r="P53" s="263">
        <f t="shared" si="23"/>
        <v>10542.800999999999</v>
      </c>
      <c r="Q53" s="263">
        <f t="shared" si="23"/>
        <v>11079.165999999999</v>
      </c>
      <c r="R53" s="263">
        <f t="shared" si="23"/>
        <v>11510.307000000001</v>
      </c>
      <c r="S53" s="263">
        <f t="shared" si="23"/>
        <v>12050.762000000001</v>
      </c>
      <c r="T53" s="233">
        <f t="shared" si="23"/>
        <v>45183.036</v>
      </c>
      <c r="U53" s="263">
        <f t="shared" si="23"/>
        <v>12249.757</v>
      </c>
      <c r="V53" s="263">
        <f t="shared" si="23"/>
        <v>27570</v>
      </c>
      <c r="W53" s="263">
        <f t="shared" si="23"/>
        <v>22918</v>
      </c>
      <c r="X53" s="232">
        <f>IF($C$25="Quarterly",W53*(1+X54),S53*(1+X54))</f>
        <v>21772.1</v>
      </c>
      <c r="Y53" s="233">
        <f>SUM(U53:X53)</f>
        <v>84509.856999999989</v>
      </c>
      <c r="Z53" s="232">
        <f>IF($C$25="Quarterly",X53*(1+Z54),U53*(1+Z54))</f>
        <v>25691.077999999998</v>
      </c>
      <c r="AA53" s="232">
        <f t="shared" ref="AA53:AC53" si="24">IF($C$25="Quarterly",Z53*(1+AA54),V53*(1+AA54))</f>
        <v>29287.82892</v>
      </c>
      <c r="AB53" s="232">
        <f t="shared" si="24"/>
        <v>25773.289449600001</v>
      </c>
      <c r="AC53" s="232">
        <f t="shared" si="24"/>
        <v>24484.624977119998</v>
      </c>
      <c r="AD53" s="233">
        <f>SUM(Z53:AC53)</f>
        <v>105236.82134671998</v>
      </c>
      <c r="AE53" s="233">
        <f t="shared" ref="AE53:AG53" si="25">AD53*(1+AE54)</f>
        <v>107341.55777365438</v>
      </c>
      <c r="AF53" s="233">
        <f t="shared" si="25"/>
        <v>109488.38892912747</v>
      </c>
      <c r="AG53" s="233">
        <f t="shared" si="25"/>
        <v>111678.15670771002</v>
      </c>
      <c r="AH53" s="12"/>
      <c r="AI53" s="12"/>
      <c r="AJ53" s="12"/>
    </row>
    <row r="54" spans="1:36" ht="12.75" customHeight="1">
      <c r="A54" s="249"/>
      <c r="B54" s="249"/>
      <c r="C54" s="89" t="str">
        <f>IF($C$25="Quarterly","% Growth QoQ","% Growth YoY")</f>
        <v>% Growth QoQ</v>
      </c>
      <c r="D54" s="249"/>
      <c r="E54" s="249"/>
      <c r="F54" s="264"/>
      <c r="G54" s="264">
        <f t="shared" ref="G54:W54" si="26">G33</f>
        <v>3.1609373910663763E-3</v>
      </c>
      <c r="H54" s="264">
        <f t="shared" si="26"/>
        <v>4.3282517645314211E-2</v>
      </c>
      <c r="I54" s="264">
        <f t="shared" si="26"/>
        <v>3.4086667849886121E-2</v>
      </c>
      <c r="J54" s="252">
        <f t="shared" si="26"/>
        <v>0</v>
      </c>
      <c r="K54" s="264">
        <f t="shared" si="26"/>
        <v>6.0865578113457497E-2</v>
      </c>
      <c r="L54" s="264">
        <f t="shared" si="26"/>
        <v>2.0155937181178141E-2</v>
      </c>
      <c r="M54" s="264">
        <f t="shared" si="26"/>
        <v>2.7762777857397669E-2</v>
      </c>
      <c r="N54" s="264">
        <f t="shared" si="26"/>
        <v>4.2933613362154732E-2</v>
      </c>
      <c r="O54" s="252">
        <f t="shared" si="26"/>
        <v>0</v>
      </c>
      <c r="P54" s="264">
        <f t="shared" si="26"/>
        <v>2.8915983417968416E-2</v>
      </c>
      <c r="Q54" s="264">
        <f t="shared" si="26"/>
        <v>5.0874999917005059E-2</v>
      </c>
      <c r="R54" s="264">
        <f t="shared" si="26"/>
        <v>3.8914571728594138E-2</v>
      </c>
      <c r="S54" s="264">
        <f t="shared" si="26"/>
        <v>4.6954003920138598E-2</v>
      </c>
      <c r="T54" s="252">
        <f t="shared" si="26"/>
        <v>0</v>
      </c>
      <c r="U54" s="264">
        <f t="shared" si="26"/>
        <v>1.6513063655227755E-2</v>
      </c>
      <c r="V54" s="264">
        <f t="shared" si="26"/>
        <v>1.2506568905815847</v>
      </c>
      <c r="W54" s="264">
        <f t="shared" si="26"/>
        <v>-0.16873413130213999</v>
      </c>
      <c r="X54" s="251">
        <f>IF(Case_Scenario="Bull",X55,IF(Case_Scenario="Base",X56,IF(Case_Scenario="bear",X57,"N/A")))</f>
        <v>-0.05</v>
      </c>
      <c r="Y54" s="252"/>
      <c r="Z54" s="251">
        <f>IF(Case_Scenario="Bull",Z55,IF(Case_Scenario="Base",Z56,IF(Case_Scenario="bear",Z57,"N/A")))</f>
        <v>0.18</v>
      </c>
      <c r="AA54" s="251">
        <f>IF(Case_Scenario="Bull",AA55,IF(Case_Scenario="Base",AA56,IF(Case_Scenario="bear",AA57,"N/A")))</f>
        <v>0.14000000000000001</v>
      </c>
      <c r="AB54" s="251">
        <f>IF(Case_Scenario="Bull",AB55,IF(Case_Scenario="Base",AB56,IF(Case_Scenario="bear",AB57,"N/A")))</f>
        <v>-0.12</v>
      </c>
      <c r="AC54" s="251">
        <f>IF(Case_Scenario="Bull",AC55,IF(Case_Scenario="Base",AC56,IF(Case_Scenario="bear",AC57,"N/A")))</f>
        <v>-0.05</v>
      </c>
      <c r="AD54" s="252"/>
      <c r="AE54" s="252">
        <f>IF(Case_Scenario="Bull",AE55,IF(Case_Scenario="Base",AE56,IF(Case_Scenario="bear",AE57,"N/A")))</f>
        <v>0.02</v>
      </c>
      <c r="AF54" s="252">
        <f>IF(Case_Scenario="Bull",AF55,IF(Case_Scenario="Base",AF56,IF(Case_Scenario="bear",AF57,"N/A")))</f>
        <v>0.02</v>
      </c>
      <c r="AG54" s="252">
        <f>IF(Case_Scenario="Bull",AG55,IF(Case_Scenario="Base",AG56,IF(Case_Scenario="bear",AG57,"N/A")))</f>
        <v>0.02</v>
      </c>
      <c r="AH54" s="249"/>
      <c r="AI54" s="249"/>
      <c r="AJ54" s="249"/>
    </row>
    <row r="55" spans="1:36" ht="12.75" customHeight="1">
      <c r="A55" s="12"/>
      <c r="B55" s="12"/>
      <c r="C55" s="108" t="s">
        <v>251</v>
      </c>
      <c r="D55" s="12"/>
      <c r="E55" s="12"/>
      <c r="F55" s="265"/>
      <c r="G55" s="265"/>
      <c r="H55" s="265"/>
      <c r="I55" s="265"/>
      <c r="J55" s="137"/>
      <c r="K55" s="265"/>
      <c r="L55" s="265"/>
      <c r="M55" s="265"/>
      <c r="N55" s="265"/>
      <c r="O55" s="137"/>
      <c r="P55" s="265"/>
      <c r="Q55" s="265"/>
      <c r="R55" s="265"/>
      <c r="S55" s="265"/>
      <c r="T55" s="137"/>
      <c r="U55" s="265"/>
      <c r="V55" s="265"/>
      <c r="W55" s="265"/>
      <c r="X55" s="266">
        <v>-0.05</v>
      </c>
      <c r="Y55" s="267"/>
      <c r="Z55" s="266">
        <v>0.12</v>
      </c>
      <c r="AA55" s="266">
        <v>0.17</v>
      </c>
      <c r="AB55" s="266">
        <v>-0.1</v>
      </c>
      <c r="AC55" s="266">
        <v>-0.05</v>
      </c>
      <c r="AD55" s="267"/>
      <c r="AE55" s="267">
        <v>0.02</v>
      </c>
      <c r="AF55" s="267">
        <v>0.02</v>
      </c>
      <c r="AG55" s="267">
        <v>0.02</v>
      </c>
      <c r="AH55" s="12"/>
      <c r="AI55" s="12"/>
      <c r="AJ55" s="12"/>
    </row>
    <row r="56" spans="1:36" ht="12.75" customHeight="1">
      <c r="A56" s="12"/>
      <c r="B56" s="12"/>
      <c r="C56" s="108" t="s">
        <v>252</v>
      </c>
      <c r="D56" s="12"/>
      <c r="E56" s="12"/>
      <c r="F56" s="265"/>
      <c r="G56" s="265"/>
      <c r="H56" s="265"/>
      <c r="I56" s="265"/>
      <c r="J56" s="137"/>
      <c r="K56" s="265"/>
      <c r="L56" s="265"/>
      <c r="M56" s="265"/>
      <c r="N56" s="265"/>
      <c r="O56" s="137"/>
      <c r="P56" s="265"/>
      <c r="Q56" s="265"/>
      <c r="R56" s="265"/>
      <c r="S56" s="265"/>
      <c r="T56" s="137"/>
      <c r="U56" s="265"/>
      <c r="V56" s="265"/>
      <c r="W56" s="265"/>
      <c r="X56" s="266">
        <v>-0.05</v>
      </c>
      <c r="Y56" s="267"/>
      <c r="Z56" s="266">
        <v>0.18</v>
      </c>
      <c r="AA56" s="266">
        <v>0.14000000000000001</v>
      </c>
      <c r="AB56" s="266">
        <v>-0.12</v>
      </c>
      <c r="AC56" s="266">
        <v>-0.05</v>
      </c>
      <c r="AD56" s="267"/>
      <c r="AE56" s="267">
        <v>0.02</v>
      </c>
      <c r="AF56" s="267">
        <v>0.02</v>
      </c>
      <c r="AG56" s="267">
        <v>0.02</v>
      </c>
      <c r="AH56" s="12"/>
      <c r="AI56" s="12"/>
      <c r="AJ56" s="12"/>
    </row>
    <row r="57" spans="1:36" ht="12.75" customHeight="1">
      <c r="A57" s="12"/>
      <c r="B57" s="12"/>
      <c r="C57" s="108" t="s">
        <v>253</v>
      </c>
      <c r="D57" s="12"/>
      <c r="E57" s="12"/>
      <c r="F57" s="265"/>
      <c r="G57" s="265"/>
      <c r="H57" s="265"/>
      <c r="I57" s="265"/>
      <c r="J57" s="137"/>
      <c r="K57" s="265"/>
      <c r="L57" s="265"/>
      <c r="M57" s="265"/>
      <c r="N57" s="265"/>
      <c r="O57" s="137"/>
      <c r="P57" s="265"/>
      <c r="Q57" s="265"/>
      <c r="R57" s="265"/>
      <c r="S57" s="265"/>
      <c r="T57" s="137"/>
      <c r="U57" s="265"/>
      <c r="V57" s="265"/>
      <c r="W57" s="265"/>
      <c r="X57" s="266">
        <v>-0.05</v>
      </c>
      <c r="Y57" s="267"/>
      <c r="Z57" s="266">
        <v>0.12</v>
      </c>
      <c r="AA57" s="266">
        <v>0.1</v>
      </c>
      <c r="AB57" s="266">
        <v>-0.05</v>
      </c>
      <c r="AC57" s="266">
        <v>-0.05</v>
      </c>
      <c r="AD57" s="267"/>
      <c r="AE57" s="267">
        <v>0.02</v>
      </c>
      <c r="AF57" s="267">
        <v>0.03</v>
      </c>
      <c r="AG57" s="267">
        <v>0.03</v>
      </c>
      <c r="AH57" s="12"/>
      <c r="AI57" s="12"/>
      <c r="AJ57" s="12"/>
    </row>
    <row r="58" spans="1:36" ht="12.75" customHeight="1">
      <c r="A58" s="12"/>
      <c r="B58" s="12"/>
      <c r="C58" s="12"/>
      <c r="D58" s="12"/>
      <c r="E58" s="12"/>
      <c r="F58" s="265"/>
      <c r="G58" s="265"/>
      <c r="H58" s="265"/>
      <c r="I58" s="265"/>
      <c r="J58" s="137"/>
      <c r="K58" s="265"/>
      <c r="L58" s="265"/>
      <c r="M58" s="265"/>
      <c r="N58" s="265"/>
      <c r="O58" s="137"/>
      <c r="P58" s="265"/>
      <c r="Q58" s="265"/>
      <c r="R58" s="265"/>
      <c r="S58" s="265"/>
      <c r="T58" s="137"/>
      <c r="U58" s="265"/>
      <c r="V58" s="265"/>
      <c r="W58" s="265"/>
      <c r="X58" s="268"/>
      <c r="Y58" s="137"/>
      <c r="Z58" s="268"/>
      <c r="AA58" s="268"/>
      <c r="AB58" s="268"/>
      <c r="AC58" s="268"/>
      <c r="AD58" s="137"/>
      <c r="AE58" s="137"/>
      <c r="AF58" s="137"/>
      <c r="AG58" s="137"/>
      <c r="AH58" s="12"/>
      <c r="AI58" s="12"/>
      <c r="AJ58" s="12"/>
    </row>
    <row r="59" spans="1:36" ht="12.75" customHeight="1">
      <c r="A59" s="211" t="s">
        <v>1</v>
      </c>
      <c r="B59" s="12"/>
      <c r="C59" s="108" t="str">
        <f>C35</f>
        <v>Segment 2 Revenue</v>
      </c>
      <c r="D59" s="12"/>
      <c r="E59" s="12"/>
      <c r="F59" s="263">
        <f t="shared" ref="F59:W59" si="27">F35</f>
        <v>0</v>
      </c>
      <c r="G59" s="263">
        <f t="shared" si="27"/>
        <v>0</v>
      </c>
      <c r="H59" s="263">
        <f t="shared" si="27"/>
        <v>0</v>
      </c>
      <c r="I59" s="263">
        <f t="shared" si="27"/>
        <v>0</v>
      </c>
      <c r="J59" s="233">
        <f t="shared" si="27"/>
        <v>0</v>
      </c>
      <c r="K59" s="263">
        <f t="shared" si="27"/>
        <v>0</v>
      </c>
      <c r="L59" s="263">
        <f t="shared" si="27"/>
        <v>0</v>
      </c>
      <c r="M59" s="263">
        <f t="shared" si="27"/>
        <v>0</v>
      </c>
      <c r="N59" s="263">
        <f t="shared" si="27"/>
        <v>0</v>
      </c>
      <c r="O59" s="233">
        <f t="shared" si="27"/>
        <v>0</v>
      </c>
      <c r="P59" s="263">
        <f t="shared" si="27"/>
        <v>0</v>
      </c>
      <c r="Q59" s="263">
        <f t="shared" si="27"/>
        <v>0</v>
      </c>
      <c r="R59" s="263">
        <f t="shared" si="27"/>
        <v>0</v>
      </c>
      <c r="S59" s="263">
        <f t="shared" si="27"/>
        <v>0</v>
      </c>
      <c r="T59" s="233">
        <f t="shared" si="27"/>
        <v>0</v>
      </c>
      <c r="U59" s="263">
        <f t="shared" si="27"/>
        <v>0</v>
      </c>
      <c r="V59" s="263">
        <f t="shared" si="27"/>
        <v>0</v>
      </c>
      <c r="W59" s="263">
        <f t="shared" si="27"/>
        <v>0</v>
      </c>
      <c r="X59" s="232">
        <f>IF($C$25="Quarterly",W59*(1+X60),S59*(1+X60))</f>
        <v>0</v>
      </c>
      <c r="Y59" s="233">
        <f>SUM(U59:X59)</f>
        <v>0</v>
      </c>
      <c r="Z59" s="232">
        <f>IF($C$25="Quarterly",X59*(1+Z60),U59*(1+Z60))</f>
        <v>0</v>
      </c>
      <c r="AA59" s="232">
        <f t="shared" ref="AA59:AC59" si="28">IF($C$25="Quarterly",Z59*(1+AA60),V59*(1+AA60))</f>
        <v>0</v>
      </c>
      <c r="AB59" s="232">
        <f t="shared" si="28"/>
        <v>0</v>
      </c>
      <c r="AC59" s="232">
        <f t="shared" si="28"/>
        <v>0</v>
      </c>
      <c r="AD59" s="233">
        <f>SUM(Z59:AC59)</f>
        <v>0</v>
      </c>
      <c r="AE59" s="233">
        <f t="shared" ref="AE59:AG59" si="29">AD59*(1+AE60)</f>
        <v>0</v>
      </c>
      <c r="AF59" s="233">
        <f t="shared" si="29"/>
        <v>0</v>
      </c>
      <c r="AG59" s="233">
        <f t="shared" si="29"/>
        <v>0</v>
      </c>
      <c r="AH59" s="12"/>
      <c r="AI59" s="12"/>
      <c r="AJ59" s="12"/>
    </row>
    <row r="60" spans="1:36" ht="12.75" customHeight="1">
      <c r="A60" s="12"/>
      <c r="B60" s="12"/>
      <c r="C60" s="89" t="str">
        <f>IF($C$25="Quarterly","% Growth QoQ","% Growth YoY")</f>
        <v>% Growth QoQ</v>
      </c>
      <c r="D60" s="12"/>
      <c r="E60" s="12"/>
      <c r="F60" s="265"/>
      <c r="G60" s="264" t="str">
        <f t="shared" ref="G60:W60" si="30">G36</f>
        <v>N/A</v>
      </c>
      <c r="H60" s="264" t="str">
        <f t="shared" si="30"/>
        <v>N/A</v>
      </c>
      <c r="I60" s="264" t="str">
        <f t="shared" si="30"/>
        <v>N/A</v>
      </c>
      <c r="J60" s="252">
        <f t="shared" si="30"/>
        <v>0</v>
      </c>
      <c r="K60" s="264" t="str">
        <f t="shared" si="30"/>
        <v>N/A</v>
      </c>
      <c r="L60" s="264" t="str">
        <f t="shared" si="30"/>
        <v>N/A</v>
      </c>
      <c r="M60" s="264" t="str">
        <f t="shared" si="30"/>
        <v>N/A</v>
      </c>
      <c r="N60" s="264" t="str">
        <f t="shared" si="30"/>
        <v>N/A</v>
      </c>
      <c r="O60" s="252" t="str">
        <f t="shared" si="30"/>
        <v>N/A</v>
      </c>
      <c r="P60" s="264" t="str">
        <f t="shared" si="30"/>
        <v>N/A</v>
      </c>
      <c r="Q60" s="264" t="str">
        <f t="shared" si="30"/>
        <v>N/A</v>
      </c>
      <c r="R60" s="264" t="str">
        <f t="shared" si="30"/>
        <v>N/A</v>
      </c>
      <c r="S60" s="264" t="str">
        <f t="shared" si="30"/>
        <v>N/A</v>
      </c>
      <c r="T60" s="252" t="str">
        <f t="shared" si="30"/>
        <v>N/A</v>
      </c>
      <c r="U60" s="264" t="str">
        <f t="shared" si="30"/>
        <v>N/A</v>
      </c>
      <c r="V60" s="264" t="str">
        <f t="shared" si="30"/>
        <v>N/A</v>
      </c>
      <c r="W60" s="264" t="str">
        <f t="shared" si="30"/>
        <v>N/A</v>
      </c>
      <c r="X60" s="251">
        <f>IF(Case_Scenario="Bull",X61,IF(Case_Scenario="Base",X62,IF(Case_Scenario="bear",X63,"N/A")))</f>
        <v>0.05</v>
      </c>
      <c r="Y60" s="252"/>
      <c r="Z60" s="251">
        <f>IF(Case_Scenario="Bull",Z61,IF(Case_Scenario="Base",Z62,IF(Case_Scenario="bear",Z63,"N/A")))</f>
        <v>0.05</v>
      </c>
      <c r="AA60" s="251">
        <f>IF(Case_Scenario="Bull",AA61,IF(Case_Scenario="Base",AA62,IF(Case_Scenario="bear",AA63,"N/A")))</f>
        <v>0.05</v>
      </c>
      <c r="AB60" s="251">
        <f>IF(Case_Scenario="Bull",AB61,IF(Case_Scenario="Base",AB62,IF(Case_Scenario="bear",AB63,"N/A")))</f>
        <v>0.05</v>
      </c>
      <c r="AC60" s="251">
        <f>IF(Case_Scenario="Bull",AC61,IF(Case_Scenario="Base",AC62,IF(Case_Scenario="bear",AC63,"N/A")))</f>
        <v>0.05</v>
      </c>
      <c r="AD60" s="252"/>
      <c r="AE60" s="252">
        <f>IF(Case_Scenario="Bull",AE61,IF(Case_Scenario="Base",AE62,IF(Case_Scenario="bear",AE63,"N/A")))</f>
        <v>0.05</v>
      </c>
      <c r="AF60" s="252">
        <f>IF(Case_Scenario="Bull",AF61,IF(Case_Scenario="Base",AF62,IF(Case_Scenario="bear",AF63,"N/A")))</f>
        <v>0.05</v>
      </c>
      <c r="AG60" s="252">
        <f>IF(Case_Scenario="Bull",AG61,IF(Case_Scenario="Base",AG62,IF(Case_Scenario="bear",AG63,"N/A")))</f>
        <v>0.05</v>
      </c>
      <c r="AH60" s="12"/>
      <c r="AI60" s="12"/>
      <c r="AJ60" s="12"/>
    </row>
    <row r="61" spans="1:36" ht="12.75" customHeight="1">
      <c r="A61" s="249"/>
      <c r="B61" s="249"/>
      <c r="C61" s="108" t="s">
        <v>251</v>
      </c>
      <c r="D61" s="249"/>
      <c r="E61" s="249"/>
      <c r="F61" s="269"/>
      <c r="G61" s="269"/>
      <c r="H61" s="269"/>
      <c r="I61" s="269"/>
      <c r="J61" s="270"/>
      <c r="K61" s="269"/>
      <c r="L61" s="269"/>
      <c r="M61" s="269"/>
      <c r="N61" s="269"/>
      <c r="O61" s="270"/>
      <c r="P61" s="269"/>
      <c r="Q61" s="269"/>
      <c r="R61" s="269"/>
      <c r="S61" s="269"/>
      <c r="T61" s="270"/>
      <c r="U61" s="269"/>
      <c r="V61" s="269"/>
      <c r="W61" s="269"/>
      <c r="X61" s="266">
        <v>0.1</v>
      </c>
      <c r="Y61" s="267"/>
      <c r="Z61" s="266">
        <v>0.1</v>
      </c>
      <c r="AA61" s="266">
        <v>0.1</v>
      </c>
      <c r="AB61" s="266">
        <v>0.1</v>
      </c>
      <c r="AC61" s="266">
        <v>0.1</v>
      </c>
      <c r="AD61" s="267"/>
      <c r="AE61" s="267">
        <v>0.1</v>
      </c>
      <c r="AF61" s="267">
        <v>0.1</v>
      </c>
      <c r="AG61" s="267">
        <v>0.1</v>
      </c>
      <c r="AH61" s="249"/>
      <c r="AI61" s="249"/>
      <c r="AJ61" s="249"/>
    </row>
    <row r="62" spans="1:36" ht="12.75" customHeight="1">
      <c r="A62" s="249"/>
      <c r="B62" s="249"/>
      <c r="C62" s="108" t="s">
        <v>252</v>
      </c>
      <c r="D62" s="249"/>
      <c r="E62" s="249"/>
      <c r="F62" s="269"/>
      <c r="G62" s="269"/>
      <c r="H62" s="269"/>
      <c r="I62" s="269"/>
      <c r="J62" s="270"/>
      <c r="K62" s="269"/>
      <c r="L62" s="269"/>
      <c r="M62" s="269"/>
      <c r="N62" s="269"/>
      <c r="O62" s="270"/>
      <c r="P62" s="269"/>
      <c r="Q62" s="269"/>
      <c r="R62" s="269"/>
      <c r="S62" s="269"/>
      <c r="T62" s="270"/>
      <c r="U62" s="269"/>
      <c r="V62" s="269"/>
      <c r="W62" s="269"/>
      <c r="X62" s="266">
        <v>0.05</v>
      </c>
      <c r="Y62" s="267"/>
      <c r="Z62" s="266">
        <v>0.05</v>
      </c>
      <c r="AA62" s="266">
        <v>0.05</v>
      </c>
      <c r="AB62" s="266">
        <v>0.05</v>
      </c>
      <c r="AC62" s="266">
        <v>0.05</v>
      </c>
      <c r="AD62" s="267"/>
      <c r="AE62" s="267">
        <v>0.05</v>
      </c>
      <c r="AF62" s="267">
        <v>0.05</v>
      </c>
      <c r="AG62" s="267">
        <v>0.05</v>
      </c>
      <c r="AH62" s="249"/>
      <c r="AI62" s="249"/>
      <c r="AJ62" s="249"/>
    </row>
    <row r="63" spans="1:36" ht="12.75" customHeight="1">
      <c r="A63" s="249"/>
      <c r="B63" s="249"/>
      <c r="C63" s="108" t="s">
        <v>253</v>
      </c>
      <c r="D63" s="249"/>
      <c r="E63" s="249"/>
      <c r="F63" s="269"/>
      <c r="G63" s="269"/>
      <c r="H63" s="269"/>
      <c r="I63" s="269"/>
      <c r="J63" s="270"/>
      <c r="K63" s="269"/>
      <c r="L63" s="269"/>
      <c r="M63" s="269"/>
      <c r="N63" s="269"/>
      <c r="O63" s="270"/>
      <c r="P63" s="269"/>
      <c r="Q63" s="269"/>
      <c r="R63" s="269"/>
      <c r="S63" s="269"/>
      <c r="T63" s="270"/>
      <c r="U63" s="269"/>
      <c r="V63" s="269"/>
      <c r="W63" s="269"/>
      <c r="X63" s="266">
        <v>0</v>
      </c>
      <c r="Y63" s="267"/>
      <c r="Z63" s="266">
        <v>0</v>
      </c>
      <c r="AA63" s="266">
        <v>0</v>
      </c>
      <c r="AB63" s="266">
        <v>0</v>
      </c>
      <c r="AC63" s="266">
        <v>0</v>
      </c>
      <c r="AD63" s="267"/>
      <c r="AE63" s="267">
        <v>0</v>
      </c>
      <c r="AF63" s="267">
        <v>0</v>
      </c>
      <c r="AG63" s="267">
        <v>0</v>
      </c>
      <c r="AH63" s="249"/>
      <c r="AI63" s="249"/>
      <c r="AJ63" s="249"/>
    </row>
    <row r="64" spans="1:36" ht="12.75" customHeight="1">
      <c r="A64" s="12"/>
      <c r="B64" s="12"/>
      <c r="C64" s="12"/>
      <c r="D64" s="12"/>
      <c r="E64" s="12"/>
      <c r="F64" s="265"/>
      <c r="G64" s="265"/>
      <c r="H64" s="265"/>
      <c r="I64" s="265"/>
      <c r="J64" s="137"/>
      <c r="K64" s="265"/>
      <c r="L64" s="265"/>
      <c r="M64" s="265"/>
      <c r="N64" s="265"/>
      <c r="O64" s="137"/>
      <c r="P64" s="265"/>
      <c r="Q64" s="265"/>
      <c r="R64" s="265"/>
      <c r="S64" s="265"/>
      <c r="T64" s="137"/>
      <c r="U64" s="265"/>
      <c r="V64" s="265"/>
      <c r="W64" s="265"/>
      <c r="X64" s="268"/>
      <c r="Y64" s="137"/>
      <c r="Z64" s="268"/>
      <c r="AA64" s="268"/>
      <c r="AB64" s="268"/>
      <c r="AC64" s="268"/>
      <c r="AD64" s="137"/>
      <c r="AE64" s="137"/>
      <c r="AF64" s="137"/>
      <c r="AG64" s="137"/>
      <c r="AH64" s="12"/>
      <c r="AI64" s="12"/>
      <c r="AJ64" s="12"/>
    </row>
    <row r="65" spans="1:36" ht="12.75" customHeight="1">
      <c r="A65" s="211" t="s">
        <v>1</v>
      </c>
      <c r="B65" s="12"/>
      <c r="C65" s="108" t="str">
        <f>C38</f>
        <v>Segment 3 Revenue</v>
      </c>
      <c r="D65" s="12"/>
      <c r="E65" s="12"/>
      <c r="F65" s="263">
        <f t="shared" ref="F65:W65" si="31">F38</f>
        <v>0</v>
      </c>
      <c r="G65" s="263">
        <f t="shared" si="31"/>
        <v>0</v>
      </c>
      <c r="H65" s="263">
        <f t="shared" si="31"/>
        <v>0</v>
      </c>
      <c r="I65" s="263">
        <f t="shared" si="31"/>
        <v>0</v>
      </c>
      <c r="J65" s="233">
        <f t="shared" si="31"/>
        <v>0</v>
      </c>
      <c r="K65" s="263">
        <f t="shared" si="31"/>
        <v>0</v>
      </c>
      <c r="L65" s="263">
        <f t="shared" si="31"/>
        <v>0</v>
      </c>
      <c r="M65" s="263">
        <f t="shared" si="31"/>
        <v>0</v>
      </c>
      <c r="N65" s="263">
        <f t="shared" si="31"/>
        <v>0</v>
      </c>
      <c r="O65" s="233">
        <f t="shared" si="31"/>
        <v>0</v>
      </c>
      <c r="P65" s="263">
        <f t="shared" si="31"/>
        <v>0</v>
      </c>
      <c r="Q65" s="263">
        <f t="shared" si="31"/>
        <v>0</v>
      </c>
      <c r="R65" s="263">
        <f t="shared" si="31"/>
        <v>0</v>
      </c>
      <c r="S65" s="263">
        <f t="shared" si="31"/>
        <v>0</v>
      </c>
      <c r="T65" s="233">
        <f t="shared" si="31"/>
        <v>0</v>
      </c>
      <c r="U65" s="263">
        <f t="shared" si="31"/>
        <v>0</v>
      </c>
      <c r="V65" s="263">
        <f t="shared" si="31"/>
        <v>0</v>
      </c>
      <c r="W65" s="263">
        <f t="shared" si="31"/>
        <v>0</v>
      </c>
      <c r="X65" s="232">
        <f>IF($C$25="Quarterly",W65*(1+X66),S65*(1+X66))</f>
        <v>0</v>
      </c>
      <c r="Y65" s="233">
        <f>SUM(U65:X65)</f>
        <v>0</v>
      </c>
      <c r="Z65" s="232">
        <f>IF($C$25="Quarterly",X65*(1+Z66),U65*(1+Z66))</f>
        <v>0</v>
      </c>
      <c r="AA65" s="232">
        <f t="shared" ref="AA65:AC65" si="32">IF($C$25="Quarterly",Z65*(1+AA66),V65*(1+AA66))</f>
        <v>0</v>
      </c>
      <c r="AB65" s="232">
        <f t="shared" si="32"/>
        <v>0</v>
      </c>
      <c r="AC65" s="232">
        <f t="shared" si="32"/>
        <v>0</v>
      </c>
      <c r="AD65" s="233">
        <f>SUM(Z65:AC65)</f>
        <v>0</v>
      </c>
      <c r="AE65" s="233">
        <f t="shared" ref="AE65:AG65" si="33">AD65*(1+AE66)</f>
        <v>0</v>
      </c>
      <c r="AF65" s="233">
        <f t="shared" si="33"/>
        <v>0</v>
      </c>
      <c r="AG65" s="233">
        <f t="shared" si="33"/>
        <v>0</v>
      </c>
      <c r="AH65" s="12"/>
      <c r="AI65" s="12"/>
      <c r="AJ65" s="12"/>
    </row>
    <row r="66" spans="1:36" ht="12.75" customHeight="1">
      <c r="A66" s="12"/>
      <c r="B66" s="12"/>
      <c r="C66" s="89" t="str">
        <f>IF($C$25="Quarterly","% Growth QoQ","% Growth YoY")</f>
        <v>% Growth QoQ</v>
      </c>
      <c r="D66" s="12"/>
      <c r="E66" s="12"/>
      <c r="F66" s="265"/>
      <c r="G66" s="264" t="str">
        <f t="shared" ref="G66:W66" si="34">G39</f>
        <v>N/A</v>
      </c>
      <c r="H66" s="264" t="str">
        <f t="shared" si="34"/>
        <v>N/A</v>
      </c>
      <c r="I66" s="264" t="str">
        <f t="shared" si="34"/>
        <v>N/A</v>
      </c>
      <c r="J66" s="252">
        <f t="shared" si="34"/>
        <v>0</v>
      </c>
      <c r="K66" s="264" t="str">
        <f t="shared" si="34"/>
        <v>N/A</v>
      </c>
      <c r="L66" s="264" t="str">
        <f t="shared" si="34"/>
        <v>N/A</v>
      </c>
      <c r="M66" s="264" t="str">
        <f t="shared" si="34"/>
        <v>N/A</v>
      </c>
      <c r="N66" s="264" t="str">
        <f t="shared" si="34"/>
        <v>N/A</v>
      </c>
      <c r="O66" s="252">
        <f t="shared" si="34"/>
        <v>0</v>
      </c>
      <c r="P66" s="264" t="str">
        <f t="shared" si="34"/>
        <v>N/A</v>
      </c>
      <c r="Q66" s="264" t="str">
        <f t="shared" si="34"/>
        <v>N/A</v>
      </c>
      <c r="R66" s="264" t="str">
        <f t="shared" si="34"/>
        <v>N/A</v>
      </c>
      <c r="S66" s="264" t="str">
        <f t="shared" si="34"/>
        <v>N/A</v>
      </c>
      <c r="T66" s="252">
        <f t="shared" si="34"/>
        <v>0</v>
      </c>
      <c r="U66" s="264" t="str">
        <f t="shared" si="34"/>
        <v>N/A</v>
      </c>
      <c r="V66" s="264" t="str">
        <f t="shared" si="34"/>
        <v>N/A</v>
      </c>
      <c r="W66" s="264" t="str">
        <f t="shared" si="34"/>
        <v>N/A</v>
      </c>
      <c r="X66" s="251">
        <f>IF(Case_Scenario="Bull",X67,IF(Case_Scenario="Base",X68,IF(Case_Scenario="bear",X69,"N/A")))</f>
        <v>0.05</v>
      </c>
      <c r="Y66" s="252"/>
      <c r="Z66" s="251">
        <f>IF(Case_Scenario="Bull",Z67,IF(Case_Scenario="Base",Z68,IF(Case_Scenario="bear",Z69,"N/A")))</f>
        <v>0.05</v>
      </c>
      <c r="AA66" s="251">
        <f>IF(Case_Scenario="Bull",AA67,IF(Case_Scenario="Base",AA68,IF(Case_Scenario="bear",AA69,"N/A")))</f>
        <v>0.05</v>
      </c>
      <c r="AB66" s="251">
        <f>IF(Case_Scenario="Bull",AB67,IF(Case_Scenario="Base",AB68,IF(Case_Scenario="bear",AB69,"N/A")))</f>
        <v>0.05</v>
      </c>
      <c r="AC66" s="251">
        <f>IF(Case_Scenario="Bull",AC67,IF(Case_Scenario="Base",AC68,IF(Case_Scenario="bear",AC69,"N/A")))</f>
        <v>0.05</v>
      </c>
      <c r="AD66" s="252"/>
      <c r="AE66" s="252">
        <f>IF(Case_Scenario="Bull",AE67,IF(Case_Scenario="Base",AE68,IF(Case_Scenario="bear",AE69,"N/A")))</f>
        <v>0.05</v>
      </c>
      <c r="AF66" s="252">
        <f>IF(Case_Scenario="Bull",AF67,IF(Case_Scenario="Base",AF68,IF(Case_Scenario="bear",AF69,"N/A")))</f>
        <v>0.05</v>
      </c>
      <c r="AG66" s="252">
        <f>IF(Case_Scenario="Bull",AG67,IF(Case_Scenario="Base",AG68,IF(Case_Scenario="bear",AG69,"N/A")))</f>
        <v>0.05</v>
      </c>
      <c r="AH66" s="12"/>
      <c r="AI66" s="12"/>
      <c r="AJ66" s="12"/>
    </row>
    <row r="67" spans="1:36" ht="12.75" customHeight="1">
      <c r="A67" s="12"/>
      <c r="B67" s="12"/>
      <c r="C67" s="108" t="s">
        <v>251</v>
      </c>
      <c r="D67" s="12"/>
      <c r="E67" s="12"/>
      <c r="F67" s="265"/>
      <c r="G67" s="265"/>
      <c r="H67" s="265"/>
      <c r="I67" s="265"/>
      <c r="J67" s="137"/>
      <c r="K67" s="265"/>
      <c r="L67" s="265"/>
      <c r="M67" s="265"/>
      <c r="N67" s="265"/>
      <c r="O67" s="137"/>
      <c r="P67" s="265"/>
      <c r="Q67" s="265"/>
      <c r="R67" s="265"/>
      <c r="S67" s="265"/>
      <c r="T67" s="137"/>
      <c r="U67" s="265"/>
      <c r="V67" s="265"/>
      <c r="W67" s="265"/>
      <c r="X67" s="266">
        <v>0.1</v>
      </c>
      <c r="Y67" s="267"/>
      <c r="Z67" s="266">
        <v>0.1</v>
      </c>
      <c r="AA67" s="266">
        <v>0.1</v>
      </c>
      <c r="AB67" s="266">
        <v>0.1</v>
      </c>
      <c r="AC67" s="266">
        <v>0.1</v>
      </c>
      <c r="AD67" s="267"/>
      <c r="AE67" s="267">
        <v>0.1</v>
      </c>
      <c r="AF67" s="267">
        <v>0.1</v>
      </c>
      <c r="AG67" s="267">
        <v>0.1</v>
      </c>
      <c r="AH67" s="12"/>
      <c r="AI67" s="12"/>
      <c r="AJ67" s="12"/>
    </row>
    <row r="68" spans="1:36" ht="12.75" customHeight="1">
      <c r="A68" s="12"/>
      <c r="B68" s="12"/>
      <c r="C68" s="108" t="s">
        <v>252</v>
      </c>
      <c r="D68" s="12"/>
      <c r="E68" s="12"/>
      <c r="F68" s="265"/>
      <c r="G68" s="265"/>
      <c r="H68" s="265"/>
      <c r="I68" s="265"/>
      <c r="J68" s="137"/>
      <c r="K68" s="265"/>
      <c r="L68" s="265"/>
      <c r="M68" s="265"/>
      <c r="N68" s="265"/>
      <c r="O68" s="137"/>
      <c r="P68" s="265"/>
      <c r="Q68" s="265"/>
      <c r="R68" s="265"/>
      <c r="S68" s="265"/>
      <c r="T68" s="137"/>
      <c r="U68" s="265"/>
      <c r="V68" s="265"/>
      <c r="W68" s="265"/>
      <c r="X68" s="266">
        <v>0.05</v>
      </c>
      <c r="Y68" s="267"/>
      <c r="Z68" s="266">
        <v>0.05</v>
      </c>
      <c r="AA68" s="266">
        <v>0.05</v>
      </c>
      <c r="AB68" s="266">
        <v>0.05</v>
      </c>
      <c r="AC68" s="266">
        <v>0.05</v>
      </c>
      <c r="AD68" s="267"/>
      <c r="AE68" s="267">
        <v>0.05</v>
      </c>
      <c r="AF68" s="267">
        <v>0.05</v>
      </c>
      <c r="AG68" s="267">
        <v>0.05</v>
      </c>
      <c r="AH68" s="12"/>
      <c r="AI68" s="12"/>
      <c r="AJ68" s="12"/>
    </row>
    <row r="69" spans="1:36" ht="12.75" customHeight="1">
      <c r="A69" s="12"/>
      <c r="B69" s="12"/>
      <c r="C69" s="108" t="s">
        <v>253</v>
      </c>
      <c r="D69" s="12"/>
      <c r="E69" s="12"/>
      <c r="F69" s="265"/>
      <c r="G69" s="265"/>
      <c r="H69" s="265"/>
      <c r="I69" s="265"/>
      <c r="J69" s="137"/>
      <c r="K69" s="265"/>
      <c r="L69" s="265"/>
      <c r="M69" s="265"/>
      <c r="N69" s="265"/>
      <c r="O69" s="137"/>
      <c r="P69" s="265"/>
      <c r="Q69" s="265"/>
      <c r="R69" s="265"/>
      <c r="S69" s="265"/>
      <c r="T69" s="137"/>
      <c r="U69" s="265"/>
      <c r="V69" s="265"/>
      <c r="W69" s="265"/>
      <c r="X69" s="266">
        <v>0</v>
      </c>
      <c r="Y69" s="267"/>
      <c r="Z69" s="266">
        <v>0</v>
      </c>
      <c r="AA69" s="266">
        <v>0</v>
      </c>
      <c r="AB69" s="266">
        <v>0</v>
      </c>
      <c r="AC69" s="266">
        <v>0</v>
      </c>
      <c r="AD69" s="267"/>
      <c r="AE69" s="267">
        <v>0</v>
      </c>
      <c r="AF69" s="267">
        <v>0</v>
      </c>
      <c r="AG69" s="267">
        <v>0</v>
      </c>
      <c r="AH69" s="12"/>
      <c r="AI69" s="12"/>
      <c r="AJ69" s="12"/>
    </row>
    <row r="70" spans="1:36" ht="12.75" customHeight="1">
      <c r="A70" s="12"/>
      <c r="B70" s="12"/>
      <c r="C70" s="12"/>
      <c r="D70" s="12"/>
      <c r="E70" s="12"/>
      <c r="F70" s="265"/>
      <c r="G70" s="265"/>
      <c r="H70" s="265"/>
      <c r="I70" s="265"/>
      <c r="J70" s="137"/>
      <c r="K70" s="265"/>
      <c r="L70" s="265"/>
      <c r="M70" s="265"/>
      <c r="N70" s="265"/>
      <c r="O70" s="137"/>
      <c r="P70" s="265"/>
      <c r="Q70" s="265"/>
      <c r="R70" s="265"/>
      <c r="S70" s="265"/>
      <c r="T70" s="137"/>
      <c r="U70" s="265"/>
      <c r="V70" s="265"/>
      <c r="W70" s="265"/>
      <c r="X70" s="268"/>
      <c r="Y70" s="137"/>
      <c r="Z70" s="268"/>
      <c r="AA70" s="268"/>
      <c r="AB70" s="268"/>
      <c r="AC70" s="268"/>
      <c r="AD70" s="137"/>
      <c r="AE70" s="137"/>
      <c r="AF70" s="137"/>
      <c r="AG70" s="137"/>
      <c r="AH70" s="12"/>
      <c r="AI70" s="12"/>
      <c r="AJ70" s="12"/>
    </row>
    <row r="71" spans="1:36" ht="12.75" customHeight="1">
      <c r="A71" s="211" t="s">
        <v>1</v>
      </c>
      <c r="B71" s="12"/>
      <c r="C71" s="108" t="str">
        <f>C41</f>
        <v>Segment 4 Revenue</v>
      </c>
      <c r="D71" s="12"/>
      <c r="E71" s="12"/>
      <c r="F71" s="263">
        <f t="shared" ref="F71:W71" si="35">F41</f>
        <v>0</v>
      </c>
      <c r="G71" s="263">
        <f t="shared" si="35"/>
        <v>0</v>
      </c>
      <c r="H71" s="263">
        <f t="shared" si="35"/>
        <v>0</v>
      </c>
      <c r="I71" s="263">
        <f t="shared" si="35"/>
        <v>0</v>
      </c>
      <c r="J71" s="233">
        <f t="shared" si="35"/>
        <v>0</v>
      </c>
      <c r="K71" s="263">
        <f t="shared" si="35"/>
        <v>0</v>
      </c>
      <c r="L71" s="263">
        <f t="shared" si="35"/>
        <v>0</v>
      </c>
      <c r="M71" s="263">
        <f t="shared" si="35"/>
        <v>0</v>
      </c>
      <c r="N71" s="263">
        <f t="shared" si="35"/>
        <v>0</v>
      </c>
      <c r="O71" s="233">
        <f t="shared" si="35"/>
        <v>0</v>
      </c>
      <c r="P71" s="263">
        <f t="shared" si="35"/>
        <v>0</v>
      </c>
      <c r="Q71" s="263">
        <f t="shared" si="35"/>
        <v>0</v>
      </c>
      <c r="R71" s="263">
        <f t="shared" si="35"/>
        <v>0</v>
      </c>
      <c r="S71" s="263">
        <f t="shared" si="35"/>
        <v>0</v>
      </c>
      <c r="T71" s="233">
        <f t="shared" si="35"/>
        <v>0</v>
      </c>
      <c r="U71" s="263">
        <f t="shared" si="35"/>
        <v>0</v>
      </c>
      <c r="V71" s="263">
        <f t="shared" si="35"/>
        <v>0</v>
      </c>
      <c r="W71" s="263">
        <f t="shared" si="35"/>
        <v>0</v>
      </c>
      <c r="X71" s="232">
        <f>IF($C$25="Quarterly",W71*(1+X72),S71*(1+X72))</f>
        <v>0</v>
      </c>
      <c r="Y71" s="233">
        <f>SUM(U71:X71)</f>
        <v>0</v>
      </c>
      <c r="Z71" s="232">
        <f>IF($C$25="Quarterly",X71*(1+Z72),U71*(1+Z72))</f>
        <v>0</v>
      </c>
      <c r="AA71" s="232">
        <f t="shared" ref="AA71:AC71" si="36">IF($C$25="Quarterly",Z71*(1+AA72),V71*(1+AA72))</f>
        <v>0</v>
      </c>
      <c r="AB71" s="232">
        <f t="shared" si="36"/>
        <v>0</v>
      </c>
      <c r="AC71" s="232">
        <f t="shared" si="36"/>
        <v>0</v>
      </c>
      <c r="AD71" s="233">
        <f>SUM(Z71:AC71)</f>
        <v>0</v>
      </c>
      <c r="AE71" s="233">
        <f t="shared" ref="AE71:AG71" si="37">AD71*(1+AE72)</f>
        <v>0</v>
      </c>
      <c r="AF71" s="233">
        <f t="shared" si="37"/>
        <v>0</v>
      </c>
      <c r="AG71" s="233">
        <f t="shared" si="37"/>
        <v>0</v>
      </c>
      <c r="AH71" s="12"/>
      <c r="AI71" s="12"/>
      <c r="AJ71" s="12"/>
    </row>
    <row r="72" spans="1:36" ht="12.75" customHeight="1">
      <c r="A72" s="12"/>
      <c r="B72" s="12"/>
      <c r="C72" s="89" t="str">
        <f>IF($C$25="Quarterly","% Growth QoQ","% Growth YoY")</f>
        <v>% Growth QoQ</v>
      </c>
      <c r="D72" s="12"/>
      <c r="E72" s="12"/>
      <c r="F72" s="265"/>
      <c r="G72" s="264" t="str">
        <f t="shared" ref="G72:W72" si="38">G42</f>
        <v>N/A</v>
      </c>
      <c r="H72" s="264" t="str">
        <f t="shared" si="38"/>
        <v>N/A</v>
      </c>
      <c r="I72" s="264" t="str">
        <f t="shared" si="38"/>
        <v>N/A</v>
      </c>
      <c r="J72" s="252">
        <f t="shared" si="38"/>
        <v>0</v>
      </c>
      <c r="K72" s="264" t="str">
        <f t="shared" si="38"/>
        <v>N/A</v>
      </c>
      <c r="L72" s="264" t="str">
        <f t="shared" si="38"/>
        <v>N/A</v>
      </c>
      <c r="M72" s="264" t="str">
        <f t="shared" si="38"/>
        <v>N/A</v>
      </c>
      <c r="N72" s="264" t="str">
        <f t="shared" si="38"/>
        <v>N/A</v>
      </c>
      <c r="O72" s="252">
        <f t="shared" si="38"/>
        <v>0</v>
      </c>
      <c r="P72" s="264" t="str">
        <f t="shared" si="38"/>
        <v>N/A</v>
      </c>
      <c r="Q72" s="264" t="str">
        <f t="shared" si="38"/>
        <v>N/A</v>
      </c>
      <c r="R72" s="264" t="str">
        <f t="shared" si="38"/>
        <v>N/A</v>
      </c>
      <c r="S72" s="264" t="str">
        <f t="shared" si="38"/>
        <v>N/A</v>
      </c>
      <c r="T72" s="252">
        <f t="shared" si="38"/>
        <v>0</v>
      </c>
      <c r="U72" s="264" t="str">
        <f t="shared" si="38"/>
        <v>N/A</v>
      </c>
      <c r="V72" s="264" t="str">
        <f t="shared" si="38"/>
        <v>N/A</v>
      </c>
      <c r="W72" s="264" t="str">
        <f t="shared" si="38"/>
        <v>N/A</v>
      </c>
      <c r="X72" s="251">
        <f>IF(Case_Scenario="Bull",X73,IF(Case_Scenario="Base",X74,IF(Case_Scenario="bear",X75,"N/A")))</f>
        <v>0.05</v>
      </c>
      <c r="Y72" s="252"/>
      <c r="Z72" s="251">
        <f>IF(Case_Scenario="Bull",Z73,IF(Case_Scenario="Base",Z74,IF(Case_Scenario="bear",Z75,"N/A")))</f>
        <v>0.05</v>
      </c>
      <c r="AA72" s="251">
        <f>IF(Case_Scenario="Bull",AA73,IF(Case_Scenario="Base",AA74,IF(Case_Scenario="bear",AA75,"N/A")))</f>
        <v>0.05</v>
      </c>
      <c r="AB72" s="251">
        <f>IF(Case_Scenario="Bull",AB73,IF(Case_Scenario="Base",AB74,IF(Case_Scenario="bear",AB75,"N/A")))</f>
        <v>0.05</v>
      </c>
      <c r="AC72" s="251">
        <f>IF(Case_Scenario="Bull",AC73,IF(Case_Scenario="Base",AC74,IF(Case_Scenario="bear",AC75,"N/A")))</f>
        <v>0.05</v>
      </c>
      <c r="AD72" s="252"/>
      <c r="AE72" s="252">
        <f>IF(Case_Scenario="Bull",AE73,IF(Case_Scenario="Base",AE74,IF(Case_Scenario="bear",AE75,"N/A")))</f>
        <v>0.05</v>
      </c>
      <c r="AF72" s="252">
        <f>IF(Case_Scenario="Bull",AF73,IF(Case_Scenario="Base",AF74,IF(Case_Scenario="bear",AF75,"N/A")))</f>
        <v>0.05</v>
      </c>
      <c r="AG72" s="252">
        <f>IF(Case_Scenario="Bull",AG73,IF(Case_Scenario="Base",AG74,IF(Case_Scenario="bear",AG75,"N/A")))</f>
        <v>0.05</v>
      </c>
      <c r="AH72" s="12"/>
      <c r="AI72" s="12"/>
      <c r="AJ72" s="12"/>
    </row>
    <row r="73" spans="1:36" ht="12.75" customHeight="1">
      <c r="A73" s="12"/>
      <c r="B73" s="12"/>
      <c r="C73" s="108" t="s">
        <v>251</v>
      </c>
      <c r="D73" s="12"/>
      <c r="E73" s="12"/>
      <c r="F73" s="265"/>
      <c r="G73" s="265"/>
      <c r="H73" s="265"/>
      <c r="I73" s="265"/>
      <c r="J73" s="137"/>
      <c r="K73" s="265"/>
      <c r="L73" s="265"/>
      <c r="M73" s="265"/>
      <c r="N73" s="265"/>
      <c r="O73" s="137"/>
      <c r="P73" s="265"/>
      <c r="Q73" s="265"/>
      <c r="R73" s="265"/>
      <c r="S73" s="265"/>
      <c r="T73" s="137"/>
      <c r="U73" s="265"/>
      <c r="V73" s="265"/>
      <c r="W73" s="265"/>
      <c r="X73" s="266">
        <v>0.1</v>
      </c>
      <c r="Y73" s="267"/>
      <c r="Z73" s="266">
        <v>0.1</v>
      </c>
      <c r="AA73" s="266">
        <v>0.1</v>
      </c>
      <c r="AB73" s="266">
        <v>0.1</v>
      </c>
      <c r="AC73" s="266">
        <v>0.1</v>
      </c>
      <c r="AD73" s="267"/>
      <c r="AE73" s="267">
        <v>0.1</v>
      </c>
      <c r="AF73" s="267">
        <v>0.1</v>
      </c>
      <c r="AG73" s="267">
        <v>0.1</v>
      </c>
      <c r="AH73" s="12"/>
      <c r="AI73" s="12"/>
      <c r="AJ73" s="12"/>
    </row>
    <row r="74" spans="1:36" ht="12.75" customHeight="1">
      <c r="A74" s="12"/>
      <c r="B74" s="12"/>
      <c r="C74" s="108" t="s">
        <v>252</v>
      </c>
      <c r="D74" s="12"/>
      <c r="E74" s="12"/>
      <c r="F74" s="265"/>
      <c r="G74" s="265"/>
      <c r="H74" s="265"/>
      <c r="I74" s="265"/>
      <c r="J74" s="137"/>
      <c r="K74" s="265"/>
      <c r="L74" s="265"/>
      <c r="M74" s="265"/>
      <c r="N74" s="265"/>
      <c r="O74" s="137"/>
      <c r="P74" s="265"/>
      <c r="Q74" s="265"/>
      <c r="R74" s="265"/>
      <c r="S74" s="265"/>
      <c r="T74" s="137"/>
      <c r="U74" s="265"/>
      <c r="V74" s="265"/>
      <c r="W74" s="265"/>
      <c r="X74" s="266">
        <v>0.05</v>
      </c>
      <c r="Y74" s="267"/>
      <c r="Z74" s="266">
        <v>0.05</v>
      </c>
      <c r="AA74" s="266">
        <v>0.05</v>
      </c>
      <c r="AB74" s="266">
        <v>0.05</v>
      </c>
      <c r="AC74" s="266">
        <v>0.05</v>
      </c>
      <c r="AD74" s="267"/>
      <c r="AE74" s="267">
        <v>0.05</v>
      </c>
      <c r="AF74" s="267">
        <v>0.05</v>
      </c>
      <c r="AG74" s="267">
        <v>0.05</v>
      </c>
      <c r="AH74" s="12"/>
      <c r="AI74" s="12"/>
      <c r="AJ74" s="12"/>
    </row>
    <row r="75" spans="1:36" ht="12.75" customHeight="1">
      <c r="A75" s="12"/>
      <c r="B75" s="12"/>
      <c r="C75" s="108" t="s">
        <v>253</v>
      </c>
      <c r="D75" s="12"/>
      <c r="E75" s="12"/>
      <c r="F75" s="265"/>
      <c r="G75" s="265"/>
      <c r="H75" s="265"/>
      <c r="I75" s="265"/>
      <c r="J75" s="137"/>
      <c r="K75" s="265"/>
      <c r="L75" s="265"/>
      <c r="M75" s="265"/>
      <c r="N75" s="265"/>
      <c r="O75" s="137"/>
      <c r="P75" s="265"/>
      <c r="Q75" s="265"/>
      <c r="R75" s="265"/>
      <c r="S75" s="265"/>
      <c r="T75" s="137"/>
      <c r="U75" s="265"/>
      <c r="V75" s="265"/>
      <c r="W75" s="265"/>
      <c r="X75" s="266">
        <v>0</v>
      </c>
      <c r="Y75" s="267"/>
      <c r="Z75" s="266">
        <v>0</v>
      </c>
      <c r="AA75" s="266">
        <v>0</v>
      </c>
      <c r="AB75" s="266">
        <v>0</v>
      </c>
      <c r="AC75" s="266">
        <v>0</v>
      </c>
      <c r="AD75" s="267"/>
      <c r="AE75" s="267">
        <v>0</v>
      </c>
      <c r="AF75" s="267">
        <v>0</v>
      </c>
      <c r="AG75" s="267">
        <v>0</v>
      </c>
      <c r="AH75" s="12"/>
      <c r="AI75" s="12"/>
      <c r="AJ75" s="12"/>
    </row>
    <row r="76" spans="1:36" ht="12.75" customHeight="1">
      <c r="A76" s="12"/>
      <c r="B76" s="12"/>
      <c r="C76" s="12"/>
      <c r="D76" s="12"/>
      <c r="E76" s="12"/>
      <c r="F76" s="265"/>
      <c r="G76" s="265"/>
      <c r="H76" s="265"/>
      <c r="I76" s="265"/>
      <c r="J76" s="137"/>
      <c r="K76" s="265"/>
      <c r="L76" s="265"/>
      <c r="M76" s="265"/>
      <c r="N76" s="265"/>
      <c r="O76" s="137"/>
      <c r="P76" s="265"/>
      <c r="Q76" s="265"/>
      <c r="R76" s="265"/>
      <c r="S76" s="265"/>
      <c r="T76" s="137"/>
      <c r="U76" s="265"/>
      <c r="V76" s="265"/>
      <c r="W76" s="265"/>
      <c r="X76" s="268"/>
      <c r="Y76" s="137"/>
      <c r="Z76" s="268"/>
      <c r="AA76" s="268"/>
      <c r="AB76" s="268"/>
      <c r="AC76" s="268"/>
      <c r="AD76" s="137"/>
      <c r="AE76" s="137"/>
      <c r="AF76" s="137"/>
      <c r="AG76" s="137"/>
      <c r="AH76" s="12"/>
      <c r="AI76" s="12"/>
      <c r="AJ76" s="12"/>
    </row>
    <row r="77" spans="1:36" ht="12.75" customHeight="1">
      <c r="A77" s="211" t="s">
        <v>1</v>
      </c>
      <c r="B77" s="12"/>
      <c r="C77" s="108" t="str">
        <f>C44</f>
        <v>Segment 5 Revenue</v>
      </c>
      <c r="D77" s="12"/>
      <c r="E77" s="12"/>
      <c r="F77" s="263">
        <f t="shared" ref="F77:W77" si="39">F44</f>
        <v>0</v>
      </c>
      <c r="G77" s="263">
        <f t="shared" si="39"/>
        <v>0</v>
      </c>
      <c r="H77" s="263">
        <f t="shared" si="39"/>
        <v>0</v>
      </c>
      <c r="I77" s="263">
        <f t="shared" si="39"/>
        <v>0</v>
      </c>
      <c r="J77" s="233">
        <f t="shared" si="39"/>
        <v>0</v>
      </c>
      <c r="K77" s="263">
        <f t="shared" si="39"/>
        <v>0</v>
      </c>
      <c r="L77" s="263">
        <f t="shared" si="39"/>
        <v>0</v>
      </c>
      <c r="M77" s="263">
        <f t="shared" si="39"/>
        <v>0</v>
      </c>
      <c r="N77" s="263">
        <f t="shared" si="39"/>
        <v>0</v>
      </c>
      <c r="O77" s="233">
        <f t="shared" si="39"/>
        <v>0</v>
      </c>
      <c r="P77" s="263">
        <f t="shared" si="39"/>
        <v>0</v>
      </c>
      <c r="Q77" s="263">
        <f t="shared" si="39"/>
        <v>0</v>
      </c>
      <c r="R77" s="263">
        <f t="shared" si="39"/>
        <v>0</v>
      </c>
      <c r="S77" s="263">
        <f t="shared" si="39"/>
        <v>0</v>
      </c>
      <c r="T77" s="233">
        <f t="shared" si="39"/>
        <v>0</v>
      </c>
      <c r="U77" s="263">
        <f t="shared" si="39"/>
        <v>0</v>
      </c>
      <c r="V77" s="263">
        <f t="shared" si="39"/>
        <v>0</v>
      </c>
      <c r="W77" s="263">
        <f t="shared" si="39"/>
        <v>0</v>
      </c>
      <c r="X77" s="232">
        <f>IF($C$25="Quarterly",W77*(1+X78),S77*(1+X78))</f>
        <v>0</v>
      </c>
      <c r="Y77" s="233">
        <f>SUM(U77:X77)</f>
        <v>0</v>
      </c>
      <c r="Z77" s="232">
        <f>IF($C$25="Quarterly",X77*(1+Z78),U77*(1+Z78))</f>
        <v>0</v>
      </c>
      <c r="AA77" s="232">
        <f t="shared" ref="AA77:AC77" si="40">IF($C$25="Quarterly",Z77*(1+AA78),V77*(1+AA78))</f>
        <v>0</v>
      </c>
      <c r="AB77" s="232">
        <f t="shared" si="40"/>
        <v>0</v>
      </c>
      <c r="AC77" s="232">
        <f t="shared" si="40"/>
        <v>0</v>
      </c>
      <c r="AD77" s="233">
        <f>SUM(Z77:AC77)</f>
        <v>0</v>
      </c>
      <c r="AE77" s="233">
        <f t="shared" ref="AE77:AG77" si="41">AD77*(1+AE78)</f>
        <v>0</v>
      </c>
      <c r="AF77" s="233">
        <f t="shared" si="41"/>
        <v>0</v>
      </c>
      <c r="AG77" s="233">
        <f t="shared" si="41"/>
        <v>0</v>
      </c>
      <c r="AH77" s="12"/>
      <c r="AI77" s="12"/>
      <c r="AJ77" s="12"/>
    </row>
    <row r="78" spans="1:36" ht="12.75" customHeight="1">
      <c r="A78" s="12"/>
      <c r="B78" s="12"/>
      <c r="C78" s="89" t="str">
        <f>IF($C$25="Quarterly","% Growth QoQ","% Growth YoY")</f>
        <v>% Growth QoQ</v>
      </c>
      <c r="D78" s="12"/>
      <c r="E78" s="12"/>
      <c r="F78" s="265"/>
      <c r="G78" s="264" t="str">
        <f t="shared" ref="G78:W78" si="42">G45</f>
        <v>N/A</v>
      </c>
      <c r="H78" s="264" t="str">
        <f t="shared" si="42"/>
        <v>N/A</v>
      </c>
      <c r="I78" s="264" t="str">
        <f t="shared" si="42"/>
        <v>N/A</v>
      </c>
      <c r="J78" s="252">
        <f t="shared" si="42"/>
        <v>0</v>
      </c>
      <c r="K78" s="264" t="str">
        <f t="shared" si="42"/>
        <v>N/A</v>
      </c>
      <c r="L78" s="264" t="str">
        <f t="shared" si="42"/>
        <v>N/A</v>
      </c>
      <c r="M78" s="264" t="str">
        <f t="shared" si="42"/>
        <v>N/A</v>
      </c>
      <c r="N78" s="264" t="str">
        <f t="shared" si="42"/>
        <v>N/A</v>
      </c>
      <c r="O78" s="252">
        <f t="shared" si="42"/>
        <v>0</v>
      </c>
      <c r="P78" s="264" t="str">
        <f t="shared" si="42"/>
        <v>N/A</v>
      </c>
      <c r="Q78" s="264" t="str">
        <f t="shared" si="42"/>
        <v>N/A</v>
      </c>
      <c r="R78" s="264" t="str">
        <f t="shared" si="42"/>
        <v>N/A</v>
      </c>
      <c r="S78" s="264" t="str">
        <f t="shared" si="42"/>
        <v>N/A</v>
      </c>
      <c r="T78" s="252">
        <f t="shared" si="42"/>
        <v>0</v>
      </c>
      <c r="U78" s="264" t="str">
        <f t="shared" si="42"/>
        <v>N/A</v>
      </c>
      <c r="V78" s="264" t="str">
        <f t="shared" si="42"/>
        <v>N/A</v>
      </c>
      <c r="W78" s="264" t="str">
        <f t="shared" si="42"/>
        <v>N/A</v>
      </c>
      <c r="X78" s="251">
        <f>IF(Case_Scenario="Bull",X79,IF(Case_Scenario="Base",X80,IF(Case_Scenario="bear",X81,"N/A")))</f>
        <v>0.05</v>
      </c>
      <c r="Y78" s="252"/>
      <c r="Z78" s="251">
        <f>IF(Case_Scenario="Bull",Z79,IF(Case_Scenario="Base",Z80,IF(Case_Scenario="bear",Z81,"N/A")))</f>
        <v>0.05</v>
      </c>
      <c r="AA78" s="251">
        <f>IF(Case_Scenario="Bull",AA79,IF(Case_Scenario="Base",AA80,IF(Case_Scenario="bear",AA81,"N/A")))</f>
        <v>0.05</v>
      </c>
      <c r="AB78" s="251">
        <f>IF(Case_Scenario="Bull",AB79,IF(Case_Scenario="Base",AB80,IF(Case_Scenario="bear",AB81,"N/A")))</f>
        <v>0.05</v>
      </c>
      <c r="AC78" s="251">
        <f>IF(Case_Scenario="Bull",AC79,IF(Case_Scenario="Base",AC80,IF(Case_Scenario="bear",AC81,"N/A")))</f>
        <v>0.05</v>
      </c>
      <c r="AD78" s="252"/>
      <c r="AE78" s="252">
        <f>IF(Case_Scenario="Bull",AE79,IF(Case_Scenario="Base",AE80,IF(Case_Scenario="bear",AE81,"N/A")))</f>
        <v>0.05</v>
      </c>
      <c r="AF78" s="252">
        <f>IF(Case_Scenario="Bull",AF79,IF(Case_Scenario="Base",AF80,IF(Case_Scenario="bear",AF81,"N/A")))</f>
        <v>0.05</v>
      </c>
      <c r="AG78" s="252">
        <f>IF(Case_Scenario="Bull",AG79,IF(Case_Scenario="Base",AG80,IF(Case_Scenario="bear",AG81,"N/A")))</f>
        <v>0.05</v>
      </c>
      <c r="AH78" s="12"/>
      <c r="AI78" s="12"/>
      <c r="AJ78" s="12"/>
    </row>
    <row r="79" spans="1:36" ht="12.75" customHeight="1">
      <c r="A79" s="12"/>
      <c r="B79" s="12"/>
      <c r="C79" s="108" t="s">
        <v>251</v>
      </c>
      <c r="D79" s="12"/>
      <c r="E79" s="12"/>
      <c r="F79" s="265"/>
      <c r="G79" s="265"/>
      <c r="H79" s="265"/>
      <c r="I79" s="265"/>
      <c r="J79" s="137"/>
      <c r="K79" s="265"/>
      <c r="L79" s="265"/>
      <c r="M79" s="265"/>
      <c r="N79" s="265"/>
      <c r="O79" s="137"/>
      <c r="P79" s="265"/>
      <c r="Q79" s="265"/>
      <c r="R79" s="265"/>
      <c r="S79" s="265"/>
      <c r="T79" s="137"/>
      <c r="U79" s="265"/>
      <c r="V79" s="265"/>
      <c r="W79" s="265"/>
      <c r="X79" s="266">
        <v>0.1</v>
      </c>
      <c r="Y79" s="267"/>
      <c r="Z79" s="266">
        <v>0.1</v>
      </c>
      <c r="AA79" s="266">
        <v>0.1</v>
      </c>
      <c r="AB79" s="266">
        <v>0.1</v>
      </c>
      <c r="AC79" s="266">
        <v>0.1</v>
      </c>
      <c r="AD79" s="267"/>
      <c r="AE79" s="267">
        <v>0.1</v>
      </c>
      <c r="AF79" s="267">
        <v>0.1</v>
      </c>
      <c r="AG79" s="267">
        <v>0.1</v>
      </c>
      <c r="AH79" s="12"/>
      <c r="AI79" s="12"/>
      <c r="AJ79" s="12"/>
    </row>
    <row r="80" spans="1:36" ht="12.75" customHeight="1">
      <c r="A80" s="12"/>
      <c r="B80" s="12"/>
      <c r="C80" s="108" t="s">
        <v>252</v>
      </c>
      <c r="D80" s="12"/>
      <c r="E80" s="12"/>
      <c r="F80" s="265"/>
      <c r="G80" s="265"/>
      <c r="H80" s="265"/>
      <c r="I80" s="265"/>
      <c r="J80" s="137"/>
      <c r="K80" s="265"/>
      <c r="L80" s="265"/>
      <c r="M80" s="265"/>
      <c r="N80" s="265"/>
      <c r="O80" s="137"/>
      <c r="P80" s="265"/>
      <c r="Q80" s="265"/>
      <c r="R80" s="265"/>
      <c r="S80" s="265"/>
      <c r="T80" s="137"/>
      <c r="U80" s="265"/>
      <c r="V80" s="265"/>
      <c r="W80" s="265"/>
      <c r="X80" s="266">
        <v>0.05</v>
      </c>
      <c r="Y80" s="267"/>
      <c r="Z80" s="266">
        <v>0.05</v>
      </c>
      <c r="AA80" s="266">
        <v>0.05</v>
      </c>
      <c r="AB80" s="266">
        <v>0.05</v>
      </c>
      <c r="AC80" s="266">
        <v>0.05</v>
      </c>
      <c r="AD80" s="267"/>
      <c r="AE80" s="267">
        <v>0.05</v>
      </c>
      <c r="AF80" s="267">
        <v>0.05</v>
      </c>
      <c r="AG80" s="267">
        <v>0.05</v>
      </c>
      <c r="AH80" s="12"/>
      <c r="AI80" s="12"/>
      <c r="AJ80" s="12"/>
    </row>
    <row r="81" spans="1:36" ht="12.75" customHeight="1">
      <c r="A81" s="12"/>
      <c r="B81" s="12"/>
      <c r="C81" s="108" t="s">
        <v>253</v>
      </c>
      <c r="D81" s="12"/>
      <c r="E81" s="12"/>
      <c r="F81" s="265"/>
      <c r="G81" s="265"/>
      <c r="H81" s="265"/>
      <c r="I81" s="265"/>
      <c r="J81" s="137"/>
      <c r="K81" s="265"/>
      <c r="L81" s="265"/>
      <c r="M81" s="265"/>
      <c r="N81" s="265"/>
      <c r="O81" s="137"/>
      <c r="P81" s="265"/>
      <c r="Q81" s="265"/>
      <c r="R81" s="265"/>
      <c r="S81" s="265"/>
      <c r="T81" s="137"/>
      <c r="U81" s="265"/>
      <c r="V81" s="265"/>
      <c r="W81" s="265"/>
      <c r="X81" s="266">
        <v>0</v>
      </c>
      <c r="Y81" s="267"/>
      <c r="Z81" s="266">
        <v>0</v>
      </c>
      <c r="AA81" s="266">
        <v>0</v>
      </c>
      <c r="AB81" s="266">
        <v>0</v>
      </c>
      <c r="AC81" s="266">
        <v>0</v>
      </c>
      <c r="AD81" s="267"/>
      <c r="AE81" s="267">
        <v>0</v>
      </c>
      <c r="AF81" s="267">
        <v>0</v>
      </c>
      <c r="AG81" s="267">
        <v>0</v>
      </c>
      <c r="AH81" s="12"/>
      <c r="AI81" s="12"/>
      <c r="AJ81" s="12"/>
    </row>
    <row r="82" spans="1:36" ht="12.75" customHeight="1">
      <c r="A82" s="12"/>
      <c r="B82" s="12"/>
      <c r="C82" s="12"/>
      <c r="D82" s="12"/>
      <c r="E82" s="12"/>
      <c r="F82" s="265"/>
      <c r="G82" s="265"/>
      <c r="H82" s="265"/>
      <c r="I82" s="265"/>
      <c r="J82" s="137"/>
      <c r="K82" s="265"/>
      <c r="L82" s="265"/>
      <c r="M82" s="265"/>
      <c r="N82" s="265"/>
      <c r="O82" s="137"/>
      <c r="P82" s="265"/>
      <c r="Q82" s="265"/>
      <c r="R82" s="265"/>
      <c r="S82" s="265"/>
      <c r="T82" s="137"/>
      <c r="U82" s="265"/>
      <c r="V82" s="265"/>
      <c r="W82" s="265"/>
      <c r="X82" s="268"/>
      <c r="Y82" s="137"/>
      <c r="Z82" s="268"/>
      <c r="AA82" s="268"/>
      <c r="AB82" s="268"/>
      <c r="AC82" s="268"/>
      <c r="AD82" s="137"/>
      <c r="AE82" s="137"/>
      <c r="AF82" s="137"/>
      <c r="AG82" s="137"/>
      <c r="AH82" s="12"/>
      <c r="AI82" s="12"/>
      <c r="AJ82" s="12"/>
    </row>
    <row r="83" spans="1:36" ht="12.75" customHeight="1">
      <c r="A83" s="211" t="s">
        <v>1</v>
      </c>
      <c r="B83" s="12"/>
      <c r="C83" s="108" t="str">
        <f>C47</f>
        <v>Segment 6 Revenue</v>
      </c>
      <c r="D83" s="12"/>
      <c r="E83" s="12"/>
      <c r="F83" s="263">
        <f t="shared" ref="F83:W83" si="43">F47</f>
        <v>0</v>
      </c>
      <c r="G83" s="263">
        <f t="shared" si="43"/>
        <v>0</v>
      </c>
      <c r="H83" s="263">
        <f t="shared" si="43"/>
        <v>0</v>
      </c>
      <c r="I83" s="263">
        <f t="shared" si="43"/>
        <v>0</v>
      </c>
      <c r="J83" s="233">
        <f t="shared" si="43"/>
        <v>0</v>
      </c>
      <c r="K83" s="263">
        <f t="shared" si="43"/>
        <v>0</v>
      </c>
      <c r="L83" s="263">
        <f t="shared" si="43"/>
        <v>0</v>
      </c>
      <c r="M83" s="263">
        <f t="shared" si="43"/>
        <v>0</v>
      </c>
      <c r="N83" s="263">
        <f t="shared" si="43"/>
        <v>0</v>
      </c>
      <c r="O83" s="233">
        <f t="shared" si="43"/>
        <v>0</v>
      </c>
      <c r="P83" s="263">
        <f t="shared" si="43"/>
        <v>0</v>
      </c>
      <c r="Q83" s="263">
        <f t="shared" si="43"/>
        <v>0</v>
      </c>
      <c r="R83" s="263">
        <f t="shared" si="43"/>
        <v>0</v>
      </c>
      <c r="S83" s="263">
        <f t="shared" si="43"/>
        <v>0</v>
      </c>
      <c r="T83" s="233">
        <f t="shared" si="43"/>
        <v>0</v>
      </c>
      <c r="U83" s="263">
        <f t="shared" si="43"/>
        <v>0</v>
      </c>
      <c r="V83" s="263">
        <f t="shared" si="43"/>
        <v>0</v>
      </c>
      <c r="W83" s="263">
        <f t="shared" si="43"/>
        <v>0</v>
      </c>
      <c r="X83" s="232">
        <f>IF($C$25="Quarterly",W83*(1+X84),S83*(1+X84))</f>
        <v>0</v>
      </c>
      <c r="Y83" s="233">
        <f>SUM(U83:X83)</f>
        <v>0</v>
      </c>
      <c r="Z83" s="232">
        <f>IF($C$25="Quarterly",X83*(1+Z84),U83*(1+Z84))</f>
        <v>0</v>
      </c>
      <c r="AA83" s="232">
        <f t="shared" ref="AA83:AC83" si="44">IF($C$25="Quarterly",Z83*(1+AA84),V83*(1+AA84))</f>
        <v>0</v>
      </c>
      <c r="AB83" s="232">
        <f t="shared" si="44"/>
        <v>0</v>
      </c>
      <c r="AC83" s="232">
        <f t="shared" si="44"/>
        <v>0</v>
      </c>
      <c r="AD83" s="233">
        <f>SUM(Z83:AC83)</f>
        <v>0</v>
      </c>
      <c r="AE83" s="233">
        <f t="shared" ref="AE83:AG83" si="45">AD83*(1+AE84)</f>
        <v>0</v>
      </c>
      <c r="AF83" s="233">
        <f t="shared" si="45"/>
        <v>0</v>
      </c>
      <c r="AG83" s="233">
        <f t="shared" si="45"/>
        <v>0</v>
      </c>
      <c r="AH83" s="12"/>
      <c r="AI83" s="12"/>
      <c r="AJ83" s="12"/>
    </row>
    <row r="84" spans="1:36" ht="12.75" customHeight="1">
      <c r="A84" s="12"/>
      <c r="B84" s="12"/>
      <c r="C84" s="89" t="str">
        <f>IF($C$25="Quarterly","% Growth QoQ","% Growth YoY")</f>
        <v>% Growth QoQ</v>
      </c>
      <c r="D84" s="12"/>
      <c r="E84" s="12"/>
      <c r="F84" s="265"/>
      <c r="G84" s="264" t="str">
        <f t="shared" ref="G84:W84" si="46">G48</f>
        <v>N/A</v>
      </c>
      <c r="H84" s="264" t="str">
        <f t="shared" si="46"/>
        <v>N/A</v>
      </c>
      <c r="I84" s="264" t="str">
        <f t="shared" si="46"/>
        <v>N/A</v>
      </c>
      <c r="J84" s="252">
        <f t="shared" si="46"/>
        <v>0</v>
      </c>
      <c r="K84" s="264" t="str">
        <f t="shared" si="46"/>
        <v>N/A</v>
      </c>
      <c r="L84" s="264" t="str">
        <f t="shared" si="46"/>
        <v>N/A</v>
      </c>
      <c r="M84" s="264" t="str">
        <f t="shared" si="46"/>
        <v>N/A</v>
      </c>
      <c r="N84" s="264" t="str">
        <f t="shared" si="46"/>
        <v>N/A</v>
      </c>
      <c r="O84" s="252">
        <f t="shared" si="46"/>
        <v>0</v>
      </c>
      <c r="P84" s="264" t="str">
        <f t="shared" si="46"/>
        <v>N/A</v>
      </c>
      <c r="Q84" s="264" t="str">
        <f t="shared" si="46"/>
        <v>N/A</v>
      </c>
      <c r="R84" s="264" t="str">
        <f t="shared" si="46"/>
        <v>N/A</v>
      </c>
      <c r="S84" s="264" t="str">
        <f t="shared" si="46"/>
        <v>N/A</v>
      </c>
      <c r="T84" s="252">
        <f t="shared" si="46"/>
        <v>0</v>
      </c>
      <c r="U84" s="264" t="str">
        <f t="shared" si="46"/>
        <v>N/A</v>
      </c>
      <c r="V84" s="264" t="str">
        <f t="shared" si="46"/>
        <v>N/A</v>
      </c>
      <c r="W84" s="264" t="str">
        <f t="shared" si="46"/>
        <v>N/A</v>
      </c>
      <c r="X84" s="251">
        <f>IF(Case_Scenario="Bull",X85,IF(Case_Scenario="Base",X86,IF(Case_Scenario="bear",X87,"N/A")))</f>
        <v>0</v>
      </c>
      <c r="Y84" s="252"/>
      <c r="Z84" s="251">
        <f>IF(Case_Scenario="Bull",Z85,IF(Case_Scenario="Base",Z86,IF(Case_Scenario="bear",Z87,"N/A")))</f>
        <v>0</v>
      </c>
      <c r="AA84" s="251">
        <f>IF(Case_Scenario="Bull",AA85,IF(Case_Scenario="Base",AA86,IF(Case_Scenario="bear",AA87,"N/A")))</f>
        <v>0</v>
      </c>
      <c r="AB84" s="251">
        <f>IF(Case_Scenario="Bull",AB85,IF(Case_Scenario="Base",AB86,IF(Case_Scenario="bear",AB87,"N/A")))</f>
        <v>0</v>
      </c>
      <c r="AC84" s="251">
        <f>IF(Case_Scenario="Bull",AC85,IF(Case_Scenario="Base",AC86,IF(Case_Scenario="bear",AC87,"N/A")))</f>
        <v>0</v>
      </c>
      <c r="AD84" s="252"/>
      <c r="AE84" s="252">
        <f>IF(Case_Scenario="Bull",AE85,IF(Case_Scenario="Base",AE86,IF(Case_Scenario="bear",AE87,"N/A")))</f>
        <v>0</v>
      </c>
      <c r="AF84" s="252">
        <f>IF(Case_Scenario="Bull",AF85,IF(Case_Scenario="Base",AF86,IF(Case_Scenario="bear",AF87,"N/A")))</f>
        <v>0</v>
      </c>
      <c r="AG84" s="252">
        <f>IF(Case_Scenario="Bull",AG85,IF(Case_Scenario="Base",AG86,IF(Case_Scenario="bear",AG87,"N/A")))</f>
        <v>0</v>
      </c>
      <c r="AH84" s="12"/>
      <c r="AI84" s="12"/>
      <c r="AJ84" s="12"/>
    </row>
    <row r="85" spans="1:36" ht="12.75" customHeight="1">
      <c r="A85" s="12"/>
      <c r="B85" s="12"/>
      <c r="C85" s="108" t="s">
        <v>251</v>
      </c>
      <c r="D85" s="12"/>
      <c r="E85" s="12"/>
      <c r="F85" s="265"/>
      <c r="G85" s="265"/>
      <c r="H85" s="265"/>
      <c r="I85" s="265"/>
      <c r="J85" s="137"/>
      <c r="K85" s="265"/>
      <c r="L85" s="265"/>
      <c r="M85" s="265"/>
      <c r="N85" s="265"/>
      <c r="O85" s="137"/>
      <c r="P85" s="265"/>
      <c r="Q85" s="265"/>
      <c r="R85" s="265"/>
      <c r="S85" s="265"/>
      <c r="T85" s="137"/>
      <c r="U85" s="265"/>
      <c r="V85" s="265"/>
      <c r="W85" s="265"/>
      <c r="X85" s="266">
        <f t="shared" ref="X85:X87" si="47">W85</f>
        <v>0</v>
      </c>
      <c r="Y85" s="267"/>
      <c r="Z85" s="266">
        <f t="shared" ref="Z85:Z87" si="48">X85</f>
        <v>0</v>
      </c>
      <c r="AA85" s="266">
        <f t="shared" ref="AA85:AC85" si="49">Z85</f>
        <v>0</v>
      </c>
      <c r="AB85" s="266">
        <f t="shared" si="49"/>
        <v>0</v>
      </c>
      <c r="AC85" s="266">
        <f t="shared" si="49"/>
        <v>0</v>
      </c>
      <c r="AD85" s="267"/>
      <c r="AE85" s="267">
        <f t="shared" ref="AE85:AE87" si="50">AC85</f>
        <v>0</v>
      </c>
      <c r="AF85" s="267">
        <f t="shared" ref="AF85:AG85" si="51">AE85</f>
        <v>0</v>
      </c>
      <c r="AG85" s="267">
        <f t="shared" si="51"/>
        <v>0</v>
      </c>
      <c r="AH85" s="12"/>
      <c r="AI85" s="12"/>
      <c r="AJ85" s="12"/>
    </row>
    <row r="86" spans="1:36" ht="12.75" customHeight="1">
      <c r="A86" s="12"/>
      <c r="B86" s="12"/>
      <c r="C86" s="108" t="s">
        <v>252</v>
      </c>
      <c r="D86" s="12"/>
      <c r="E86" s="12"/>
      <c r="F86" s="265"/>
      <c r="G86" s="265"/>
      <c r="H86" s="265"/>
      <c r="I86" s="265"/>
      <c r="J86" s="137"/>
      <c r="K86" s="265"/>
      <c r="L86" s="265"/>
      <c r="M86" s="265"/>
      <c r="N86" s="265"/>
      <c r="O86" s="137"/>
      <c r="P86" s="265"/>
      <c r="Q86" s="265"/>
      <c r="R86" s="265"/>
      <c r="S86" s="265"/>
      <c r="T86" s="137"/>
      <c r="U86" s="265"/>
      <c r="V86" s="265"/>
      <c r="W86" s="265"/>
      <c r="X86" s="266">
        <f t="shared" si="47"/>
        <v>0</v>
      </c>
      <c r="Y86" s="267"/>
      <c r="Z86" s="266">
        <f t="shared" si="48"/>
        <v>0</v>
      </c>
      <c r="AA86" s="266">
        <f t="shared" ref="AA86:AC86" si="52">Z86</f>
        <v>0</v>
      </c>
      <c r="AB86" s="266">
        <f t="shared" si="52"/>
        <v>0</v>
      </c>
      <c r="AC86" s="266">
        <f t="shared" si="52"/>
        <v>0</v>
      </c>
      <c r="AD86" s="267"/>
      <c r="AE86" s="267">
        <f t="shared" si="50"/>
        <v>0</v>
      </c>
      <c r="AF86" s="267">
        <f t="shared" ref="AF86:AG86" si="53">AE86</f>
        <v>0</v>
      </c>
      <c r="AG86" s="267">
        <f t="shared" si="53"/>
        <v>0</v>
      </c>
      <c r="AH86" s="12"/>
      <c r="AI86" s="12"/>
      <c r="AJ86" s="12"/>
    </row>
    <row r="87" spans="1:36" ht="12.75" customHeight="1">
      <c r="A87" s="12"/>
      <c r="B87" s="12"/>
      <c r="C87" s="108" t="s">
        <v>253</v>
      </c>
      <c r="D87" s="12"/>
      <c r="E87" s="12"/>
      <c r="F87" s="265"/>
      <c r="G87" s="265"/>
      <c r="H87" s="265"/>
      <c r="I87" s="265"/>
      <c r="J87" s="137"/>
      <c r="K87" s="265"/>
      <c r="L87" s="265"/>
      <c r="M87" s="265"/>
      <c r="N87" s="265"/>
      <c r="O87" s="137"/>
      <c r="P87" s="265"/>
      <c r="Q87" s="265"/>
      <c r="R87" s="265"/>
      <c r="S87" s="265"/>
      <c r="T87" s="137"/>
      <c r="U87" s="265"/>
      <c r="V87" s="265"/>
      <c r="W87" s="265"/>
      <c r="X87" s="266">
        <f t="shared" si="47"/>
        <v>0</v>
      </c>
      <c r="Y87" s="267"/>
      <c r="Z87" s="266">
        <f t="shared" si="48"/>
        <v>0</v>
      </c>
      <c r="AA87" s="266">
        <f t="shared" ref="AA87:AC87" si="54">Z87</f>
        <v>0</v>
      </c>
      <c r="AB87" s="266">
        <f t="shared" si="54"/>
        <v>0</v>
      </c>
      <c r="AC87" s="266">
        <f t="shared" si="54"/>
        <v>0</v>
      </c>
      <c r="AD87" s="267"/>
      <c r="AE87" s="267">
        <f t="shared" si="50"/>
        <v>0</v>
      </c>
      <c r="AF87" s="267">
        <f t="shared" ref="AF87:AG87" si="55">AE87</f>
        <v>0</v>
      </c>
      <c r="AG87" s="267">
        <f t="shared" si="55"/>
        <v>0</v>
      </c>
      <c r="AH87" s="12"/>
      <c r="AI87" s="12"/>
      <c r="AJ87" s="12"/>
    </row>
    <row r="88" spans="1:36" ht="12.75" customHeight="1">
      <c r="A88" s="12"/>
      <c r="B88" s="12"/>
      <c r="C88" s="12"/>
      <c r="D88" s="12"/>
      <c r="E88" s="12"/>
      <c r="F88" s="265"/>
      <c r="G88" s="265"/>
      <c r="H88" s="265"/>
      <c r="I88" s="265"/>
      <c r="J88" s="137"/>
      <c r="K88" s="265"/>
      <c r="L88" s="265"/>
      <c r="M88" s="265"/>
      <c r="N88" s="265"/>
      <c r="O88" s="137"/>
      <c r="P88" s="265"/>
      <c r="Q88" s="265"/>
      <c r="R88" s="265"/>
      <c r="S88" s="265"/>
      <c r="T88" s="137"/>
      <c r="U88" s="265"/>
      <c r="V88" s="265"/>
      <c r="W88" s="265"/>
      <c r="X88" s="268"/>
      <c r="Y88" s="137"/>
      <c r="Z88" s="268"/>
      <c r="AA88" s="268"/>
      <c r="AB88" s="268"/>
      <c r="AC88" s="268"/>
      <c r="AD88" s="137"/>
      <c r="AE88" s="137"/>
      <c r="AF88" s="137"/>
      <c r="AG88" s="137"/>
      <c r="AH88" s="12"/>
      <c r="AI88" s="12"/>
      <c r="AJ88" s="12"/>
    </row>
    <row r="89" spans="1:36" ht="12.75" customHeight="1">
      <c r="A89" s="211" t="s">
        <v>1</v>
      </c>
      <c r="B89" s="12"/>
      <c r="C89" s="55" t="s">
        <v>254</v>
      </c>
      <c r="D89" s="15"/>
      <c r="E89" s="15"/>
      <c r="F89" s="259" t="str">
        <f t="shared" ref="F89:AG89" si="56">F$28</f>
        <v>1Q23</v>
      </c>
      <c r="G89" s="259" t="str">
        <f t="shared" si="56"/>
        <v>2Q23</v>
      </c>
      <c r="H89" s="259" t="str">
        <f t="shared" si="56"/>
        <v>3Q23</v>
      </c>
      <c r="I89" s="259" t="str">
        <f t="shared" si="56"/>
        <v>4Q23</v>
      </c>
      <c r="J89" s="259">
        <f t="shared" si="56"/>
        <v>2023</v>
      </c>
      <c r="K89" s="259" t="str">
        <f t="shared" si="56"/>
        <v>1Q24</v>
      </c>
      <c r="L89" s="259" t="str">
        <f t="shared" si="56"/>
        <v>2Q24</v>
      </c>
      <c r="M89" s="259" t="str">
        <f t="shared" si="56"/>
        <v>3Q24</v>
      </c>
      <c r="N89" s="259" t="str">
        <f t="shared" si="56"/>
        <v>4Q24</v>
      </c>
      <c r="O89" s="259">
        <f t="shared" si="56"/>
        <v>2024</v>
      </c>
      <c r="P89" s="259" t="str">
        <f t="shared" si="56"/>
        <v>1Q25</v>
      </c>
      <c r="Q89" s="259" t="str">
        <f t="shared" si="56"/>
        <v>2Q25</v>
      </c>
      <c r="R89" s="259" t="str">
        <f t="shared" si="56"/>
        <v>3Q25</v>
      </c>
      <c r="S89" s="259" t="str">
        <f t="shared" si="56"/>
        <v>4Q25</v>
      </c>
      <c r="T89" s="259">
        <f t="shared" si="56"/>
        <v>2025</v>
      </c>
      <c r="U89" s="259" t="str">
        <f t="shared" si="56"/>
        <v>1Q26</v>
      </c>
      <c r="V89" s="259" t="str">
        <f t="shared" si="56"/>
        <v>2Q26</v>
      </c>
      <c r="W89" s="259" t="str">
        <f t="shared" si="56"/>
        <v>3Q26e</v>
      </c>
      <c r="X89" s="259" t="str">
        <f t="shared" si="56"/>
        <v>4Q26e</v>
      </c>
      <c r="Y89" s="259" t="str">
        <f t="shared" si="56"/>
        <v>2026e</v>
      </c>
      <c r="Z89" s="259" t="str">
        <f t="shared" si="56"/>
        <v>1Q27e</v>
      </c>
      <c r="AA89" s="259" t="str">
        <f t="shared" si="56"/>
        <v>2Q27e</v>
      </c>
      <c r="AB89" s="259" t="str">
        <f t="shared" si="56"/>
        <v>3Q27e</v>
      </c>
      <c r="AC89" s="259" t="str">
        <f t="shared" si="56"/>
        <v>4Q27e</v>
      </c>
      <c r="AD89" s="259" t="str">
        <f t="shared" si="56"/>
        <v>2027e</v>
      </c>
      <c r="AE89" s="259" t="str">
        <f t="shared" si="56"/>
        <v>2028e</v>
      </c>
      <c r="AF89" s="259" t="str">
        <f t="shared" si="56"/>
        <v>2029e</v>
      </c>
      <c r="AG89" s="260" t="str">
        <f t="shared" si="56"/>
        <v>2030e</v>
      </c>
      <c r="AH89" s="223" t="s">
        <v>1</v>
      </c>
      <c r="AI89" s="12"/>
      <c r="AJ89" s="12"/>
    </row>
    <row r="90" spans="1:36" ht="12.75" customHeight="1">
      <c r="A90" s="12"/>
      <c r="B90" s="12"/>
      <c r="C90" s="12"/>
      <c r="D90" s="12"/>
      <c r="E90" s="12"/>
      <c r="F90" s="261"/>
      <c r="G90" s="261"/>
      <c r="H90" s="261"/>
      <c r="I90" s="261"/>
      <c r="J90" s="12"/>
      <c r="K90" s="261"/>
      <c r="L90" s="261"/>
      <c r="M90" s="261"/>
      <c r="N90" s="261"/>
      <c r="O90" s="12"/>
      <c r="P90" s="261"/>
      <c r="Q90" s="261"/>
      <c r="R90" s="261"/>
      <c r="S90" s="261"/>
      <c r="T90" s="12"/>
      <c r="U90" s="261"/>
      <c r="V90" s="261"/>
      <c r="W90" s="261"/>
      <c r="X90" s="262"/>
      <c r="Y90" s="12"/>
      <c r="Z90" s="262"/>
      <c r="AA90" s="262"/>
      <c r="AB90" s="262"/>
      <c r="AC90" s="262"/>
      <c r="AD90" s="12"/>
      <c r="AE90" s="12"/>
      <c r="AF90" s="12"/>
      <c r="AG90" s="12"/>
      <c r="AH90" s="12"/>
      <c r="AI90" s="12"/>
      <c r="AJ90" s="12"/>
    </row>
    <row r="91" spans="1:36" ht="12.75" hidden="1" customHeight="1" outlineLevel="1" collapsed="1">
      <c r="A91" s="211"/>
      <c r="B91" s="12"/>
      <c r="C91" s="108" t="str">
        <f>C32</f>
        <v>Home Improvement Retail Revenue</v>
      </c>
      <c r="D91" s="12"/>
      <c r="E91" s="137"/>
      <c r="F91" s="263">
        <f t="shared" ref="F91:W91" si="57">F32</f>
        <v>8161.5029999999997</v>
      </c>
      <c r="G91" s="263">
        <f t="shared" si="57"/>
        <v>8187.3010000000004</v>
      </c>
      <c r="H91" s="263">
        <f t="shared" si="57"/>
        <v>8541.6679999999997</v>
      </c>
      <c r="I91" s="263">
        <f t="shared" si="57"/>
        <v>8832.8250000000007</v>
      </c>
      <c r="J91" s="233">
        <f t="shared" si="57"/>
        <v>33723.297000000006</v>
      </c>
      <c r="K91" s="263">
        <f t="shared" si="57"/>
        <v>9370.44</v>
      </c>
      <c r="L91" s="263">
        <f t="shared" si="57"/>
        <v>9559.31</v>
      </c>
      <c r="M91" s="263">
        <f t="shared" si="57"/>
        <v>9824.7029999999995</v>
      </c>
      <c r="N91" s="263">
        <f t="shared" si="57"/>
        <v>10246.513000000001</v>
      </c>
      <c r="O91" s="233">
        <f t="shared" si="57"/>
        <v>39000.966</v>
      </c>
      <c r="P91" s="263">
        <f t="shared" si="57"/>
        <v>10542.800999999999</v>
      </c>
      <c r="Q91" s="263">
        <f t="shared" si="57"/>
        <v>11079.165999999999</v>
      </c>
      <c r="R91" s="263">
        <f t="shared" si="57"/>
        <v>11510.307000000001</v>
      </c>
      <c r="S91" s="263">
        <f t="shared" si="57"/>
        <v>12050.762000000001</v>
      </c>
      <c r="T91" s="233">
        <f t="shared" si="57"/>
        <v>45183.036</v>
      </c>
      <c r="U91" s="263">
        <f t="shared" si="57"/>
        <v>12249.757</v>
      </c>
      <c r="V91" s="263">
        <f t="shared" si="57"/>
        <v>27570</v>
      </c>
      <c r="W91" s="263">
        <f t="shared" si="57"/>
        <v>22918</v>
      </c>
      <c r="X91" s="232">
        <f>X92*X97</f>
        <v>25267.095000000001</v>
      </c>
      <c r="Y91" s="233">
        <f t="shared" ref="Y91:Y92" si="58">SUM(U91:X91)</f>
        <v>88004.851999999999</v>
      </c>
      <c r="Z91" s="232">
        <f t="shared" ref="Z91:AC91" si="59">Z92*Z97</f>
        <v>27856.972237500006</v>
      </c>
      <c r="AA91" s="232">
        <f t="shared" si="59"/>
        <v>30712.311891843754</v>
      </c>
      <c r="AB91" s="232">
        <f t="shared" si="59"/>
        <v>33860.323860757744</v>
      </c>
      <c r="AC91" s="232">
        <f t="shared" si="59"/>
        <v>37331.007056485418</v>
      </c>
      <c r="AD91" s="233">
        <f t="shared" ref="AD91:AD92" si="60">SUM(Z91:AC91)</f>
        <v>129760.61504658693</v>
      </c>
      <c r="AE91" s="233">
        <f t="shared" ref="AE91:AG91" si="61">AE92*AE97</f>
        <v>143061.07808886209</v>
      </c>
      <c r="AF91" s="233">
        <f t="shared" si="61"/>
        <v>157724.83859297048</v>
      </c>
      <c r="AG91" s="233">
        <f t="shared" si="61"/>
        <v>173891.63454874995</v>
      </c>
      <c r="AH91" s="12"/>
      <c r="AI91" s="12"/>
      <c r="AJ91" s="12"/>
    </row>
    <row r="92" spans="1:36" ht="12.75" hidden="1" customHeight="1" outlineLevel="1" collapsed="1">
      <c r="A92" s="12"/>
      <c r="B92" s="12"/>
      <c r="C92" s="108" t="s">
        <v>255</v>
      </c>
      <c r="D92" s="12"/>
      <c r="E92" s="137"/>
      <c r="F92" s="271">
        <v>220</v>
      </c>
      <c r="G92" s="271">
        <v>220</v>
      </c>
      <c r="H92" s="271">
        <v>220</v>
      </c>
      <c r="I92" s="271">
        <v>220</v>
      </c>
      <c r="J92" s="272">
        <f>SUM(F92:I92)</f>
        <v>880</v>
      </c>
      <c r="K92" s="271">
        <v>220</v>
      </c>
      <c r="L92" s="271">
        <v>220</v>
      </c>
      <c r="M92" s="271">
        <v>220</v>
      </c>
      <c r="N92" s="271">
        <v>220</v>
      </c>
      <c r="O92" s="272">
        <f>SUM(K92:N92)</f>
        <v>880</v>
      </c>
      <c r="P92" s="271">
        <v>220</v>
      </c>
      <c r="Q92" s="271">
        <v>220</v>
      </c>
      <c r="R92" s="271">
        <v>220</v>
      </c>
      <c r="S92" s="271">
        <v>220</v>
      </c>
      <c r="T92" s="272">
        <f>SUM(P92:S92)</f>
        <v>880</v>
      </c>
      <c r="U92" s="271">
        <v>220</v>
      </c>
      <c r="V92" s="271">
        <v>220</v>
      </c>
      <c r="W92" s="271">
        <v>220</v>
      </c>
      <c r="X92" s="273">
        <f>W92*(1+X93)</f>
        <v>231</v>
      </c>
      <c r="Y92" s="272">
        <f t="shared" si="58"/>
        <v>891</v>
      </c>
      <c r="Z92" s="273">
        <f>X92*(1+Z93)</f>
        <v>242.55</v>
      </c>
      <c r="AA92" s="273">
        <f t="shared" ref="AA92:AC92" si="62">Z92*(1+AA93)</f>
        <v>254.67750000000001</v>
      </c>
      <c r="AB92" s="273">
        <f t="shared" si="62"/>
        <v>267.41137500000002</v>
      </c>
      <c r="AC92" s="273">
        <f t="shared" si="62"/>
        <v>280.78194375000004</v>
      </c>
      <c r="AD92" s="272">
        <f t="shared" si="60"/>
        <v>1045.4208187500001</v>
      </c>
      <c r="AE92" s="272">
        <f t="shared" ref="AE92:AG92" si="63">AD92*(1+AE93)</f>
        <v>1097.6918596875</v>
      </c>
      <c r="AF92" s="272">
        <f t="shared" si="63"/>
        <v>1152.5764526718751</v>
      </c>
      <c r="AG92" s="272">
        <f t="shared" si="63"/>
        <v>1210.2052753054688</v>
      </c>
      <c r="AH92" s="12"/>
      <c r="AI92" s="12"/>
      <c r="AJ92" s="12"/>
    </row>
    <row r="93" spans="1:36" ht="12.75" hidden="1" customHeight="1" outlineLevel="1" collapsed="1">
      <c r="A93" s="12"/>
      <c r="B93" s="12"/>
      <c r="C93" s="89" t="s">
        <v>256</v>
      </c>
      <c r="D93" s="12"/>
      <c r="E93" s="137"/>
      <c r="F93" s="265"/>
      <c r="G93" s="264">
        <f t="shared" ref="G93:I93" si="64">IFERROR(G92/F92-1,"--")</f>
        <v>0</v>
      </c>
      <c r="H93" s="264">
        <f t="shared" si="64"/>
        <v>0</v>
      </c>
      <c r="I93" s="264">
        <f t="shared" si="64"/>
        <v>0</v>
      </c>
      <c r="J93" s="137"/>
      <c r="K93" s="264">
        <f>IFERROR(K92/I92-1,"--")</f>
        <v>0</v>
      </c>
      <c r="L93" s="264">
        <f t="shared" ref="L93:N93" si="65">IFERROR(L92/K92-1,"--")</f>
        <v>0</v>
      </c>
      <c r="M93" s="264">
        <f t="shared" si="65"/>
        <v>0</v>
      </c>
      <c r="N93" s="264">
        <f t="shared" si="65"/>
        <v>0</v>
      </c>
      <c r="O93" s="252">
        <f>IFERROR(O92/J92-1,"--")</f>
        <v>0</v>
      </c>
      <c r="P93" s="264">
        <f>IFERROR(P92/N92-1,"--")</f>
        <v>0</v>
      </c>
      <c r="Q93" s="264">
        <f t="shared" ref="Q93:S93" si="66">IFERROR(Q92/P92-1,"--")</f>
        <v>0</v>
      </c>
      <c r="R93" s="264">
        <f t="shared" si="66"/>
        <v>0</v>
      </c>
      <c r="S93" s="264">
        <f t="shared" si="66"/>
        <v>0</v>
      </c>
      <c r="T93" s="252">
        <f>IFERROR(T92/O92-1,"--")</f>
        <v>0</v>
      </c>
      <c r="U93" s="264">
        <f>IFERROR(U92/S92-1,"--")</f>
        <v>0</v>
      </c>
      <c r="V93" s="264">
        <f t="shared" ref="V93:W93" si="67">IFERROR(V92/U92-1,"--")</f>
        <v>0</v>
      </c>
      <c r="W93" s="264">
        <f t="shared" si="67"/>
        <v>0</v>
      </c>
      <c r="X93" s="251">
        <f>IF(Case_Scenario="Bull",X94,IF(Case_Scenario="Base",X95,IF(Case_Scenario="bear",X96,"N/A")))</f>
        <v>0.05</v>
      </c>
      <c r="Y93" s="252"/>
      <c r="Z93" s="251">
        <f>IF(Case_Scenario="Bull",Z94,IF(Case_Scenario="Base",Z95,IF(Case_Scenario="bear",Z96,"N/A")))</f>
        <v>0.05</v>
      </c>
      <c r="AA93" s="251">
        <f>IF(Case_Scenario="Bull",AA94,IF(Case_Scenario="Base",AA95,IF(Case_Scenario="bear",AA96,"N/A")))</f>
        <v>0.05</v>
      </c>
      <c r="AB93" s="251">
        <f>IF(Case_Scenario="Bull",AB94,IF(Case_Scenario="Base",AB95,IF(Case_Scenario="bear",AB96,"N/A")))</f>
        <v>0.05</v>
      </c>
      <c r="AC93" s="251">
        <f>IF(Case_Scenario="Bull",AC94,IF(Case_Scenario="Base",AC95,IF(Case_Scenario="bear",AC96,"N/A")))</f>
        <v>0.05</v>
      </c>
      <c r="AD93" s="252"/>
      <c r="AE93" s="252">
        <f>IF(Case_Scenario="Bull",AE94,IF(Case_Scenario="Base",AE95,IF(Case_Scenario="bear",AE96,"N/A")))</f>
        <v>0.05</v>
      </c>
      <c r="AF93" s="252">
        <f>IF(Case_Scenario="Bull",AF94,IF(Case_Scenario="Base",AF95,IF(Case_Scenario="bear",AF96,"N/A")))</f>
        <v>0.05</v>
      </c>
      <c r="AG93" s="252">
        <f>IF(Case_Scenario="Bull",AG94,IF(Case_Scenario="Base",AG95,IF(Case_Scenario="bear",AG96,"N/A")))</f>
        <v>0.05</v>
      </c>
      <c r="AH93" s="12"/>
      <c r="AI93" s="12"/>
      <c r="AJ93" s="12"/>
    </row>
    <row r="94" spans="1:36" ht="12.75" hidden="1" customHeight="1" outlineLevel="1" collapsed="1">
      <c r="A94" s="12"/>
      <c r="B94" s="12"/>
      <c r="C94" s="108" t="s">
        <v>251</v>
      </c>
      <c r="D94" s="12"/>
      <c r="E94" s="137"/>
      <c r="F94" s="265"/>
      <c r="G94" s="265"/>
      <c r="H94" s="265"/>
      <c r="I94" s="265"/>
      <c r="J94" s="137"/>
      <c r="K94" s="265"/>
      <c r="L94" s="265"/>
      <c r="M94" s="265"/>
      <c r="N94" s="265"/>
      <c r="O94" s="137"/>
      <c r="P94" s="265"/>
      <c r="Q94" s="265"/>
      <c r="R94" s="265"/>
      <c r="S94" s="265"/>
      <c r="T94" s="137"/>
      <c r="U94" s="265"/>
      <c r="V94" s="265"/>
      <c r="W94" s="265"/>
      <c r="X94" s="266">
        <v>0.1</v>
      </c>
      <c r="Y94" s="267"/>
      <c r="Z94" s="266">
        <v>0.1</v>
      </c>
      <c r="AA94" s="266">
        <v>0.1</v>
      </c>
      <c r="AB94" s="266">
        <v>0.1</v>
      </c>
      <c r="AC94" s="266">
        <v>0.1</v>
      </c>
      <c r="AD94" s="267"/>
      <c r="AE94" s="267">
        <v>0.1</v>
      </c>
      <c r="AF94" s="267">
        <v>0.1</v>
      </c>
      <c r="AG94" s="267">
        <v>0.1</v>
      </c>
      <c r="AH94" s="12"/>
      <c r="AI94" s="12"/>
      <c r="AJ94" s="12"/>
    </row>
    <row r="95" spans="1:36" ht="12.75" hidden="1" customHeight="1" outlineLevel="1" collapsed="1">
      <c r="A95" s="12"/>
      <c r="B95" s="12"/>
      <c r="C95" s="108" t="s">
        <v>252</v>
      </c>
      <c r="D95" s="12"/>
      <c r="E95" s="137"/>
      <c r="F95" s="265"/>
      <c r="G95" s="265"/>
      <c r="H95" s="265"/>
      <c r="I95" s="265"/>
      <c r="J95" s="137"/>
      <c r="K95" s="265"/>
      <c r="L95" s="265"/>
      <c r="M95" s="265"/>
      <c r="N95" s="265"/>
      <c r="O95" s="137"/>
      <c r="P95" s="265"/>
      <c r="Q95" s="265"/>
      <c r="R95" s="265"/>
      <c r="S95" s="265"/>
      <c r="T95" s="137"/>
      <c r="U95" s="265"/>
      <c r="V95" s="265"/>
      <c r="W95" s="265"/>
      <c r="X95" s="266">
        <v>0.05</v>
      </c>
      <c r="Y95" s="267"/>
      <c r="Z95" s="266">
        <v>0.05</v>
      </c>
      <c r="AA95" s="266">
        <v>0.05</v>
      </c>
      <c r="AB95" s="266">
        <v>0.05</v>
      </c>
      <c r="AC95" s="266">
        <v>0.05</v>
      </c>
      <c r="AD95" s="267"/>
      <c r="AE95" s="267">
        <v>0.05</v>
      </c>
      <c r="AF95" s="267">
        <v>0.05</v>
      </c>
      <c r="AG95" s="267">
        <v>0.05</v>
      </c>
      <c r="AH95" s="12"/>
      <c r="AI95" s="12"/>
      <c r="AJ95" s="12"/>
    </row>
    <row r="96" spans="1:36" ht="12.75" hidden="1" customHeight="1" outlineLevel="1" collapsed="1">
      <c r="A96" s="12"/>
      <c r="B96" s="12"/>
      <c r="C96" s="108" t="s">
        <v>253</v>
      </c>
      <c r="D96" s="12"/>
      <c r="E96" s="137"/>
      <c r="F96" s="265"/>
      <c r="G96" s="265"/>
      <c r="H96" s="265"/>
      <c r="I96" s="265"/>
      <c r="J96" s="137"/>
      <c r="K96" s="265"/>
      <c r="L96" s="265"/>
      <c r="M96" s="265"/>
      <c r="N96" s="265"/>
      <c r="O96" s="137"/>
      <c r="P96" s="265"/>
      <c r="Q96" s="265"/>
      <c r="R96" s="265"/>
      <c r="S96" s="265"/>
      <c r="T96" s="137"/>
      <c r="U96" s="265"/>
      <c r="V96" s="265"/>
      <c r="W96" s="265"/>
      <c r="X96" s="266">
        <v>0</v>
      </c>
      <c r="Y96" s="267"/>
      <c r="Z96" s="266">
        <v>0</v>
      </c>
      <c r="AA96" s="266">
        <v>0</v>
      </c>
      <c r="AB96" s="266">
        <v>0</v>
      </c>
      <c r="AC96" s="266">
        <v>0</v>
      </c>
      <c r="AD96" s="267"/>
      <c r="AE96" s="267">
        <v>0</v>
      </c>
      <c r="AF96" s="267">
        <v>0</v>
      </c>
      <c r="AG96" s="267">
        <v>0</v>
      </c>
      <c r="AH96" s="12"/>
      <c r="AI96" s="12"/>
      <c r="AJ96" s="12"/>
    </row>
    <row r="97" spans="1:36" ht="12.75" hidden="1" customHeight="1" outlineLevel="1" collapsed="1">
      <c r="A97" s="12"/>
      <c r="B97" s="12"/>
      <c r="C97" s="108" t="s">
        <v>166</v>
      </c>
      <c r="D97" s="12"/>
      <c r="E97" s="137"/>
      <c r="F97" s="263">
        <f t="shared" ref="F97:W97" si="68">IFERROR(F91/F92,"--")</f>
        <v>37.097740909090909</v>
      </c>
      <c r="G97" s="263">
        <f t="shared" si="68"/>
        <v>37.215004545454548</v>
      </c>
      <c r="H97" s="263">
        <f t="shared" si="68"/>
        <v>38.825763636363632</v>
      </c>
      <c r="I97" s="263">
        <f t="shared" si="68"/>
        <v>40.149204545454552</v>
      </c>
      <c r="J97" s="233">
        <f t="shared" si="68"/>
        <v>38.321928409090916</v>
      </c>
      <c r="K97" s="263">
        <f t="shared" si="68"/>
        <v>42.592909090909096</v>
      </c>
      <c r="L97" s="263">
        <f t="shared" si="68"/>
        <v>43.451409090909088</v>
      </c>
      <c r="M97" s="263">
        <f t="shared" si="68"/>
        <v>44.657740909090904</v>
      </c>
      <c r="N97" s="263">
        <f t="shared" si="68"/>
        <v>46.575059090909093</v>
      </c>
      <c r="O97" s="233">
        <f t="shared" si="68"/>
        <v>44.319279545454549</v>
      </c>
      <c r="P97" s="263">
        <f t="shared" si="68"/>
        <v>47.921822727272726</v>
      </c>
      <c r="Q97" s="263">
        <f t="shared" si="68"/>
        <v>50.35984545454545</v>
      </c>
      <c r="R97" s="263">
        <f t="shared" si="68"/>
        <v>52.319577272727273</v>
      </c>
      <c r="S97" s="263">
        <f t="shared" si="68"/>
        <v>54.776190909090914</v>
      </c>
      <c r="T97" s="233">
        <f t="shared" si="68"/>
        <v>51.344359090909094</v>
      </c>
      <c r="U97" s="263">
        <f t="shared" si="68"/>
        <v>55.680713636363635</v>
      </c>
      <c r="V97" s="263">
        <f t="shared" si="68"/>
        <v>125.31818181818181</v>
      </c>
      <c r="W97" s="263">
        <f t="shared" si="68"/>
        <v>104.17272727272727</v>
      </c>
      <c r="X97" s="232">
        <f>W97*(1+X98)</f>
        <v>109.38136363636364</v>
      </c>
      <c r="Y97" s="233">
        <f>Y91/Y92</f>
        <v>98.770877665544333</v>
      </c>
      <c r="Z97" s="232">
        <f>X97*(1+Z98)</f>
        <v>114.85043181818183</v>
      </c>
      <c r="AA97" s="232">
        <f t="shared" ref="AA97:AC97" si="69">Z97*(1+AA98)</f>
        <v>120.59295340909092</v>
      </c>
      <c r="AB97" s="232">
        <f t="shared" si="69"/>
        <v>126.62260107954548</v>
      </c>
      <c r="AC97" s="232">
        <f t="shared" si="69"/>
        <v>132.95373113352275</v>
      </c>
      <c r="AD97" s="233">
        <f>AD91/AD92</f>
        <v>124.12285341872231</v>
      </c>
      <c r="AE97" s="233">
        <f t="shared" ref="AE97:AG97" si="70">AD97*(1+AE98)</f>
        <v>130.32899608965843</v>
      </c>
      <c r="AF97" s="233">
        <f t="shared" si="70"/>
        <v>136.84544589414136</v>
      </c>
      <c r="AG97" s="233">
        <f t="shared" si="70"/>
        <v>143.68771818884844</v>
      </c>
      <c r="AH97" s="12"/>
      <c r="AI97" s="12"/>
      <c r="AJ97" s="12"/>
    </row>
    <row r="98" spans="1:36" ht="12.75" hidden="1" customHeight="1" outlineLevel="1" collapsed="1">
      <c r="A98" s="12"/>
      <c r="B98" s="12"/>
      <c r="C98" s="89" t="s">
        <v>257</v>
      </c>
      <c r="D98" s="12"/>
      <c r="E98" s="137"/>
      <c r="F98" s="265"/>
      <c r="G98" s="264">
        <f t="shared" ref="G98:I98" si="71">IFERROR(G97/F97-1,"--")</f>
        <v>3.1609373910663763E-3</v>
      </c>
      <c r="H98" s="264">
        <f t="shared" si="71"/>
        <v>4.3282517645314211E-2</v>
      </c>
      <c r="I98" s="264">
        <f t="shared" si="71"/>
        <v>3.4086667849886343E-2</v>
      </c>
      <c r="J98" s="137"/>
      <c r="K98" s="264">
        <f>IFERROR(K97/I97-1,"--")</f>
        <v>6.0865578113457497E-2</v>
      </c>
      <c r="L98" s="264">
        <f t="shared" ref="L98:N98" si="72">IFERROR(L97/K97-1,"--")</f>
        <v>2.0155937181178141E-2</v>
      </c>
      <c r="M98" s="264">
        <f t="shared" si="72"/>
        <v>2.7762777857397669E-2</v>
      </c>
      <c r="N98" s="264">
        <f t="shared" si="72"/>
        <v>4.2933613362154732E-2</v>
      </c>
      <c r="O98" s="252">
        <f>IFERROR(O97/J97-1,"--")</f>
        <v>0.15649919994477401</v>
      </c>
      <c r="P98" s="264">
        <f>IFERROR(P97/N97-1,"--")</f>
        <v>2.8915983417968638E-2</v>
      </c>
      <c r="Q98" s="264">
        <f t="shared" ref="Q98:S98" si="73">IFERROR(Q97/P97-1,"--")</f>
        <v>5.0874999917004837E-2</v>
      </c>
      <c r="R98" s="264">
        <f t="shared" si="73"/>
        <v>3.8914571728594138E-2</v>
      </c>
      <c r="S98" s="264">
        <f t="shared" si="73"/>
        <v>4.695400392013882E-2</v>
      </c>
      <c r="T98" s="252">
        <f>IFERROR(T97/O97-1,"--")</f>
        <v>0.15851068919677536</v>
      </c>
      <c r="U98" s="264">
        <f>IFERROR(U97/S97-1,"--")</f>
        <v>1.6513063655227755E-2</v>
      </c>
      <c r="V98" s="264">
        <f t="shared" ref="V98:W98" si="74">IFERROR(V97/U97-1,"--")</f>
        <v>1.2506568905815847</v>
      </c>
      <c r="W98" s="264">
        <f t="shared" si="74"/>
        <v>-0.16873413130213999</v>
      </c>
      <c r="X98" s="251">
        <f>IF(Case_Scenario="Bull",X99,IF(Case_Scenario="Base",X100,IF(Case_Scenario="bear",X101,"N/A")))</f>
        <v>0.05</v>
      </c>
      <c r="Y98" s="252"/>
      <c r="Z98" s="251">
        <f>IF(Case_Scenario="Bull",Z99,IF(Case_Scenario="Base",Z100,IF(Case_Scenario="bear",Z101,"N/A")))</f>
        <v>0.05</v>
      </c>
      <c r="AA98" s="251">
        <f>IF(Case_Scenario="Bull",AA99,IF(Case_Scenario="Base",AA100,IF(Case_Scenario="bear",AA101,"N/A")))</f>
        <v>0.05</v>
      </c>
      <c r="AB98" s="251">
        <f>IF(Case_Scenario="Bull",AB99,IF(Case_Scenario="Base",AB100,IF(Case_Scenario="bear",AB101,"N/A")))</f>
        <v>0.05</v>
      </c>
      <c r="AC98" s="251">
        <f>IF(Case_Scenario="Bull",AC99,IF(Case_Scenario="Base",AC100,IF(Case_Scenario="bear",AC101,"N/A")))</f>
        <v>0.05</v>
      </c>
      <c r="AD98" s="252"/>
      <c r="AE98" s="252">
        <f>IF(Case_Scenario="Bull",AE99,IF(Case_Scenario="Base",AE100,IF(Case_Scenario="bear",AE101,"N/A")))</f>
        <v>0.05</v>
      </c>
      <c r="AF98" s="252">
        <f>IF(Case_Scenario="Bull",AF99,IF(Case_Scenario="Base",AF100,IF(Case_Scenario="bear",AF101,"N/A")))</f>
        <v>0.05</v>
      </c>
      <c r="AG98" s="252">
        <f>IF(Case_Scenario="Bull",AG99,IF(Case_Scenario="Base",AG100,IF(Case_Scenario="bear",AG101,"N/A")))</f>
        <v>0.05</v>
      </c>
      <c r="AH98" s="12"/>
      <c r="AI98" s="12"/>
      <c r="AJ98" s="12"/>
    </row>
    <row r="99" spans="1:36" ht="12.75" hidden="1" customHeight="1" outlineLevel="1" collapsed="1">
      <c r="A99" s="12"/>
      <c r="B99" s="12"/>
      <c r="C99" s="108" t="s">
        <v>251</v>
      </c>
      <c r="D99" s="12"/>
      <c r="E99" s="137"/>
      <c r="F99" s="265"/>
      <c r="G99" s="265"/>
      <c r="H99" s="265"/>
      <c r="I99" s="265"/>
      <c r="J99" s="137"/>
      <c r="K99" s="265"/>
      <c r="L99" s="265"/>
      <c r="M99" s="265"/>
      <c r="N99" s="265"/>
      <c r="O99" s="137"/>
      <c r="P99" s="265"/>
      <c r="Q99" s="265"/>
      <c r="R99" s="265"/>
      <c r="S99" s="265"/>
      <c r="T99" s="137"/>
      <c r="U99" s="265"/>
      <c r="V99" s="265"/>
      <c r="W99" s="265"/>
      <c r="X99" s="266">
        <v>0.1</v>
      </c>
      <c r="Y99" s="267"/>
      <c r="Z99" s="266">
        <v>0.1</v>
      </c>
      <c r="AA99" s="266">
        <v>0.1</v>
      </c>
      <c r="AB99" s="266">
        <v>0.1</v>
      </c>
      <c r="AC99" s="266">
        <v>0.1</v>
      </c>
      <c r="AD99" s="267"/>
      <c r="AE99" s="267">
        <v>0.1</v>
      </c>
      <c r="AF99" s="267">
        <v>0.1</v>
      </c>
      <c r="AG99" s="267">
        <v>0.1</v>
      </c>
      <c r="AH99" s="12"/>
      <c r="AI99" s="12"/>
      <c r="AJ99" s="12"/>
    </row>
    <row r="100" spans="1:36" ht="12.75" hidden="1" customHeight="1" outlineLevel="1" collapsed="1">
      <c r="A100" s="12"/>
      <c r="B100" s="12"/>
      <c r="C100" s="108" t="s">
        <v>252</v>
      </c>
      <c r="D100" s="12"/>
      <c r="E100" s="137"/>
      <c r="F100" s="265"/>
      <c r="G100" s="265"/>
      <c r="H100" s="265"/>
      <c r="I100" s="265"/>
      <c r="J100" s="137"/>
      <c r="K100" s="265"/>
      <c r="L100" s="265"/>
      <c r="M100" s="265"/>
      <c r="N100" s="265"/>
      <c r="O100" s="137"/>
      <c r="P100" s="265"/>
      <c r="Q100" s="265"/>
      <c r="R100" s="265"/>
      <c r="S100" s="265"/>
      <c r="T100" s="137"/>
      <c r="U100" s="265"/>
      <c r="V100" s="265"/>
      <c r="W100" s="265"/>
      <c r="X100" s="266">
        <v>0.05</v>
      </c>
      <c r="Y100" s="267"/>
      <c r="Z100" s="266">
        <v>0.05</v>
      </c>
      <c r="AA100" s="266">
        <v>0.05</v>
      </c>
      <c r="AB100" s="266">
        <v>0.05</v>
      </c>
      <c r="AC100" s="266">
        <v>0.05</v>
      </c>
      <c r="AD100" s="267"/>
      <c r="AE100" s="267">
        <v>0.05</v>
      </c>
      <c r="AF100" s="267">
        <v>0.05</v>
      </c>
      <c r="AG100" s="267">
        <v>0.05</v>
      </c>
      <c r="AH100" s="12"/>
      <c r="AI100" s="12"/>
      <c r="AJ100" s="12"/>
    </row>
    <row r="101" spans="1:36" ht="12.75" hidden="1" customHeight="1" outlineLevel="1" collapsed="1">
      <c r="A101" s="12"/>
      <c r="B101" s="12"/>
      <c r="C101" s="108" t="s">
        <v>253</v>
      </c>
      <c r="D101" s="12"/>
      <c r="E101" s="137"/>
      <c r="F101" s="265"/>
      <c r="G101" s="265"/>
      <c r="H101" s="265"/>
      <c r="I101" s="265"/>
      <c r="J101" s="137"/>
      <c r="K101" s="265"/>
      <c r="L101" s="265"/>
      <c r="M101" s="265"/>
      <c r="N101" s="265"/>
      <c r="O101" s="137"/>
      <c r="P101" s="265"/>
      <c r="Q101" s="265"/>
      <c r="R101" s="265"/>
      <c r="S101" s="265"/>
      <c r="T101" s="137"/>
      <c r="U101" s="265"/>
      <c r="V101" s="265"/>
      <c r="W101" s="265"/>
      <c r="X101" s="266">
        <v>0</v>
      </c>
      <c r="Y101" s="267"/>
      <c r="Z101" s="266">
        <v>0</v>
      </c>
      <c r="AA101" s="266">
        <v>0</v>
      </c>
      <c r="AB101" s="266">
        <v>0</v>
      </c>
      <c r="AC101" s="266">
        <v>0</v>
      </c>
      <c r="AD101" s="267"/>
      <c r="AE101" s="267">
        <v>0</v>
      </c>
      <c r="AF101" s="267">
        <v>0</v>
      </c>
      <c r="AG101" s="267">
        <v>0</v>
      </c>
      <c r="AH101" s="12"/>
      <c r="AI101" s="12"/>
      <c r="AJ101" s="12"/>
    </row>
    <row r="102" spans="1:36" ht="12.75" hidden="1" customHeight="1" outlineLevel="1" collapsed="1">
      <c r="A102" s="12"/>
      <c r="B102" s="12"/>
      <c r="C102" s="12"/>
      <c r="D102" s="12"/>
      <c r="E102" s="137"/>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c r="AH102" s="12"/>
      <c r="AI102" s="12"/>
      <c r="AJ102" s="12"/>
    </row>
    <row r="103" spans="1:36" ht="12.75" hidden="1" customHeight="1" outlineLevel="1" collapsed="1">
      <c r="A103" s="211" t="s">
        <v>1</v>
      </c>
      <c r="B103" s="12"/>
      <c r="C103" s="108" t="str">
        <f>C35</f>
        <v>Segment 2 Revenue</v>
      </c>
      <c r="D103" s="12"/>
      <c r="E103" s="137"/>
      <c r="F103" s="263">
        <f t="shared" ref="F103:W103" si="75">F35</f>
        <v>0</v>
      </c>
      <c r="G103" s="263">
        <f t="shared" si="75"/>
        <v>0</v>
      </c>
      <c r="H103" s="263">
        <f t="shared" si="75"/>
        <v>0</v>
      </c>
      <c r="I103" s="263">
        <f t="shared" si="75"/>
        <v>0</v>
      </c>
      <c r="J103" s="233">
        <f t="shared" si="75"/>
        <v>0</v>
      </c>
      <c r="K103" s="263">
        <f t="shared" si="75"/>
        <v>0</v>
      </c>
      <c r="L103" s="263">
        <f t="shared" si="75"/>
        <v>0</v>
      </c>
      <c r="M103" s="263">
        <f t="shared" si="75"/>
        <v>0</v>
      </c>
      <c r="N103" s="263">
        <f t="shared" si="75"/>
        <v>0</v>
      </c>
      <c r="O103" s="233">
        <f t="shared" si="75"/>
        <v>0</v>
      </c>
      <c r="P103" s="263">
        <f t="shared" si="75"/>
        <v>0</v>
      </c>
      <c r="Q103" s="263">
        <f t="shared" si="75"/>
        <v>0</v>
      </c>
      <c r="R103" s="263">
        <f t="shared" si="75"/>
        <v>0</v>
      </c>
      <c r="S103" s="263">
        <f t="shared" si="75"/>
        <v>0</v>
      </c>
      <c r="T103" s="233">
        <f t="shared" si="75"/>
        <v>0</v>
      </c>
      <c r="U103" s="263">
        <f t="shared" si="75"/>
        <v>0</v>
      </c>
      <c r="V103" s="263">
        <f t="shared" si="75"/>
        <v>0</v>
      </c>
      <c r="W103" s="263">
        <f t="shared" si="75"/>
        <v>0</v>
      </c>
      <c r="X103" s="232">
        <f>X104*X109</f>
        <v>0</v>
      </c>
      <c r="Y103" s="233">
        <f t="shared" ref="Y103:Y104" si="76">SUM(U103:X103)</f>
        <v>0</v>
      </c>
      <c r="Z103" s="232">
        <f t="shared" ref="Z103:AC103" si="77">Z104*Z109</f>
        <v>0</v>
      </c>
      <c r="AA103" s="232">
        <f t="shared" si="77"/>
        <v>0</v>
      </c>
      <c r="AB103" s="232">
        <f t="shared" si="77"/>
        <v>0</v>
      </c>
      <c r="AC103" s="232">
        <f t="shared" si="77"/>
        <v>0</v>
      </c>
      <c r="AD103" s="233">
        <f t="shared" ref="AD103:AD104" si="78">SUM(Z103:AC103)</f>
        <v>0</v>
      </c>
      <c r="AE103" s="233">
        <f t="shared" ref="AE103:AG103" si="79">AE104*AE109</f>
        <v>0</v>
      </c>
      <c r="AF103" s="233">
        <f t="shared" si="79"/>
        <v>0</v>
      </c>
      <c r="AG103" s="233">
        <f t="shared" si="79"/>
        <v>0</v>
      </c>
      <c r="AH103" s="12"/>
      <c r="AI103" s="12"/>
      <c r="AJ103" s="12"/>
    </row>
    <row r="104" spans="1:36" ht="12.75" hidden="1" customHeight="1" outlineLevel="1" collapsed="1">
      <c r="A104" s="12"/>
      <c r="B104" s="12"/>
      <c r="C104" s="108" t="s">
        <v>255</v>
      </c>
      <c r="D104" s="12"/>
      <c r="E104" s="137"/>
      <c r="F104" s="271">
        <v>220</v>
      </c>
      <c r="G104" s="271">
        <v>220</v>
      </c>
      <c r="H104" s="271">
        <v>220</v>
      </c>
      <c r="I104" s="271">
        <v>220</v>
      </c>
      <c r="J104" s="272">
        <f>SUM(F104:I104)</f>
        <v>880</v>
      </c>
      <c r="K104" s="271">
        <v>220</v>
      </c>
      <c r="L104" s="271">
        <v>220</v>
      </c>
      <c r="M104" s="271">
        <v>220</v>
      </c>
      <c r="N104" s="271">
        <v>220</v>
      </c>
      <c r="O104" s="272">
        <f>SUM(K104:N104)</f>
        <v>880</v>
      </c>
      <c r="P104" s="271">
        <v>220</v>
      </c>
      <c r="Q104" s="271">
        <v>220</v>
      </c>
      <c r="R104" s="271">
        <v>220</v>
      </c>
      <c r="S104" s="271">
        <v>220</v>
      </c>
      <c r="T104" s="272">
        <f>SUM(P104:S104)</f>
        <v>880</v>
      </c>
      <c r="U104" s="271">
        <v>220</v>
      </c>
      <c r="V104" s="271">
        <v>220</v>
      </c>
      <c r="W104" s="271">
        <v>220</v>
      </c>
      <c r="X104" s="273">
        <f>W104*(1+X105)</f>
        <v>231</v>
      </c>
      <c r="Y104" s="272">
        <f t="shared" si="76"/>
        <v>891</v>
      </c>
      <c r="Z104" s="273">
        <f>X104*(1+Z105)</f>
        <v>242.55</v>
      </c>
      <c r="AA104" s="273">
        <f t="shared" ref="AA104:AC104" si="80">Z104*(1+AA105)</f>
        <v>254.67750000000001</v>
      </c>
      <c r="AB104" s="273">
        <f t="shared" si="80"/>
        <v>267.41137500000002</v>
      </c>
      <c r="AC104" s="273">
        <f t="shared" si="80"/>
        <v>280.78194375000004</v>
      </c>
      <c r="AD104" s="272">
        <f t="shared" si="78"/>
        <v>1045.4208187500001</v>
      </c>
      <c r="AE104" s="272">
        <f t="shared" ref="AE104:AG104" si="81">AD104*(1+AE105)</f>
        <v>1097.6918596875</v>
      </c>
      <c r="AF104" s="272">
        <f t="shared" si="81"/>
        <v>1152.5764526718751</v>
      </c>
      <c r="AG104" s="272">
        <f t="shared" si="81"/>
        <v>1210.2052753054688</v>
      </c>
      <c r="AH104" s="12"/>
      <c r="AI104" s="12"/>
      <c r="AJ104" s="12"/>
    </row>
    <row r="105" spans="1:36" ht="12.75" hidden="1" customHeight="1" outlineLevel="1" collapsed="1">
      <c r="A105" s="12"/>
      <c r="B105" s="12"/>
      <c r="C105" s="89" t="s">
        <v>256</v>
      </c>
      <c r="D105" s="12"/>
      <c r="E105" s="137"/>
      <c r="F105" s="265"/>
      <c r="G105" s="264">
        <f t="shared" ref="G105:I105" si="82">IFERROR(G104/F104-1,"--")</f>
        <v>0</v>
      </c>
      <c r="H105" s="264">
        <f t="shared" si="82"/>
        <v>0</v>
      </c>
      <c r="I105" s="264">
        <f t="shared" si="82"/>
        <v>0</v>
      </c>
      <c r="J105" s="137"/>
      <c r="K105" s="264">
        <f>IFERROR(K104/I104-1,"--")</f>
        <v>0</v>
      </c>
      <c r="L105" s="264">
        <f t="shared" ref="L105:N105" si="83">IFERROR(L104/K104-1,"--")</f>
        <v>0</v>
      </c>
      <c r="M105" s="264">
        <f t="shared" si="83"/>
        <v>0</v>
      </c>
      <c r="N105" s="264">
        <f t="shared" si="83"/>
        <v>0</v>
      </c>
      <c r="O105" s="252">
        <f>IFERROR(O104/J104-1,"--")</f>
        <v>0</v>
      </c>
      <c r="P105" s="264">
        <f>IFERROR(P104/N104-1,"--")</f>
        <v>0</v>
      </c>
      <c r="Q105" s="264">
        <f t="shared" ref="Q105:S105" si="84">IFERROR(Q104/P104-1,"--")</f>
        <v>0</v>
      </c>
      <c r="R105" s="264">
        <f t="shared" si="84"/>
        <v>0</v>
      </c>
      <c r="S105" s="264">
        <f t="shared" si="84"/>
        <v>0</v>
      </c>
      <c r="T105" s="252">
        <f>IFERROR(T104/O104-1,"--")</f>
        <v>0</v>
      </c>
      <c r="U105" s="264">
        <f>IFERROR(U104/S104-1,"--")</f>
        <v>0</v>
      </c>
      <c r="V105" s="264">
        <f t="shared" ref="V105:W105" si="85">IFERROR(V104/U104-1,"--")</f>
        <v>0</v>
      </c>
      <c r="W105" s="264">
        <f t="shared" si="85"/>
        <v>0</v>
      </c>
      <c r="X105" s="251">
        <f>IF(Case_Scenario="Bull",X106,IF(Case_Scenario="Base",X107,IF(Case_Scenario="bear",X108,"N/A")))</f>
        <v>0.05</v>
      </c>
      <c r="Y105" s="252"/>
      <c r="Z105" s="251">
        <f>IF(Case_Scenario="Bull",Z106,IF(Case_Scenario="Base",Z107,IF(Case_Scenario="bear",Z108,"N/A")))</f>
        <v>0.05</v>
      </c>
      <c r="AA105" s="251">
        <f>IF(Case_Scenario="Bull",AA106,IF(Case_Scenario="Base",AA107,IF(Case_Scenario="bear",AA108,"N/A")))</f>
        <v>0.05</v>
      </c>
      <c r="AB105" s="251">
        <f>IF(Case_Scenario="Bull",AB106,IF(Case_Scenario="Base",AB107,IF(Case_Scenario="bear",AB108,"N/A")))</f>
        <v>0.05</v>
      </c>
      <c r="AC105" s="251">
        <f>IF(Case_Scenario="Bull",AC106,IF(Case_Scenario="Base",AC107,IF(Case_Scenario="bear",AC108,"N/A")))</f>
        <v>0.05</v>
      </c>
      <c r="AD105" s="252"/>
      <c r="AE105" s="252">
        <f>IF(Case_Scenario="Bull",AE106,IF(Case_Scenario="Base",AE107,IF(Case_Scenario="bear",AE108,"N/A")))</f>
        <v>0.05</v>
      </c>
      <c r="AF105" s="252">
        <f>IF(Case_Scenario="Bull",AF106,IF(Case_Scenario="Base",AF107,IF(Case_Scenario="bear",AF108,"N/A")))</f>
        <v>0.05</v>
      </c>
      <c r="AG105" s="252">
        <f>IF(Case_Scenario="Bull",AG106,IF(Case_Scenario="Base",AG107,IF(Case_Scenario="bear",AG108,"N/A")))</f>
        <v>0.05</v>
      </c>
      <c r="AH105" s="12"/>
      <c r="AI105" s="12"/>
      <c r="AJ105" s="12"/>
    </row>
    <row r="106" spans="1:36" ht="12.75" hidden="1" customHeight="1" outlineLevel="1" collapsed="1">
      <c r="A106" s="12"/>
      <c r="B106" s="12"/>
      <c r="C106" s="108" t="s">
        <v>251</v>
      </c>
      <c r="D106" s="12"/>
      <c r="E106" s="137"/>
      <c r="F106" s="265"/>
      <c r="G106" s="265"/>
      <c r="H106" s="265"/>
      <c r="I106" s="265"/>
      <c r="J106" s="137"/>
      <c r="K106" s="265"/>
      <c r="L106" s="265"/>
      <c r="M106" s="265"/>
      <c r="N106" s="265"/>
      <c r="O106" s="137"/>
      <c r="P106" s="265"/>
      <c r="Q106" s="265"/>
      <c r="R106" s="265"/>
      <c r="S106" s="265"/>
      <c r="T106" s="137"/>
      <c r="U106" s="265"/>
      <c r="V106" s="265"/>
      <c r="W106" s="265"/>
      <c r="X106" s="266">
        <v>0.1</v>
      </c>
      <c r="Y106" s="267"/>
      <c r="Z106" s="266">
        <v>0.1</v>
      </c>
      <c r="AA106" s="266">
        <v>0.1</v>
      </c>
      <c r="AB106" s="266">
        <v>0.1</v>
      </c>
      <c r="AC106" s="266">
        <v>0.1</v>
      </c>
      <c r="AD106" s="267"/>
      <c r="AE106" s="267">
        <v>0.1</v>
      </c>
      <c r="AF106" s="267">
        <v>0.1</v>
      </c>
      <c r="AG106" s="267">
        <v>0.1</v>
      </c>
      <c r="AH106" s="12"/>
      <c r="AI106" s="12"/>
      <c r="AJ106" s="12"/>
    </row>
    <row r="107" spans="1:36" ht="12.75" hidden="1" customHeight="1" outlineLevel="1" collapsed="1">
      <c r="A107" s="12"/>
      <c r="B107" s="12"/>
      <c r="C107" s="108" t="s">
        <v>252</v>
      </c>
      <c r="D107" s="12"/>
      <c r="E107" s="137"/>
      <c r="F107" s="265"/>
      <c r="G107" s="265"/>
      <c r="H107" s="265"/>
      <c r="I107" s="265"/>
      <c r="J107" s="137"/>
      <c r="K107" s="265"/>
      <c r="L107" s="265"/>
      <c r="M107" s="265"/>
      <c r="N107" s="265"/>
      <c r="O107" s="137"/>
      <c r="P107" s="265"/>
      <c r="Q107" s="265"/>
      <c r="R107" s="265"/>
      <c r="S107" s="265"/>
      <c r="T107" s="137"/>
      <c r="U107" s="265"/>
      <c r="V107" s="265"/>
      <c r="W107" s="265"/>
      <c r="X107" s="266">
        <v>0.05</v>
      </c>
      <c r="Y107" s="267"/>
      <c r="Z107" s="266">
        <v>0.05</v>
      </c>
      <c r="AA107" s="266">
        <v>0.05</v>
      </c>
      <c r="AB107" s="266">
        <v>0.05</v>
      </c>
      <c r="AC107" s="266">
        <v>0.05</v>
      </c>
      <c r="AD107" s="267"/>
      <c r="AE107" s="267">
        <v>0.05</v>
      </c>
      <c r="AF107" s="267">
        <v>0.05</v>
      </c>
      <c r="AG107" s="267">
        <v>0.05</v>
      </c>
      <c r="AH107" s="12"/>
      <c r="AI107" s="12"/>
      <c r="AJ107" s="12"/>
    </row>
    <row r="108" spans="1:36" ht="12.75" hidden="1" customHeight="1" outlineLevel="1" collapsed="1">
      <c r="A108" s="12"/>
      <c r="B108" s="12"/>
      <c r="C108" s="108" t="s">
        <v>253</v>
      </c>
      <c r="D108" s="12"/>
      <c r="E108" s="137"/>
      <c r="F108" s="265"/>
      <c r="G108" s="265"/>
      <c r="H108" s="265"/>
      <c r="I108" s="265"/>
      <c r="J108" s="137"/>
      <c r="K108" s="265"/>
      <c r="L108" s="265"/>
      <c r="M108" s="265"/>
      <c r="N108" s="265"/>
      <c r="O108" s="137"/>
      <c r="P108" s="265"/>
      <c r="Q108" s="265"/>
      <c r="R108" s="265"/>
      <c r="S108" s="265"/>
      <c r="T108" s="137"/>
      <c r="U108" s="265"/>
      <c r="V108" s="265"/>
      <c r="W108" s="265"/>
      <c r="X108" s="266">
        <v>0</v>
      </c>
      <c r="Y108" s="267"/>
      <c r="Z108" s="266">
        <v>0</v>
      </c>
      <c r="AA108" s="266">
        <v>0</v>
      </c>
      <c r="AB108" s="266">
        <v>0</v>
      </c>
      <c r="AC108" s="266">
        <v>0</v>
      </c>
      <c r="AD108" s="267"/>
      <c r="AE108" s="267">
        <v>0</v>
      </c>
      <c r="AF108" s="267">
        <v>0</v>
      </c>
      <c r="AG108" s="267">
        <v>0</v>
      </c>
      <c r="AH108" s="12"/>
      <c r="AI108" s="12"/>
      <c r="AJ108" s="12"/>
    </row>
    <row r="109" spans="1:36" ht="12.75" hidden="1" customHeight="1" outlineLevel="1" collapsed="1">
      <c r="A109" s="12"/>
      <c r="B109" s="12"/>
      <c r="C109" s="108" t="s">
        <v>166</v>
      </c>
      <c r="D109" s="12"/>
      <c r="E109" s="137"/>
      <c r="F109" s="263">
        <f t="shared" ref="F109:W109" si="86">IFERROR(F103/F104,"--")</f>
        <v>0</v>
      </c>
      <c r="G109" s="263">
        <f t="shared" si="86"/>
        <v>0</v>
      </c>
      <c r="H109" s="263">
        <f t="shared" si="86"/>
        <v>0</v>
      </c>
      <c r="I109" s="263">
        <f t="shared" si="86"/>
        <v>0</v>
      </c>
      <c r="J109" s="233">
        <f t="shared" si="86"/>
        <v>0</v>
      </c>
      <c r="K109" s="263">
        <f t="shared" si="86"/>
        <v>0</v>
      </c>
      <c r="L109" s="263">
        <f t="shared" si="86"/>
        <v>0</v>
      </c>
      <c r="M109" s="263">
        <f t="shared" si="86"/>
        <v>0</v>
      </c>
      <c r="N109" s="263">
        <f t="shared" si="86"/>
        <v>0</v>
      </c>
      <c r="O109" s="233">
        <f t="shared" si="86"/>
        <v>0</v>
      </c>
      <c r="P109" s="263">
        <f t="shared" si="86"/>
        <v>0</v>
      </c>
      <c r="Q109" s="263">
        <f t="shared" si="86"/>
        <v>0</v>
      </c>
      <c r="R109" s="263">
        <f t="shared" si="86"/>
        <v>0</v>
      </c>
      <c r="S109" s="263">
        <f t="shared" si="86"/>
        <v>0</v>
      </c>
      <c r="T109" s="233">
        <f t="shared" si="86"/>
        <v>0</v>
      </c>
      <c r="U109" s="263">
        <f t="shared" si="86"/>
        <v>0</v>
      </c>
      <c r="V109" s="263">
        <f t="shared" si="86"/>
        <v>0</v>
      </c>
      <c r="W109" s="263">
        <f t="shared" si="86"/>
        <v>0</v>
      </c>
      <c r="X109" s="232">
        <f>W109*(1+X110)</f>
        <v>0</v>
      </c>
      <c r="Y109" s="233">
        <f>Y103/Y104</f>
        <v>0</v>
      </c>
      <c r="Z109" s="232">
        <f>X109*(1+Z110)</f>
        <v>0</v>
      </c>
      <c r="AA109" s="232">
        <f t="shared" ref="AA109:AC109" si="87">Z109*(1+AA110)</f>
        <v>0</v>
      </c>
      <c r="AB109" s="232">
        <f t="shared" si="87"/>
        <v>0</v>
      </c>
      <c r="AC109" s="232">
        <f t="shared" si="87"/>
        <v>0</v>
      </c>
      <c r="AD109" s="233">
        <f>AD103/AD104</f>
        <v>0</v>
      </c>
      <c r="AE109" s="233">
        <f t="shared" ref="AE109:AG109" si="88">AD109*(1+AE110)</f>
        <v>0</v>
      </c>
      <c r="AF109" s="233">
        <f t="shared" si="88"/>
        <v>0</v>
      </c>
      <c r="AG109" s="233">
        <f t="shared" si="88"/>
        <v>0</v>
      </c>
      <c r="AH109" s="12"/>
      <c r="AI109" s="12"/>
      <c r="AJ109" s="12"/>
    </row>
    <row r="110" spans="1:36" ht="12.75" hidden="1" customHeight="1" outlineLevel="1" collapsed="1">
      <c r="A110" s="12"/>
      <c r="B110" s="12"/>
      <c r="C110" s="89" t="s">
        <v>257</v>
      </c>
      <c r="D110" s="12"/>
      <c r="E110" s="137"/>
      <c r="F110" s="265"/>
      <c r="G110" s="264" t="str">
        <f t="shared" ref="G110:I110" si="89">IFERROR(G109/F109-1,"--")</f>
        <v>--</v>
      </c>
      <c r="H110" s="264" t="str">
        <f t="shared" si="89"/>
        <v>--</v>
      </c>
      <c r="I110" s="264" t="str">
        <f t="shared" si="89"/>
        <v>--</v>
      </c>
      <c r="J110" s="137"/>
      <c r="K110" s="264" t="str">
        <f>IFERROR(K109/I109-1,"--")</f>
        <v>--</v>
      </c>
      <c r="L110" s="264" t="str">
        <f t="shared" ref="L110:N110" si="90">IFERROR(L109/K109-1,"--")</f>
        <v>--</v>
      </c>
      <c r="M110" s="264" t="str">
        <f t="shared" si="90"/>
        <v>--</v>
      </c>
      <c r="N110" s="264" t="str">
        <f t="shared" si="90"/>
        <v>--</v>
      </c>
      <c r="O110" s="252" t="str">
        <f>IFERROR(O109/J109-1,"--")</f>
        <v>--</v>
      </c>
      <c r="P110" s="264" t="str">
        <f>IFERROR(P109/N109-1,"--")</f>
        <v>--</v>
      </c>
      <c r="Q110" s="264" t="str">
        <f t="shared" ref="Q110:S110" si="91">IFERROR(Q109/P109-1,"--")</f>
        <v>--</v>
      </c>
      <c r="R110" s="264" t="str">
        <f t="shared" si="91"/>
        <v>--</v>
      </c>
      <c r="S110" s="264" t="str">
        <f t="shared" si="91"/>
        <v>--</v>
      </c>
      <c r="T110" s="252" t="str">
        <f>IFERROR(T109/O109-1,"--")</f>
        <v>--</v>
      </c>
      <c r="U110" s="264" t="str">
        <f>IFERROR(U109/S109-1,"--")</f>
        <v>--</v>
      </c>
      <c r="V110" s="264" t="str">
        <f t="shared" ref="V110:W110" si="92">IFERROR(V109/U109-1,"--")</f>
        <v>--</v>
      </c>
      <c r="W110" s="264" t="str">
        <f t="shared" si="92"/>
        <v>--</v>
      </c>
      <c r="X110" s="251">
        <f>IF(Case_Scenario="Bull",X111,IF(Case_Scenario="Base",X112,IF(Case_Scenario="bear",X113,"N/A")))</f>
        <v>0.05</v>
      </c>
      <c r="Y110" s="252"/>
      <c r="Z110" s="251">
        <f>IF(Case_Scenario="Bull",Z111,IF(Case_Scenario="Base",Z112,IF(Case_Scenario="bear",Z113,"N/A")))</f>
        <v>0.05</v>
      </c>
      <c r="AA110" s="251">
        <f>IF(Case_Scenario="Bull",AA111,IF(Case_Scenario="Base",AA112,IF(Case_Scenario="bear",AA113,"N/A")))</f>
        <v>0.05</v>
      </c>
      <c r="AB110" s="251">
        <f>IF(Case_Scenario="Bull",AB111,IF(Case_Scenario="Base",AB112,IF(Case_Scenario="bear",AB113,"N/A")))</f>
        <v>0.05</v>
      </c>
      <c r="AC110" s="251">
        <f>IF(Case_Scenario="Bull",AC111,IF(Case_Scenario="Base",AC112,IF(Case_Scenario="bear",AC113,"N/A")))</f>
        <v>0.05</v>
      </c>
      <c r="AD110" s="252"/>
      <c r="AE110" s="252">
        <f>IF(Case_Scenario="Bull",AE111,IF(Case_Scenario="Base",AE112,IF(Case_Scenario="bear",AE113,"N/A")))</f>
        <v>0.05</v>
      </c>
      <c r="AF110" s="252">
        <f>IF(Case_Scenario="Bull",AF111,IF(Case_Scenario="Base",AF112,IF(Case_Scenario="bear",AF113,"N/A")))</f>
        <v>0.05</v>
      </c>
      <c r="AG110" s="252">
        <f>IF(Case_Scenario="Bull",AG111,IF(Case_Scenario="Base",AG112,IF(Case_Scenario="bear",AG113,"N/A")))</f>
        <v>0.05</v>
      </c>
      <c r="AH110" s="12"/>
      <c r="AI110" s="12"/>
      <c r="AJ110" s="12"/>
    </row>
    <row r="111" spans="1:36" ht="12.75" hidden="1" customHeight="1" outlineLevel="1" collapsed="1">
      <c r="A111" s="12"/>
      <c r="B111" s="12"/>
      <c r="C111" s="108" t="s">
        <v>251</v>
      </c>
      <c r="D111" s="12"/>
      <c r="E111" s="137"/>
      <c r="F111" s="265"/>
      <c r="G111" s="265"/>
      <c r="H111" s="265"/>
      <c r="I111" s="265"/>
      <c r="J111" s="137"/>
      <c r="K111" s="265"/>
      <c r="L111" s="265"/>
      <c r="M111" s="265"/>
      <c r="N111" s="265"/>
      <c r="O111" s="137"/>
      <c r="P111" s="265"/>
      <c r="Q111" s="265"/>
      <c r="R111" s="265"/>
      <c r="S111" s="265"/>
      <c r="T111" s="137"/>
      <c r="U111" s="265"/>
      <c r="V111" s="265"/>
      <c r="W111" s="265"/>
      <c r="X111" s="266">
        <v>0.1</v>
      </c>
      <c r="Y111" s="267"/>
      <c r="Z111" s="266">
        <v>0.1</v>
      </c>
      <c r="AA111" s="266">
        <v>0.1</v>
      </c>
      <c r="AB111" s="266">
        <v>0.1</v>
      </c>
      <c r="AC111" s="266">
        <v>0.1</v>
      </c>
      <c r="AD111" s="267"/>
      <c r="AE111" s="267">
        <v>0.1</v>
      </c>
      <c r="AF111" s="267">
        <v>0.1</v>
      </c>
      <c r="AG111" s="267">
        <v>0.1</v>
      </c>
      <c r="AH111" s="12"/>
      <c r="AI111" s="12"/>
      <c r="AJ111" s="12"/>
    </row>
    <row r="112" spans="1:36" ht="12.75" hidden="1" customHeight="1" outlineLevel="1" collapsed="1">
      <c r="A112" s="12"/>
      <c r="B112" s="12"/>
      <c r="C112" s="108" t="s">
        <v>252</v>
      </c>
      <c r="D112" s="12"/>
      <c r="E112" s="137"/>
      <c r="F112" s="265"/>
      <c r="G112" s="265"/>
      <c r="H112" s="265"/>
      <c r="I112" s="265"/>
      <c r="J112" s="137"/>
      <c r="K112" s="265"/>
      <c r="L112" s="265"/>
      <c r="M112" s="265"/>
      <c r="N112" s="265"/>
      <c r="O112" s="137"/>
      <c r="P112" s="265"/>
      <c r="Q112" s="265"/>
      <c r="R112" s="265"/>
      <c r="S112" s="265"/>
      <c r="T112" s="137"/>
      <c r="U112" s="265"/>
      <c r="V112" s="265"/>
      <c r="W112" s="265"/>
      <c r="X112" s="266">
        <v>0.05</v>
      </c>
      <c r="Y112" s="267"/>
      <c r="Z112" s="266">
        <v>0.05</v>
      </c>
      <c r="AA112" s="266">
        <v>0.05</v>
      </c>
      <c r="AB112" s="266">
        <v>0.05</v>
      </c>
      <c r="AC112" s="266">
        <v>0.05</v>
      </c>
      <c r="AD112" s="267"/>
      <c r="AE112" s="267">
        <v>0.05</v>
      </c>
      <c r="AF112" s="267">
        <v>0.05</v>
      </c>
      <c r="AG112" s="267">
        <v>0.05</v>
      </c>
      <c r="AH112" s="12"/>
      <c r="AI112" s="12"/>
      <c r="AJ112" s="12"/>
    </row>
    <row r="113" spans="1:36" ht="12.75" hidden="1" customHeight="1" outlineLevel="1" collapsed="1">
      <c r="A113" s="12"/>
      <c r="B113" s="12"/>
      <c r="C113" s="108" t="s">
        <v>253</v>
      </c>
      <c r="D113" s="12"/>
      <c r="E113" s="137"/>
      <c r="F113" s="265"/>
      <c r="G113" s="265"/>
      <c r="H113" s="265"/>
      <c r="I113" s="265"/>
      <c r="J113" s="137"/>
      <c r="K113" s="265"/>
      <c r="L113" s="265"/>
      <c r="M113" s="265"/>
      <c r="N113" s="265"/>
      <c r="O113" s="137"/>
      <c r="P113" s="265"/>
      <c r="Q113" s="265"/>
      <c r="R113" s="265"/>
      <c r="S113" s="265"/>
      <c r="T113" s="137"/>
      <c r="U113" s="265"/>
      <c r="V113" s="265"/>
      <c r="W113" s="265"/>
      <c r="X113" s="266">
        <v>0</v>
      </c>
      <c r="Y113" s="267"/>
      <c r="Z113" s="266">
        <v>0</v>
      </c>
      <c r="AA113" s="266">
        <v>0</v>
      </c>
      <c r="AB113" s="266">
        <v>0</v>
      </c>
      <c r="AC113" s="266">
        <v>0</v>
      </c>
      <c r="AD113" s="267"/>
      <c r="AE113" s="267">
        <v>0</v>
      </c>
      <c r="AF113" s="267">
        <v>0</v>
      </c>
      <c r="AG113" s="267">
        <v>0</v>
      </c>
      <c r="AH113" s="12"/>
      <c r="AI113" s="12"/>
      <c r="AJ113" s="12"/>
    </row>
    <row r="114" spans="1:36" ht="12.75" hidden="1" customHeight="1" outlineLevel="1" collapsed="1">
      <c r="A114" s="12"/>
      <c r="B114" s="12"/>
      <c r="C114" s="12"/>
      <c r="D114" s="12"/>
      <c r="E114" s="137"/>
      <c r="F114" s="265"/>
      <c r="G114" s="265"/>
      <c r="H114" s="265"/>
      <c r="I114" s="265"/>
      <c r="J114" s="137"/>
      <c r="K114" s="265"/>
      <c r="L114" s="265"/>
      <c r="M114" s="265"/>
      <c r="N114" s="265"/>
      <c r="O114" s="137"/>
      <c r="P114" s="265"/>
      <c r="Q114" s="265"/>
      <c r="R114" s="265"/>
      <c r="S114" s="265"/>
      <c r="T114" s="137"/>
      <c r="U114" s="265"/>
      <c r="V114" s="265"/>
      <c r="W114" s="265"/>
      <c r="X114" s="268"/>
      <c r="Y114" s="137"/>
      <c r="Z114" s="268"/>
      <c r="AA114" s="268"/>
      <c r="AB114" s="268"/>
      <c r="AC114" s="268"/>
      <c r="AD114" s="137"/>
      <c r="AE114" s="137"/>
      <c r="AF114" s="137"/>
      <c r="AG114" s="137"/>
      <c r="AH114" s="12"/>
      <c r="AI114" s="12"/>
      <c r="AJ114" s="12"/>
    </row>
    <row r="115" spans="1:36" ht="12.75" hidden="1" customHeight="1" outlineLevel="1" collapsed="1">
      <c r="A115" s="211" t="s">
        <v>1</v>
      </c>
      <c r="B115" s="12"/>
      <c r="C115" s="108" t="str">
        <f>C38</f>
        <v>Segment 3 Revenue</v>
      </c>
      <c r="D115" s="12"/>
      <c r="E115" s="137"/>
      <c r="F115" s="263">
        <f t="shared" ref="F115:W115" si="93">F38</f>
        <v>0</v>
      </c>
      <c r="G115" s="263">
        <f t="shared" si="93"/>
        <v>0</v>
      </c>
      <c r="H115" s="263">
        <f t="shared" si="93"/>
        <v>0</v>
      </c>
      <c r="I115" s="263">
        <f t="shared" si="93"/>
        <v>0</v>
      </c>
      <c r="J115" s="233">
        <f t="shared" si="93"/>
        <v>0</v>
      </c>
      <c r="K115" s="263">
        <f t="shared" si="93"/>
        <v>0</v>
      </c>
      <c r="L115" s="263">
        <f t="shared" si="93"/>
        <v>0</v>
      </c>
      <c r="M115" s="263">
        <f t="shared" si="93"/>
        <v>0</v>
      </c>
      <c r="N115" s="263">
        <f t="shared" si="93"/>
        <v>0</v>
      </c>
      <c r="O115" s="233">
        <f t="shared" si="93"/>
        <v>0</v>
      </c>
      <c r="P115" s="263">
        <f t="shared" si="93"/>
        <v>0</v>
      </c>
      <c r="Q115" s="263">
        <f t="shared" si="93"/>
        <v>0</v>
      </c>
      <c r="R115" s="263">
        <f t="shared" si="93"/>
        <v>0</v>
      </c>
      <c r="S115" s="263">
        <f t="shared" si="93"/>
        <v>0</v>
      </c>
      <c r="T115" s="233">
        <f t="shared" si="93"/>
        <v>0</v>
      </c>
      <c r="U115" s="263">
        <f t="shared" si="93"/>
        <v>0</v>
      </c>
      <c r="V115" s="263">
        <f t="shared" si="93"/>
        <v>0</v>
      </c>
      <c r="W115" s="263">
        <f t="shared" si="93"/>
        <v>0</v>
      </c>
      <c r="X115" s="232">
        <f>X116*X121</f>
        <v>0</v>
      </c>
      <c r="Y115" s="233">
        <f t="shared" ref="Y115:Y116" si="94">SUM(U115:X115)</f>
        <v>0</v>
      </c>
      <c r="Z115" s="232">
        <f t="shared" ref="Z115:AC115" si="95">Z116*Z121</f>
        <v>0</v>
      </c>
      <c r="AA115" s="232">
        <f t="shared" si="95"/>
        <v>0</v>
      </c>
      <c r="AB115" s="232">
        <f t="shared" si="95"/>
        <v>0</v>
      </c>
      <c r="AC115" s="232">
        <f t="shared" si="95"/>
        <v>0</v>
      </c>
      <c r="AD115" s="233">
        <f t="shared" ref="AD115:AD116" si="96">SUM(Z115:AC115)</f>
        <v>0</v>
      </c>
      <c r="AE115" s="233">
        <f t="shared" ref="AE115:AG115" si="97">AE116*AE121</f>
        <v>0</v>
      </c>
      <c r="AF115" s="233">
        <f t="shared" si="97"/>
        <v>0</v>
      </c>
      <c r="AG115" s="233">
        <f t="shared" si="97"/>
        <v>0</v>
      </c>
      <c r="AH115" s="12"/>
      <c r="AI115" s="12"/>
      <c r="AJ115" s="12"/>
    </row>
    <row r="116" spans="1:36" ht="12.75" hidden="1" customHeight="1" outlineLevel="1" collapsed="1">
      <c r="A116" s="12"/>
      <c r="B116" s="12"/>
      <c r="C116" s="108" t="s">
        <v>255</v>
      </c>
      <c r="D116" s="12"/>
      <c r="E116" s="137"/>
      <c r="F116" s="271">
        <v>220</v>
      </c>
      <c r="G116" s="271">
        <v>220</v>
      </c>
      <c r="H116" s="271">
        <v>220</v>
      </c>
      <c r="I116" s="271">
        <v>220</v>
      </c>
      <c r="J116" s="272">
        <f>SUM(F116:I116)</f>
        <v>880</v>
      </c>
      <c r="K116" s="271">
        <v>220</v>
      </c>
      <c r="L116" s="271">
        <v>220</v>
      </c>
      <c r="M116" s="271">
        <v>220</v>
      </c>
      <c r="N116" s="271">
        <v>220</v>
      </c>
      <c r="O116" s="272">
        <f>SUM(K116:N116)</f>
        <v>880</v>
      </c>
      <c r="P116" s="271">
        <v>220</v>
      </c>
      <c r="Q116" s="271">
        <v>220</v>
      </c>
      <c r="R116" s="271">
        <v>220</v>
      </c>
      <c r="S116" s="271">
        <v>220</v>
      </c>
      <c r="T116" s="272">
        <f>SUM(P116:S116)</f>
        <v>880</v>
      </c>
      <c r="U116" s="271">
        <v>220</v>
      </c>
      <c r="V116" s="271">
        <v>220</v>
      </c>
      <c r="W116" s="271">
        <v>220</v>
      </c>
      <c r="X116" s="273">
        <f>W116*(1+X117)</f>
        <v>231</v>
      </c>
      <c r="Y116" s="272">
        <f t="shared" si="94"/>
        <v>891</v>
      </c>
      <c r="Z116" s="273">
        <f>X116*(1+Z117)</f>
        <v>242.55</v>
      </c>
      <c r="AA116" s="273">
        <f t="shared" ref="AA116:AC116" si="98">Z116*(1+AA117)</f>
        <v>254.67750000000001</v>
      </c>
      <c r="AB116" s="273">
        <f t="shared" si="98"/>
        <v>267.41137500000002</v>
      </c>
      <c r="AC116" s="273">
        <f t="shared" si="98"/>
        <v>280.78194375000004</v>
      </c>
      <c r="AD116" s="272">
        <f t="shared" si="96"/>
        <v>1045.4208187500001</v>
      </c>
      <c r="AE116" s="272">
        <f t="shared" ref="AE116:AG116" si="99">AD116*(1+AE117)</f>
        <v>1097.6918596875</v>
      </c>
      <c r="AF116" s="272">
        <f t="shared" si="99"/>
        <v>1152.5764526718751</v>
      </c>
      <c r="AG116" s="272">
        <f t="shared" si="99"/>
        <v>1210.2052753054688</v>
      </c>
      <c r="AH116" s="12"/>
      <c r="AI116" s="12"/>
      <c r="AJ116" s="12"/>
    </row>
    <row r="117" spans="1:36" ht="12.75" hidden="1" customHeight="1" outlineLevel="1" collapsed="1">
      <c r="A117" s="12"/>
      <c r="B117" s="12"/>
      <c r="C117" s="89" t="s">
        <v>256</v>
      </c>
      <c r="D117" s="12"/>
      <c r="E117" s="137"/>
      <c r="F117" s="265"/>
      <c r="G117" s="264">
        <f t="shared" ref="G117:I117" si="100">IFERROR(G116/F116-1,"--")</f>
        <v>0</v>
      </c>
      <c r="H117" s="264">
        <f t="shared" si="100"/>
        <v>0</v>
      </c>
      <c r="I117" s="264">
        <f t="shared" si="100"/>
        <v>0</v>
      </c>
      <c r="J117" s="137"/>
      <c r="K117" s="264">
        <f>IFERROR(K116/I116-1,"--")</f>
        <v>0</v>
      </c>
      <c r="L117" s="264">
        <f t="shared" ref="L117:N117" si="101">IFERROR(L116/K116-1,"--")</f>
        <v>0</v>
      </c>
      <c r="M117" s="264">
        <f t="shared" si="101"/>
        <v>0</v>
      </c>
      <c r="N117" s="264">
        <f t="shared" si="101"/>
        <v>0</v>
      </c>
      <c r="O117" s="252">
        <f>IFERROR(O116/J116-1,"--")</f>
        <v>0</v>
      </c>
      <c r="P117" s="264">
        <f>IFERROR(P116/N116-1,"--")</f>
        <v>0</v>
      </c>
      <c r="Q117" s="264">
        <f t="shared" ref="Q117:S117" si="102">IFERROR(Q116/P116-1,"--")</f>
        <v>0</v>
      </c>
      <c r="R117" s="264">
        <f t="shared" si="102"/>
        <v>0</v>
      </c>
      <c r="S117" s="264">
        <f t="shared" si="102"/>
        <v>0</v>
      </c>
      <c r="T117" s="252">
        <f>IFERROR(T116/O116-1,"--")</f>
        <v>0</v>
      </c>
      <c r="U117" s="264">
        <f>IFERROR(U116/S116-1,"--")</f>
        <v>0</v>
      </c>
      <c r="V117" s="264">
        <f t="shared" ref="V117:W117" si="103">IFERROR(V116/U116-1,"--")</f>
        <v>0</v>
      </c>
      <c r="W117" s="264">
        <f t="shared" si="103"/>
        <v>0</v>
      </c>
      <c r="X117" s="251">
        <f>IF(Case_Scenario="Bull",X118,IF(Case_Scenario="Base",X119,IF(Case_Scenario="bear",X120,"N/A")))</f>
        <v>0.05</v>
      </c>
      <c r="Y117" s="252"/>
      <c r="Z117" s="251">
        <f>IF(Case_Scenario="Bull",Z118,IF(Case_Scenario="Base",Z119,IF(Case_Scenario="bear",Z120,"N/A")))</f>
        <v>0.05</v>
      </c>
      <c r="AA117" s="251">
        <f>IF(Case_Scenario="Bull",AA118,IF(Case_Scenario="Base",AA119,IF(Case_Scenario="bear",AA120,"N/A")))</f>
        <v>0.05</v>
      </c>
      <c r="AB117" s="251">
        <f>IF(Case_Scenario="Bull",AB118,IF(Case_Scenario="Base",AB119,IF(Case_Scenario="bear",AB120,"N/A")))</f>
        <v>0.05</v>
      </c>
      <c r="AC117" s="251">
        <f>IF(Case_Scenario="Bull",AC118,IF(Case_Scenario="Base",AC119,IF(Case_Scenario="bear",AC120,"N/A")))</f>
        <v>0.05</v>
      </c>
      <c r="AD117" s="252"/>
      <c r="AE117" s="252">
        <f>IF(Case_Scenario="Bull",AE118,IF(Case_Scenario="Base",AE119,IF(Case_Scenario="bear",AE120,"N/A")))</f>
        <v>0.05</v>
      </c>
      <c r="AF117" s="252">
        <f>IF(Case_Scenario="Bull",AF118,IF(Case_Scenario="Base",AF119,IF(Case_Scenario="bear",AF120,"N/A")))</f>
        <v>0.05</v>
      </c>
      <c r="AG117" s="252">
        <f>IF(Case_Scenario="Bull",AG118,IF(Case_Scenario="Base",AG119,IF(Case_Scenario="bear",AG120,"N/A")))</f>
        <v>0.05</v>
      </c>
      <c r="AH117" s="12"/>
      <c r="AI117" s="12"/>
      <c r="AJ117" s="12"/>
    </row>
    <row r="118" spans="1:36" ht="12.75" hidden="1" customHeight="1" outlineLevel="1" collapsed="1">
      <c r="A118" s="12"/>
      <c r="B118" s="12"/>
      <c r="C118" s="108" t="s">
        <v>251</v>
      </c>
      <c r="D118" s="12"/>
      <c r="E118" s="137"/>
      <c r="F118" s="265"/>
      <c r="G118" s="265"/>
      <c r="H118" s="265"/>
      <c r="I118" s="265"/>
      <c r="J118" s="137"/>
      <c r="K118" s="265"/>
      <c r="L118" s="265"/>
      <c r="M118" s="265"/>
      <c r="N118" s="265"/>
      <c r="O118" s="137"/>
      <c r="P118" s="265"/>
      <c r="Q118" s="265"/>
      <c r="R118" s="265"/>
      <c r="S118" s="265"/>
      <c r="T118" s="137"/>
      <c r="U118" s="265"/>
      <c r="V118" s="265"/>
      <c r="W118" s="265"/>
      <c r="X118" s="266">
        <v>0.1</v>
      </c>
      <c r="Y118" s="267"/>
      <c r="Z118" s="266">
        <v>0.1</v>
      </c>
      <c r="AA118" s="266">
        <v>0.1</v>
      </c>
      <c r="AB118" s="266">
        <v>0.1</v>
      </c>
      <c r="AC118" s="266">
        <v>0.1</v>
      </c>
      <c r="AD118" s="267"/>
      <c r="AE118" s="267">
        <v>0.1</v>
      </c>
      <c r="AF118" s="267">
        <v>0.1</v>
      </c>
      <c r="AG118" s="267">
        <v>0.1</v>
      </c>
      <c r="AH118" s="12"/>
      <c r="AI118" s="12"/>
      <c r="AJ118" s="12"/>
    </row>
    <row r="119" spans="1:36" ht="12.75" hidden="1" customHeight="1" outlineLevel="1" collapsed="1">
      <c r="A119" s="12"/>
      <c r="B119" s="12"/>
      <c r="C119" s="108" t="s">
        <v>252</v>
      </c>
      <c r="D119" s="12"/>
      <c r="E119" s="137"/>
      <c r="F119" s="265"/>
      <c r="G119" s="265"/>
      <c r="H119" s="265"/>
      <c r="I119" s="265"/>
      <c r="J119" s="137"/>
      <c r="K119" s="265"/>
      <c r="L119" s="265"/>
      <c r="M119" s="265"/>
      <c r="N119" s="265"/>
      <c r="O119" s="137"/>
      <c r="P119" s="265"/>
      <c r="Q119" s="265"/>
      <c r="R119" s="265"/>
      <c r="S119" s="265"/>
      <c r="T119" s="137"/>
      <c r="U119" s="265"/>
      <c r="V119" s="265"/>
      <c r="W119" s="265"/>
      <c r="X119" s="266">
        <v>0.05</v>
      </c>
      <c r="Y119" s="267"/>
      <c r="Z119" s="266">
        <v>0.05</v>
      </c>
      <c r="AA119" s="266">
        <v>0.05</v>
      </c>
      <c r="AB119" s="266">
        <v>0.05</v>
      </c>
      <c r="AC119" s="266">
        <v>0.05</v>
      </c>
      <c r="AD119" s="267"/>
      <c r="AE119" s="267">
        <v>0.05</v>
      </c>
      <c r="AF119" s="267">
        <v>0.05</v>
      </c>
      <c r="AG119" s="267">
        <v>0.05</v>
      </c>
      <c r="AH119" s="12"/>
      <c r="AI119" s="12"/>
      <c r="AJ119" s="12"/>
    </row>
    <row r="120" spans="1:36" ht="12.75" hidden="1" customHeight="1" outlineLevel="1" collapsed="1">
      <c r="A120" s="12"/>
      <c r="B120" s="12"/>
      <c r="C120" s="108" t="s">
        <v>253</v>
      </c>
      <c r="D120" s="12"/>
      <c r="E120" s="137"/>
      <c r="F120" s="265"/>
      <c r="G120" s="265"/>
      <c r="H120" s="265"/>
      <c r="I120" s="265"/>
      <c r="J120" s="137"/>
      <c r="K120" s="265"/>
      <c r="L120" s="265"/>
      <c r="M120" s="265"/>
      <c r="N120" s="265"/>
      <c r="O120" s="137"/>
      <c r="P120" s="265"/>
      <c r="Q120" s="265"/>
      <c r="R120" s="265"/>
      <c r="S120" s="265"/>
      <c r="T120" s="137"/>
      <c r="U120" s="265"/>
      <c r="V120" s="265"/>
      <c r="W120" s="265"/>
      <c r="X120" s="266">
        <v>0</v>
      </c>
      <c r="Y120" s="267"/>
      <c r="Z120" s="266">
        <v>0</v>
      </c>
      <c r="AA120" s="266">
        <v>0</v>
      </c>
      <c r="AB120" s="266">
        <v>0</v>
      </c>
      <c r="AC120" s="266">
        <v>0</v>
      </c>
      <c r="AD120" s="267"/>
      <c r="AE120" s="267">
        <v>0</v>
      </c>
      <c r="AF120" s="267">
        <v>0</v>
      </c>
      <c r="AG120" s="267">
        <v>0</v>
      </c>
      <c r="AH120" s="12"/>
      <c r="AI120" s="12"/>
      <c r="AJ120" s="12"/>
    </row>
    <row r="121" spans="1:36" ht="12.75" hidden="1" customHeight="1" outlineLevel="1" collapsed="1">
      <c r="A121" s="12"/>
      <c r="B121" s="12"/>
      <c r="C121" s="108" t="s">
        <v>166</v>
      </c>
      <c r="D121" s="12"/>
      <c r="E121" s="137"/>
      <c r="F121" s="263">
        <f t="shared" ref="F121:W121" si="104">IFERROR(F115/F116,"--")</f>
        <v>0</v>
      </c>
      <c r="G121" s="263">
        <f t="shared" si="104"/>
        <v>0</v>
      </c>
      <c r="H121" s="263">
        <f t="shared" si="104"/>
        <v>0</v>
      </c>
      <c r="I121" s="263">
        <f t="shared" si="104"/>
        <v>0</v>
      </c>
      <c r="J121" s="233">
        <f t="shared" si="104"/>
        <v>0</v>
      </c>
      <c r="K121" s="263">
        <f t="shared" si="104"/>
        <v>0</v>
      </c>
      <c r="L121" s="263">
        <f t="shared" si="104"/>
        <v>0</v>
      </c>
      <c r="M121" s="263">
        <f t="shared" si="104"/>
        <v>0</v>
      </c>
      <c r="N121" s="263">
        <f t="shared" si="104"/>
        <v>0</v>
      </c>
      <c r="O121" s="233">
        <f t="shared" si="104"/>
        <v>0</v>
      </c>
      <c r="P121" s="263">
        <f t="shared" si="104"/>
        <v>0</v>
      </c>
      <c r="Q121" s="263">
        <f t="shared" si="104"/>
        <v>0</v>
      </c>
      <c r="R121" s="263">
        <f t="shared" si="104"/>
        <v>0</v>
      </c>
      <c r="S121" s="263">
        <f t="shared" si="104"/>
        <v>0</v>
      </c>
      <c r="T121" s="233">
        <f t="shared" si="104"/>
        <v>0</v>
      </c>
      <c r="U121" s="263">
        <f t="shared" si="104"/>
        <v>0</v>
      </c>
      <c r="V121" s="263">
        <f t="shared" si="104"/>
        <v>0</v>
      </c>
      <c r="W121" s="263">
        <f t="shared" si="104"/>
        <v>0</v>
      </c>
      <c r="X121" s="232">
        <f>W121*(1+X122)</f>
        <v>0</v>
      </c>
      <c r="Y121" s="233">
        <f>Y115/Y116</f>
        <v>0</v>
      </c>
      <c r="Z121" s="232">
        <f>X121*(1+Z122)</f>
        <v>0</v>
      </c>
      <c r="AA121" s="232">
        <f t="shared" ref="AA121:AC121" si="105">Z121*(1+AA122)</f>
        <v>0</v>
      </c>
      <c r="AB121" s="232">
        <f t="shared" si="105"/>
        <v>0</v>
      </c>
      <c r="AC121" s="232">
        <f t="shared" si="105"/>
        <v>0</v>
      </c>
      <c r="AD121" s="233">
        <f>AD115/AD116</f>
        <v>0</v>
      </c>
      <c r="AE121" s="233">
        <f t="shared" ref="AE121:AG121" si="106">AD121*(1+AE122)</f>
        <v>0</v>
      </c>
      <c r="AF121" s="233">
        <f t="shared" si="106"/>
        <v>0</v>
      </c>
      <c r="AG121" s="233">
        <f t="shared" si="106"/>
        <v>0</v>
      </c>
      <c r="AH121" s="12"/>
      <c r="AI121" s="12"/>
      <c r="AJ121" s="12"/>
    </row>
    <row r="122" spans="1:36" ht="12.75" hidden="1" customHeight="1" outlineLevel="1" collapsed="1">
      <c r="A122" s="12"/>
      <c r="B122" s="12"/>
      <c r="C122" s="89" t="s">
        <v>257</v>
      </c>
      <c r="D122" s="12"/>
      <c r="E122" s="137"/>
      <c r="F122" s="265"/>
      <c r="G122" s="264" t="str">
        <f t="shared" ref="G122:I122" si="107">IFERROR(G121/F121-1,"--")</f>
        <v>--</v>
      </c>
      <c r="H122" s="264" t="str">
        <f t="shared" si="107"/>
        <v>--</v>
      </c>
      <c r="I122" s="264" t="str">
        <f t="shared" si="107"/>
        <v>--</v>
      </c>
      <c r="J122" s="137"/>
      <c r="K122" s="264" t="str">
        <f>IFERROR(K121/I121-1,"--")</f>
        <v>--</v>
      </c>
      <c r="L122" s="264" t="str">
        <f t="shared" ref="L122:N122" si="108">IFERROR(L121/K121-1,"--")</f>
        <v>--</v>
      </c>
      <c r="M122" s="264" t="str">
        <f t="shared" si="108"/>
        <v>--</v>
      </c>
      <c r="N122" s="264" t="str">
        <f t="shared" si="108"/>
        <v>--</v>
      </c>
      <c r="O122" s="252" t="str">
        <f>IFERROR(O121/J121-1,"--")</f>
        <v>--</v>
      </c>
      <c r="P122" s="264" t="str">
        <f>IFERROR(P121/N121-1,"--")</f>
        <v>--</v>
      </c>
      <c r="Q122" s="264" t="str">
        <f t="shared" ref="Q122:S122" si="109">IFERROR(Q121/P121-1,"--")</f>
        <v>--</v>
      </c>
      <c r="R122" s="264" t="str">
        <f t="shared" si="109"/>
        <v>--</v>
      </c>
      <c r="S122" s="264" t="str">
        <f t="shared" si="109"/>
        <v>--</v>
      </c>
      <c r="T122" s="252" t="str">
        <f>IFERROR(T121/O121-1,"--")</f>
        <v>--</v>
      </c>
      <c r="U122" s="264" t="str">
        <f>IFERROR(U121/S121-1,"--")</f>
        <v>--</v>
      </c>
      <c r="V122" s="264" t="str">
        <f t="shared" ref="V122:W122" si="110">IFERROR(V121/U121-1,"--")</f>
        <v>--</v>
      </c>
      <c r="W122" s="264" t="str">
        <f t="shared" si="110"/>
        <v>--</v>
      </c>
      <c r="X122" s="251">
        <f>IF(Case_Scenario="Bull",X123,IF(Case_Scenario="Base",X124,IF(Case_Scenario="bear",X125,"N/A")))</f>
        <v>0.05</v>
      </c>
      <c r="Y122" s="252"/>
      <c r="Z122" s="251">
        <f>IF(Case_Scenario="Bull",Z123,IF(Case_Scenario="Base",Z124,IF(Case_Scenario="bear",Z125,"N/A")))</f>
        <v>0.05</v>
      </c>
      <c r="AA122" s="251">
        <f>IF(Case_Scenario="Bull",AA123,IF(Case_Scenario="Base",AA124,IF(Case_Scenario="bear",AA125,"N/A")))</f>
        <v>0.05</v>
      </c>
      <c r="AB122" s="251">
        <f>IF(Case_Scenario="Bull",AB123,IF(Case_Scenario="Base",AB124,IF(Case_Scenario="bear",AB125,"N/A")))</f>
        <v>0.05</v>
      </c>
      <c r="AC122" s="251">
        <f>IF(Case_Scenario="Bull",AC123,IF(Case_Scenario="Base",AC124,IF(Case_Scenario="bear",AC125,"N/A")))</f>
        <v>0.05</v>
      </c>
      <c r="AD122" s="252"/>
      <c r="AE122" s="252">
        <f>IF(Case_Scenario="Bull",AE123,IF(Case_Scenario="Base",AE124,IF(Case_Scenario="bear",AE125,"N/A")))</f>
        <v>0.05</v>
      </c>
      <c r="AF122" s="252">
        <f>IF(Case_Scenario="Bull",AF123,IF(Case_Scenario="Base",AF124,IF(Case_Scenario="bear",AF125,"N/A")))</f>
        <v>0.05</v>
      </c>
      <c r="AG122" s="252">
        <f>IF(Case_Scenario="Bull",AG123,IF(Case_Scenario="Base",AG124,IF(Case_Scenario="bear",AG125,"N/A")))</f>
        <v>0.05</v>
      </c>
      <c r="AH122" s="12"/>
      <c r="AI122" s="12"/>
      <c r="AJ122" s="12"/>
    </row>
    <row r="123" spans="1:36" ht="12.75" hidden="1" customHeight="1" outlineLevel="1" collapsed="1">
      <c r="A123" s="12"/>
      <c r="B123" s="12"/>
      <c r="C123" s="108" t="s">
        <v>251</v>
      </c>
      <c r="D123" s="12"/>
      <c r="E123" s="137"/>
      <c r="F123" s="265"/>
      <c r="G123" s="265"/>
      <c r="H123" s="265"/>
      <c r="I123" s="265"/>
      <c r="J123" s="137"/>
      <c r="K123" s="265"/>
      <c r="L123" s="265"/>
      <c r="M123" s="265"/>
      <c r="N123" s="265"/>
      <c r="O123" s="137"/>
      <c r="P123" s="265"/>
      <c r="Q123" s="265"/>
      <c r="R123" s="265"/>
      <c r="S123" s="265"/>
      <c r="T123" s="137"/>
      <c r="U123" s="265"/>
      <c r="V123" s="265"/>
      <c r="W123" s="265"/>
      <c r="X123" s="266">
        <v>0.1</v>
      </c>
      <c r="Y123" s="267"/>
      <c r="Z123" s="266">
        <v>0.1</v>
      </c>
      <c r="AA123" s="266">
        <v>0.1</v>
      </c>
      <c r="AB123" s="266">
        <v>0.1</v>
      </c>
      <c r="AC123" s="266">
        <v>0.1</v>
      </c>
      <c r="AD123" s="267"/>
      <c r="AE123" s="267">
        <v>0.1</v>
      </c>
      <c r="AF123" s="267">
        <v>0.1</v>
      </c>
      <c r="AG123" s="267">
        <v>0.1</v>
      </c>
      <c r="AH123" s="12"/>
      <c r="AI123" s="12"/>
      <c r="AJ123" s="12"/>
    </row>
    <row r="124" spans="1:36" ht="12.75" hidden="1" customHeight="1" outlineLevel="1" collapsed="1">
      <c r="A124" s="12"/>
      <c r="B124" s="12"/>
      <c r="C124" s="108" t="s">
        <v>252</v>
      </c>
      <c r="D124" s="12"/>
      <c r="E124" s="137"/>
      <c r="F124" s="265"/>
      <c r="G124" s="265"/>
      <c r="H124" s="265"/>
      <c r="I124" s="265"/>
      <c r="J124" s="137"/>
      <c r="K124" s="265"/>
      <c r="L124" s="265"/>
      <c r="M124" s="265"/>
      <c r="N124" s="265"/>
      <c r="O124" s="137"/>
      <c r="P124" s="265"/>
      <c r="Q124" s="265"/>
      <c r="R124" s="265"/>
      <c r="S124" s="265"/>
      <c r="T124" s="137"/>
      <c r="U124" s="265"/>
      <c r="V124" s="265"/>
      <c r="W124" s="265"/>
      <c r="X124" s="266">
        <v>0.05</v>
      </c>
      <c r="Y124" s="267"/>
      <c r="Z124" s="266">
        <v>0.05</v>
      </c>
      <c r="AA124" s="266">
        <v>0.05</v>
      </c>
      <c r="AB124" s="266">
        <v>0.05</v>
      </c>
      <c r="AC124" s="266">
        <v>0.05</v>
      </c>
      <c r="AD124" s="267"/>
      <c r="AE124" s="267">
        <v>0.05</v>
      </c>
      <c r="AF124" s="267">
        <v>0.05</v>
      </c>
      <c r="AG124" s="267">
        <v>0.05</v>
      </c>
      <c r="AH124" s="12"/>
      <c r="AI124" s="12"/>
      <c r="AJ124" s="12"/>
    </row>
    <row r="125" spans="1:36" ht="12.75" hidden="1" customHeight="1" outlineLevel="1" collapsed="1">
      <c r="A125" s="12"/>
      <c r="B125" s="12"/>
      <c r="C125" s="108" t="s">
        <v>253</v>
      </c>
      <c r="D125" s="12"/>
      <c r="E125" s="137"/>
      <c r="F125" s="265"/>
      <c r="G125" s="265"/>
      <c r="H125" s="265"/>
      <c r="I125" s="265"/>
      <c r="J125" s="137"/>
      <c r="K125" s="265"/>
      <c r="L125" s="265"/>
      <c r="M125" s="265"/>
      <c r="N125" s="265"/>
      <c r="O125" s="137"/>
      <c r="P125" s="265"/>
      <c r="Q125" s="265"/>
      <c r="R125" s="265"/>
      <c r="S125" s="265"/>
      <c r="T125" s="137"/>
      <c r="U125" s="265"/>
      <c r="V125" s="265"/>
      <c r="W125" s="265"/>
      <c r="X125" s="266">
        <v>0</v>
      </c>
      <c r="Y125" s="267"/>
      <c r="Z125" s="266">
        <v>0</v>
      </c>
      <c r="AA125" s="266">
        <v>0</v>
      </c>
      <c r="AB125" s="266">
        <v>0</v>
      </c>
      <c r="AC125" s="266">
        <v>0</v>
      </c>
      <c r="AD125" s="267"/>
      <c r="AE125" s="267">
        <v>0</v>
      </c>
      <c r="AF125" s="267">
        <v>0</v>
      </c>
      <c r="AG125" s="267">
        <v>0</v>
      </c>
      <c r="AH125" s="12"/>
      <c r="AI125" s="12"/>
      <c r="AJ125" s="12"/>
    </row>
    <row r="126" spans="1:36" ht="12.75" hidden="1" customHeight="1" outlineLevel="1" collapsed="1">
      <c r="A126" s="12"/>
      <c r="B126" s="12"/>
      <c r="C126" s="108"/>
      <c r="D126" s="12"/>
      <c r="E126" s="137"/>
      <c r="F126" s="265"/>
      <c r="G126" s="265"/>
      <c r="H126" s="265"/>
      <c r="I126" s="265"/>
      <c r="J126" s="137"/>
      <c r="K126" s="265"/>
      <c r="L126" s="265"/>
      <c r="M126" s="265"/>
      <c r="N126" s="265"/>
      <c r="O126" s="137"/>
      <c r="P126" s="265"/>
      <c r="Q126" s="265"/>
      <c r="R126" s="265"/>
      <c r="S126" s="265"/>
      <c r="T126" s="137"/>
      <c r="U126" s="265"/>
      <c r="V126" s="265"/>
      <c r="W126" s="265"/>
      <c r="X126" s="268"/>
      <c r="Y126" s="137"/>
      <c r="Z126" s="268"/>
      <c r="AA126" s="268"/>
      <c r="AB126" s="268"/>
      <c r="AC126" s="268"/>
      <c r="AD126" s="137"/>
      <c r="AE126" s="137"/>
      <c r="AF126" s="137"/>
      <c r="AG126" s="137"/>
      <c r="AH126" s="12"/>
      <c r="AI126" s="12"/>
      <c r="AJ126" s="12"/>
    </row>
    <row r="127" spans="1:36" ht="12.75" hidden="1" customHeight="1" outlineLevel="1" collapsed="1">
      <c r="A127" s="211" t="s">
        <v>1</v>
      </c>
      <c r="B127" s="12"/>
      <c r="C127" s="108" t="str">
        <f>C41</f>
        <v>Segment 4 Revenue</v>
      </c>
      <c r="D127" s="12"/>
      <c r="E127" s="137"/>
      <c r="F127" s="263">
        <f t="shared" ref="F127:W127" si="111">F41</f>
        <v>0</v>
      </c>
      <c r="G127" s="263">
        <f t="shared" si="111"/>
        <v>0</v>
      </c>
      <c r="H127" s="263">
        <f t="shared" si="111"/>
        <v>0</v>
      </c>
      <c r="I127" s="263">
        <f t="shared" si="111"/>
        <v>0</v>
      </c>
      <c r="J127" s="233">
        <f t="shared" si="111"/>
        <v>0</v>
      </c>
      <c r="K127" s="263">
        <f t="shared" si="111"/>
        <v>0</v>
      </c>
      <c r="L127" s="263">
        <f t="shared" si="111"/>
        <v>0</v>
      </c>
      <c r="M127" s="263">
        <f t="shared" si="111"/>
        <v>0</v>
      </c>
      <c r="N127" s="263">
        <f t="shared" si="111"/>
        <v>0</v>
      </c>
      <c r="O127" s="233">
        <f t="shared" si="111"/>
        <v>0</v>
      </c>
      <c r="P127" s="263">
        <f t="shared" si="111"/>
        <v>0</v>
      </c>
      <c r="Q127" s="263">
        <f t="shared" si="111"/>
        <v>0</v>
      </c>
      <c r="R127" s="263">
        <f t="shared" si="111"/>
        <v>0</v>
      </c>
      <c r="S127" s="263">
        <f t="shared" si="111"/>
        <v>0</v>
      </c>
      <c r="T127" s="233">
        <f t="shared" si="111"/>
        <v>0</v>
      </c>
      <c r="U127" s="263">
        <f t="shared" si="111"/>
        <v>0</v>
      </c>
      <c r="V127" s="263">
        <f t="shared" si="111"/>
        <v>0</v>
      </c>
      <c r="W127" s="263">
        <f t="shared" si="111"/>
        <v>0</v>
      </c>
      <c r="X127" s="232">
        <f>X128*X133</f>
        <v>0</v>
      </c>
      <c r="Y127" s="233">
        <f t="shared" ref="Y127:Y128" si="112">SUM(U127:X127)</f>
        <v>0</v>
      </c>
      <c r="Z127" s="232">
        <f t="shared" ref="Z127:AC127" si="113">Z128*Z133</f>
        <v>0</v>
      </c>
      <c r="AA127" s="232">
        <f t="shared" si="113"/>
        <v>0</v>
      </c>
      <c r="AB127" s="232">
        <f t="shared" si="113"/>
        <v>0</v>
      </c>
      <c r="AC127" s="232">
        <f t="shared" si="113"/>
        <v>0</v>
      </c>
      <c r="AD127" s="233">
        <f t="shared" ref="AD127:AD128" si="114">SUM(Z127:AC127)</f>
        <v>0</v>
      </c>
      <c r="AE127" s="233">
        <f t="shared" ref="AE127:AG127" si="115">AE128*AE133</f>
        <v>0</v>
      </c>
      <c r="AF127" s="233">
        <f t="shared" si="115"/>
        <v>0</v>
      </c>
      <c r="AG127" s="233">
        <f t="shared" si="115"/>
        <v>0</v>
      </c>
      <c r="AH127" s="12"/>
      <c r="AI127" s="12"/>
      <c r="AJ127" s="12"/>
    </row>
    <row r="128" spans="1:36" ht="12.75" hidden="1" customHeight="1" outlineLevel="1" collapsed="1">
      <c r="A128" s="12"/>
      <c r="B128" s="12"/>
      <c r="C128" s="108" t="s">
        <v>255</v>
      </c>
      <c r="D128" s="12"/>
      <c r="E128" s="137"/>
      <c r="F128" s="271">
        <v>220</v>
      </c>
      <c r="G128" s="271">
        <v>220</v>
      </c>
      <c r="H128" s="271">
        <v>220</v>
      </c>
      <c r="I128" s="271">
        <v>220</v>
      </c>
      <c r="J128" s="272">
        <f>SUM(F128:I128)</f>
        <v>880</v>
      </c>
      <c r="K128" s="271">
        <v>220</v>
      </c>
      <c r="L128" s="271">
        <v>220</v>
      </c>
      <c r="M128" s="271">
        <v>220</v>
      </c>
      <c r="N128" s="271">
        <v>220</v>
      </c>
      <c r="O128" s="272">
        <f>SUM(K128:N128)</f>
        <v>880</v>
      </c>
      <c r="P128" s="271">
        <v>220</v>
      </c>
      <c r="Q128" s="271">
        <v>220</v>
      </c>
      <c r="R128" s="271">
        <v>220</v>
      </c>
      <c r="S128" s="271">
        <v>220</v>
      </c>
      <c r="T128" s="272">
        <f>SUM(P128:S128)</f>
        <v>880</v>
      </c>
      <c r="U128" s="271">
        <v>220</v>
      </c>
      <c r="V128" s="271">
        <v>220</v>
      </c>
      <c r="W128" s="271">
        <v>220</v>
      </c>
      <c r="X128" s="273">
        <f>W128*(1+X129)</f>
        <v>231</v>
      </c>
      <c r="Y128" s="272">
        <f t="shared" si="112"/>
        <v>891</v>
      </c>
      <c r="Z128" s="273">
        <f>X128*(1+Z129)</f>
        <v>242.55</v>
      </c>
      <c r="AA128" s="273">
        <f t="shared" ref="AA128:AC128" si="116">Z128*(1+AA129)</f>
        <v>254.67750000000001</v>
      </c>
      <c r="AB128" s="273">
        <f t="shared" si="116"/>
        <v>267.41137500000002</v>
      </c>
      <c r="AC128" s="273">
        <f t="shared" si="116"/>
        <v>280.78194375000004</v>
      </c>
      <c r="AD128" s="272">
        <f t="shared" si="114"/>
        <v>1045.4208187500001</v>
      </c>
      <c r="AE128" s="272">
        <f t="shared" ref="AE128:AG128" si="117">AD128*(1+AE129)</f>
        <v>1097.6918596875</v>
      </c>
      <c r="AF128" s="272">
        <f t="shared" si="117"/>
        <v>1152.5764526718751</v>
      </c>
      <c r="AG128" s="272">
        <f t="shared" si="117"/>
        <v>1210.2052753054688</v>
      </c>
      <c r="AH128" s="12"/>
      <c r="AI128" s="12"/>
      <c r="AJ128" s="12"/>
    </row>
    <row r="129" spans="1:36" ht="12.75" hidden="1" customHeight="1" outlineLevel="1" collapsed="1">
      <c r="A129" s="12"/>
      <c r="B129" s="12"/>
      <c r="C129" s="89" t="s">
        <v>256</v>
      </c>
      <c r="D129" s="12"/>
      <c r="E129" s="137"/>
      <c r="F129" s="265"/>
      <c r="G129" s="264">
        <f t="shared" ref="G129:I129" si="118">IFERROR(G128/F128-1,"--")</f>
        <v>0</v>
      </c>
      <c r="H129" s="264">
        <f t="shared" si="118"/>
        <v>0</v>
      </c>
      <c r="I129" s="264">
        <f t="shared" si="118"/>
        <v>0</v>
      </c>
      <c r="J129" s="137"/>
      <c r="K129" s="264">
        <f>IFERROR(K128/I128-1,"--")</f>
        <v>0</v>
      </c>
      <c r="L129" s="264">
        <f t="shared" ref="L129:N129" si="119">IFERROR(L128/K128-1,"--")</f>
        <v>0</v>
      </c>
      <c r="M129" s="264">
        <f t="shared" si="119"/>
        <v>0</v>
      </c>
      <c r="N129" s="264">
        <f t="shared" si="119"/>
        <v>0</v>
      </c>
      <c r="O129" s="252">
        <f>IFERROR(O128/J128-1,"--")</f>
        <v>0</v>
      </c>
      <c r="P129" s="264">
        <f>IFERROR(P128/N128-1,"--")</f>
        <v>0</v>
      </c>
      <c r="Q129" s="264">
        <f t="shared" ref="Q129:S129" si="120">IFERROR(Q128/P128-1,"--")</f>
        <v>0</v>
      </c>
      <c r="R129" s="264">
        <f t="shared" si="120"/>
        <v>0</v>
      </c>
      <c r="S129" s="264">
        <f t="shared" si="120"/>
        <v>0</v>
      </c>
      <c r="T129" s="252">
        <f>IFERROR(T128/O128-1,"--")</f>
        <v>0</v>
      </c>
      <c r="U129" s="264">
        <f>IFERROR(U128/S128-1,"--")</f>
        <v>0</v>
      </c>
      <c r="V129" s="264">
        <f t="shared" ref="V129:W129" si="121">IFERROR(V128/U128-1,"--")</f>
        <v>0</v>
      </c>
      <c r="W129" s="264">
        <f t="shared" si="121"/>
        <v>0</v>
      </c>
      <c r="X129" s="251">
        <f>IF(Case_Scenario="Bull",X130,IF(Case_Scenario="Base",X131,IF(Case_Scenario="bear",X132,"N/A")))</f>
        <v>0.05</v>
      </c>
      <c r="Y129" s="252"/>
      <c r="Z129" s="251">
        <f>IF(Case_Scenario="Bull",Z130,IF(Case_Scenario="Base",Z131,IF(Case_Scenario="bear",Z132,"N/A")))</f>
        <v>0.05</v>
      </c>
      <c r="AA129" s="251">
        <f>IF(Case_Scenario="Bull",AA130,IF(Case_Scenario="Base",AA131,IF(Case_Scenario="bear",AA132,"N/A")))</f>
        <v>0.05</v>
      </c>
      <c r="AB129" s="251">
        <f>IF(Case_Scenario="Bull",AB130,IF(Case_Scenario="Base",AB131,IF(Case_Scenario="bear",AB132,"N/A")))</f>
        <v>0.05</v>
      </c>
      <c r="AC129" s="251">
        <f>IF(Case_Scenario="Bull",AC130,IF(Case_Scenario="Base",AC131,IF(Case_Scenario="bear",AC132,"N/A")))</f>
        <v>0.05</v>
      </c>
      <c r="AD129" s="252"/>
      <c r="AE129" s="252">
        <f>IF(Case_Scenario="Bull",AE130,IF(Case_Scenario="Base",AE131,IF(Case_Scenario="bear",AE132,"N/A")))</f>
        <v>0.05</v>
      </c>
      <c r="AF129" s="252">
        <f>IF(Case_Scenario="Bull",AF130,IF(Case_Scenario="Base",AF131,IF(Case_Scenario="bear",AF132,"N/A")))</f>
        <v>0.05</v>
      </c>
      <c r="AG129" s="252">
        <f>IF(Case_Scenario="Bull",AG130,IF(Case_Scenario="Base",AG131,IF(Case_Scenario="bear",AG132,"N/A")))</f>
        <v>0.05</v>
      </c>
      <c r="AH129" s="12"/>
      <c r="AI129" s="12"/>
      <c r="AJ129" s="12"/>
    </row>
    <row r="130" spans="1:36" ht="12.75" hidden="1" customHeight="1" outlineLevel="1" collapsed="1">
      <c r="A130" s="12"/>
      <c r="B130" s="12"/>
      <c r="C130" s="108" t="s">
        <v>251</v>
      </c>
      <c r="D130" s="12"/>
      <c r="E130" s="137"/>
      <c r="F130" s="265"/>
      <c r="G130" s="265"/>
      <c r="H130" s="265"/>
      <c r="I130" s="265"/>
      <c r="J130" s="137"/>
      <c r="K130" s="265"/>
      <c r="L130" s="265"/>
      <c r="M130" s="265"/>
      <c r="N130" s="265"/>
      <c r="O130" s="137"/>
      <c r="P130" s="265"/>
      <c r="Q130" s="265"/>
      <c r="R130" s="265"/>
      <c r="S130" s="265"/>
      <c r="T130" s="137"/>
      <c r="U130" s="265"/>
      <c r="V130" s="265"/>
      <c r="W130" s="265"/>
      <c r="X130" s="266">
        <v>0.1</v>
      </c>
      <c r="Y130" s="267"/>
      <c r="Z130" s="266">
        <v>0.1</v>
      </c>
      <c r="AA130" s="266">
        <v>0.1</v>
      </c>
      <c r="AB130" s="266">
        <v>0.1</v>
      </c>
      <c r="AC130" s="266">
        <v>0.1</v>
      </c>
      <c r="AD130" s="267"/>
      <c r="AE130" s="267">
        <v>0.1</v>
      </c>
      <c r="AF130" s="267">
        <v>0.1</v>
      </c>
      <c r="AG130" s="267">
        <v>0.1</v>
      </c>
      <c r="AH130" s="12"/>
      <c r="AI130" s="12"/>
      <c r="AJ130" s="12"/>
    </row>
    <row r="131" spans="1:36" ht="12.75" hidden="1" customHeight="1" outlineLevel="1" collapsed="1">
      <c r="A131" s="12"/>
      <c r="B131" s="12"/>
      <c r="C131" s="108" t="s">
        <v>252</v>
      </c>
      <c r="D131" s="12"/>
      <c r="E131" s="137"/>
      <c r="F131" s="265"/>
      <c r="G131" s="265"/>
      <c r="H131" s="265"/>
      <c r="I131" s="265"/>
      <c r="J131" s="137"/>
      <c r="K131" s="265"/>
      <c r="L131" s="265"/>
      <c r="M131" s="265"/>
      <c r="N131" s="265"/>
      <c r="O131" s="137"/>
      <c r="P131" s="265"/>
      <c r="Q131" s="265"/>
      <c r="R131" s="265"/>
      <c r="S131" s="265"/>
      <c r="T131" s="137"/>
      <c r="U131" s="265"/>
      <c r="V131" s="265"/>
      <c r="W131" s="265"/>
      <c r="X131" s="266">
        <v>0.05</v>
      </c>
      <c r="Y131" s="267"/>
      <c r="Z131" s="266">
        <v>0.05</v>
      </c>
      <c r="AA131" s="266">
        <v>0.05</v>
      </c>
      <c r="AB131" s="266">
        <v>0.05</v>
      </c>
      <c r="AC131" s="266">
        <v>0.05</v>
      </c>
      <c r="AD131" s="267"/>
      <c r="AE131" s="267">
        <v>0.05</v>
      </c>
      <c r="AF131" s="267">
        <v>0.05</v>
      </c>
      <c r="AG131" s="267">
        <v>0.05</v>
      </c>
      <c r="AH131" s="12"/>
      <c r="AI131" s="12"/>
      <c r="AJ131" s="12"/>
    </row>
    <row r="132" spans="1:36" ht="12.75" hidden="1" customHeight="1" outlineLevel="1" collapsed="1">
      <c r="A132" s="12"/>
      <c r="B132" s="12"/>
      <c r="C132" s="108" t="s">
        <v>253</v>
      </c>
      <c r="D132" s="12"/>
      <c r="E132" s="137"/>
      <c r="F132" s="265"/>
      <c r="G132" s="265"/>
      <c r="H132" s="265"/>
      <c r="I132" s="265"/>
      <c r="J132" s="137"/>
      <c r="K132" s="265"/>
      <c r="L132" s="265"/>
      <c r="M132" s="265"/>
      <c r="N132" s="265"/>
      <c r="O132" s="137"/>
      <c r="P132" s="265"/>
      <c r="Q132" s="265"/>
      <c r="R132" s="265"/>
      <c r="S132" s="265"/>
      <c r="T132" s="137"/>
      <c r="U132" s="265"/>
      <c r="V132" s="265"/>
      <c r="W132" s="265"/>
      <c r="X132" s="266">
        <v>0</v>
      </c>
      <c r="Y132" s="267"/>
      <c r="Z132" s="266">
        <v>0</v>
      </c>
      <c r="AA132" s="266">
        <v>0</v>
      </c>
      <c r="AB132" s="266">
        <v>0</v>
      </c>
      <c r="AC132" s="266">
        <v>0</v>
      </c>
      <c r="AD132" s="267"/>
      <c r="AE132" s="267">
        <v>0</v>
      </c>
      <c r="AF132" s="267">
        <v>0</v>
      </c>
      <c r="AG132" s="267">
        <v>0</v>
      </c>
      <c r="AH132" s="12"/>
      <c r="AI132" s="12"/>
      <c r="AJ132" s="12"/>
    </row>
    <row r="133" spans="1:36" ht="12.75" hidden="1" customHeight="1" outlineLevel="1" collapsed="1">
      <c r="A133" s="12"/>
      <c r="B133" s="12"/>
      <c r="C133" s="108" t="s">
        <v>166</v>
      </c>
      <c r="D133" s="12"/>
      <c r="E133" s="137"/>
      <c r="F133" s="263">
        <f t="shared" ref="F133:W133" si="122">IFERROR(F127/F128,"--")</f>
        <v>0</v>
      </c>
      <c r="G133" s="263">
        <f t="shared" si="122"/>
        <v>0</v>
      </c>
      <c r="H133" s="263">
        <f t="shared" si="122"/>
        <v>0</v>
      </c>
      <c r="I133" s="263">
        <f t="shared" si="122"/>
        <v>0</v>
      </c>
      <c r="J133" s="233">
        <f t="shared" si="122"/>
        <v>0</v>
      </c>
      <c r="K133" s="263">
        <f t="shared" si="122"/>
        <v>0</v>
      </c>
      <c r="L133" s="263">
        <f t="shared" si="122"/>
        <v>0</v>
      </c>
      <c r="M133" s="263">
        <f t="shared" si="122"/>
        <v>0</v>
      </c>
      <c r="N133" s="263">
        <f t="shared" si="122"/>
        <v>0</v>
      </c>
      <c r="O133" s="233">
        <f t="shared" si="122"/>
        <v>0</v>
      </c>
      <c r="P133" s="263">
        <f t="shared" si="122"/>
        <v>0</v>
      </c>
      <c r="Q133" s="263">
        <f t="shared" si="122"/>
        <v>0</v>
      </c>
      <c r="R133" s="263">
        <f t="shared" si="122"/>
        <v>0</v>
      </c>
      <c r="S133" s="263">
        <f t="shared" si="122"/>
        <v>0</v>
      </c>
      <c r="T133" s="233">
        <f t="shared" si="122"/>
        <v>0</v>
      </c>
      <c r="U133" s="263">
        <f t="shared" si="122"/>
        <v>0</v>
      </c>
      <c r="V133" s="263">
        <f t="shared" si="122"/>
        <v>0</v>
      </c>
      <c r="W133" s="263">
        <f t="shared" si="122"/>
        <v>0</v>
      </c>
      <c r="X133" s="232">
        <f>W133*(1+X134)</f>
        <v>0</v>
      </c>
      <c r="Y133" s="233">
        <f>Y127/Y128</f>
        <v>0</v>
      </c>
      <c r="Z133" s="232">
        <f>X133*(1+Z134)</f>
        <v>0</v>
      </c>
      <c r="AA133" s="232">
        <f t="shared" ref="AA133:AC133" si="123">Z133*(1+AA134)</f>
        <v>0</v>
      </c>
      <c r="AB133" s="232">
        <f t="shared" si="123"/>
        <v>0</v>
      </c>
      <c r="AC133" s="232">
        <f t="shared" si="123"/>
        <v>0</v>
      </c>
      <c r="AD133" s="233">
        <f>AD127/AD128</f>
        <v>0</v>
      </c>
      <c r="AE133" s="233">
        <f t="shared" ref="AE133:AG133" si="124">AD133*(1+AE134)</f>
        <v>0</v>
      </c>
      <c r="AF133" s="233">
        <f t="shared" si="124"/>
        <v>0</v>
      </c>
      <c r="AG133" s="233">
        <f t="shared" si="124"/>
        <v>0</v>
      </c>
      <c r="AH133" s="12"/>
      <c r="AI133" s="12"/>
      <c r="AJ133" s="12"/>
    </row>
    <row r="134" spans="1:36" ht="12.75" hidden="1" customHeight="1" outlineLevel="1" collapsed="1">
      <c r="A134" s="12"/>
      <c r="B134" s="12"/>
      <c r="C134" s="89" t="s">
        <v>257</v>
      </c>
      <c r="D134" s="12"/>
      <c r="E134" s="137"/>
      <c r="F134" s="265"/>
      <c r="G134" s="264" t="str">
        <f t="shared" ref="G134:I134" si="125">IFERROR(G133/F133-1,"--")</f>
        <v>--</v>
      </c>
      <c r="H134" s="264" t="str">
        <f t="shared" si="125"/>
        <v>--</v>
      </c>
      <c r="I134" s="264" t="str">
        <f t="shared" si="125"/>
        <v>--</v>
      </c>
      <c r="J134" s="137"/>
      <c r="K134" s="264" t="str">
        <f>IFERROR(K133/I133-1,"--")</f>
        <v>--</v>
      </c>
      <c r="L134" s="264" t="str">
        <f t="shared" ref="L134:N134" si="126">IFERROR(L133/K133-1,"--")</f>
        <v>--</v>
      </c>
      <c r="M134" s="264" t="str">
        <f t="shared" si="126"/>
        <v>--</v>
      </c>
      <c r="N134" s="264" t="str">
        <f t="shared" si="126"/>
        <v>--</v>
      </c>
      <c r="O134" s="252" t="str">
        <f>IFERROR(O133/J133-1,"--")</f>
        <v>--</v>
      </c>
      <c r="P134" s="264" t="str">
        <f>IFERROR(P133/N133-1,"--")</f>
        <v>--</v>
      </c>
      <c r="Q134" s="264" t="str">
        <f t="shared" ref="Q134:S134" si="127">IFERROR(Q133/P133-1,"--")</f>
        <v>--</v>
      </c>
      <c r="R134" s="264" t="str">
        <f t="shared" si="127"/>
        <v>--</v>
      </c>
      <c r="S134" s="264" t="str">
        <f t="shared" si="127"/>
        <v>--</v>
      </c>
      <c r="T134" s="252" t="str">
        <f>IFERROR(T133/O133-1,"--")</f>
        <v>--</v>
      </c>
      <c r="U134" s="264" t="str">
        <f>IFERROR(U133/S133-1,"--")</f>
        <v>--</v>
      </c>
      <c r="V134" s="264" t="str">
        <f t="shared" ref="V134:W134" si="128">IFERROR(V133/U133-1,"--")</f>
        <v>--</v>
      </c>
      <c r="W134" s="264" t="str">
        <f t="shared" si="128"/>
        <v>--</v>
      </c>
      <c r="X134" s="251">
        <f>IF(Case_Scenario="Bull",X135,IF(Case_Scenario="Base",X136,IF(Case_Scenario="bear",X137,"N/A")))</f>
        <v>0.05</v>
      </c>
      <c r="Y134" s="252"/>
      <c r="Z134" s="251">
        <f>IF(Case_Scenario="Bull",Z135,IF(Case_Scenario="Base",Z136,IF(Case_Scenario="bear",Z137,"N/A")))</f>
        <v>0.05</v>
      </c>
      <c r="AA134" s="251">
        <f>IF(Case_Scenario="Bull",AA135,IF(Case_Scenario="Base",AA136,IF(Case_Scenario="bear",AA137,"N/A")))</f>
        <v>0.05</v>
      </c>
      <c r="AB134" s="251">
        <f>IF(Case_Scenario="Bull",AB135,IF(Case_Scenario="Base",AB136,IF(Case_Scenario="bear",AB137,"N/A")))</f>
        <v>0.05</v>
      </c>
      <c r="AC134" s="251">
        <f>IF(Case_Scenario="Bull",AC135,IF(Case_Scenario="Base",AC136,IF(Case_Scenario="bear",AC137,"N/A")))</f>
        <v>0.05</v>
      </c>
      <c r="AD134" s="252"/>
      <c r="AE134" s="252">
        <f>IF(Case_Scenario="Bull",AE135,IF(Case_Scenario="Base",AE136,IF(Case_Scenario="bear",AE137,"N/A")))</f>
        <v>0.05</v>
      </c>
      <c r="AF134" s="252">
        <f>IF(Case_Scenario="Bull",AF135,IF(Case_Scenario="Base",AF136,IF(Case_Scenario="bear",AF137,"N/A")))</f>
        <v>0.05</v>
      </c>
      <c r="AG134" s="252">
        <f>IF(Case_Scenario="Bull",AG135,IF(Case_Scenario="Base",AG136,IF(Case_Scenario="bear",AG137,"N/A")))</f>
        <v>0.05</v>
      </c>
      <c r="AH134" s="12"/>
      <c r="AI134" s="12"/>
      <c r="AJ134" s="12"/>
    </row>
    <row r="135" spans="1:36" ht="12.75" hidden="1" customHeight="1" outlineLevel="1" collapsed="1">
      <c r="A135" s="12"/>
      <c r="B135" s="12"/>
      <c r="C135" s="108" t="s">
        <v>251</v>
      </c>
      <c r="D135" s="12"/>
      <c r="E135" s="137"/>
      <c r="F135" s="265"/>
      <c r="G135" s="265"/>
      <c r="H135" s="265"/>
      <c r="I135" s="265"/>
      <c r="J135" s="137"/>
      <c r="K135" s="265"/>
      <c r="L135" s="265"/>
      <c r="M135" s="265"/>
      <c r="N135" s="265"/>
      <c r="O135" s="137"/>
      <c r="P135" s="265"/>
      <c r="Q135" s="265"/>
      <c r="R135" s="265"/>
      <c r="S135" s="265"/>
      <c r="T135" s="137"/>
      <c r="U135" s="265"/>
      <c r="V135" s="265"/>
      <c r="W135" s="265"/>
      <c r="X135" s="266">
        <v>0.1</v>
      </c>
      <c r="Y135" s="267"/>
      <c r="Z135" s="266">
        <v>0.1</v>
      </c>
      <c r="AA135" s="266">
        <v>0.1</v>
      </c>
      <c r="AB135" s="266">
        <v>0.1</v>
      </c>
      <c r="AC135" s="266">
        <v>0.1</v>
      </c>
      <c r="AD135" s="267"/>
      <c r="AE135" s="267">
        <v>0.1</v>
      </c>
      <c r="AF135" s="267">
        <v>0.1</v>
      </c>
      <c r="AG135" s="267">
        <v>0.1</v>
      </c>
      <c r="AH135" s="12"/>
      <c r="AI135" s="12"/>
      <c r="AJ135" s="12"/>
    </row>
    <row r="136" spans="1:36" ht="12.75" hidden="1" customHeight="1" outlineLevel="1" collapsed="1">
      <c r="A136" s="12"/>
      <c r="B136" s="12"/>
      <c r="C136" s="108" t="s">
        <v>252</v>
      </c>
      <c r="D136" s="12"/>
      <c r="E136" s="137"/>
      <c r="F136" s="265"/>
      <c r="G136" s="265"/>
      <c r="H136" s="265"/>
      <c r="I136" s="265"/>
      <c r="J136" s="137"/>
      <c r="K136" s="265"/>
      <c r="L136" s="265"/>
      <c r="M136" s="265"/>
      <c r="N136" s="265"/>
      <c r="O136" s="137"/>
      <c r="P136" s="265"/>
      <c r="Q136" s="265"/>
      <c r="R136" s="265"/>
      <c r="S136" s="265"/>
      <c r="T136" s="137"/>
      <c r="U136" s="265"/>
      <c r="V136" s="265"/>
      <c r="W136" s="265"/>
      <c r="X136" s="266">
        <v>0.05</v>
      </c>
      <c r="Y136" s="267"/>
      <c r="Z136" s="266">
        <v>0.05</v>
      </c>
      <c r="AA136" s="266">
        <v>0.05</v>
      </c>
      <c r="AB136" s="266">
        <v>0.05</v>
      </c>
      <c r="AC136" s="266">
        <v>0.05</v>
      </c>
      <c r="AD136" s="267"/>
      <c r="AE136" s="267">
        <v>0.05</v>
      </c>
      <c r="AF136" s="267">
        <v>0.05</v>
      </c>
      <c r="AG136" s="267">
        <v>0.05</v>
      </c>
      <c r="AH136" s="12"/>
      <c r="AI136" s="12"/>
      <c r="AJ136" s="12"/>
    </row>
    <row r="137" spans="1:36" ht="12.75" hidden="1" customHeight="1" outlineLevel="1" collapsed="1">
      <c r="A137" s="12"/>
      <c r="B137" s="12"/>
      <c r="C137" s="108" t="s">
        <v>253</v>
      </c>
      <c r="D137" s="12"/>
      <c r="E137" s="137"/>
      <c r="F137" s="265"/>
      <c r="G137" s="265"/>
      <c r="H137" s="265"/>
      <c r="I137" s="265"/>
      <c r="J137" s="137"/>
      <c r="K137" s="265"/>
      <c r="L137" s="265"/>
      <c r="M137" s="265"/>
      <c r="N137" s="265"/>
      <c r="O137" s="137"/>
      <c r="P137" s="265"/>
      <c r="Q137" s="265"/>
      <c r="R137" s="265"/>
      <c r="S137" s="265"/>
      <c r="T137" s="137"/>
      <c r="U137" s="265"/>
      <c r="V137" s="265"/>
      <c r="W137" s="265"/>
      <c r="X137" s="266">
        <v>0</v>
      </c>
      <c r="Y137" s="267"/>
      <c r="Z137" s="266">
        <v>0</v>
      </c>
      <c r="AA137" s="266">
        <v>0</v>
      </c>
      <c r="AB137" s="266">
        <v>0</v>
      </c>
      <c r="AC137" s="266">
        <v>0</v>
      </c>
      <c r="AD137" s="267"/>
      <c r="AE137" s="267">
        <v>0</v>
      </c>
      <c r="AF137" s="267">
        <v>0</v>
      </c>
      <c r="AG137" s="267">
        <v>0</v>
      </c>
      <c r="AH137" s="12"/>
      <c r="AI137" s="12"/>
      <c r="AJ137" s="12"/>
    </row>
    <row r="138" spans="1:36" ht="12.75" hidden="1" customHeight="1" outlineLevel="1" collapsed="1">
      <c r="A138" s="12"/>
      <c r="B138" s="12"/>
      <c r="C138" s="12"/>
      <c r="D138" s="12"/>
      <c r="E138" s="137"/>
      <c r="F138" s="265"/>
      <c r="G138" s="265"/>
      <c r="H138" s="265"/>
      <c r="I138" s="265"/>
      <c r="J138" s="137"/>
      <c r="K138" s="265"/>
      <c r="L138" s="265"/>
      <c r="M138" s="265"/>
      <c r="N138" s="265"/>
      <c r="O138" s="137"/>
      <c r="P138" s="265"/>
      <c r="Q138" s="265"/>
      <c r="R138" s="265"/>
      <c r="S138" s="265"/>
      <c r="T138" s="137"/>
      <c r="U138" s="265"/>
      <c r="V138" s="265"/>
      <c r="W138" s="265"/>
      <c r="X138" s="268"/>
      <c r="Y138" s="137"/>
      <c r="Z138" s="268"/>
      <c r="AA138" s="268"/>
      <c r="AB138" s="268"/>
      <c r="AC138" s="268"/>
      <c r="AD138" s="137"/>
      <c r="AE138" s="137"/>
      <c r="AF138" s="137"/>
      <c r="AG138" s="137"/>
      <c r="AH138" s="12"/>
      <c r="AI138" s="12"/>
      <c r="AJ138" s="12"/>
    </row>
    <row r="139" spans="1:36" ht="12.75" hidden="1" customHeight="1" outlineLevel="1" collapsed="1">
      <c r="A139" s="211" t="s">
        <v>1</v>
      </c>
      <c r="B139" s="12"/>
      <c r="C139" s="108" t="str">
        <f>C44</f>
        <v>Segment 5 Revenue</v>
      </c>
      <c r="D139" s="12"/>
      <c r="E139" s="137"/>
      <c r="F139" s="263">
        <f t="shared" ref="F139:W139" si="129">F44</f>
        <v>0</v>
      </c>
      <c r="G139" s="263">
        <f t="shared" si="129"/>
        <v>0</v>
      </c>
      <c r="H139" s="263">
        <f t="shared" si="129"/>
        <v>0</v>
      </c>
      <c r="I139" s="263">
        <f t="shared" si="129"/>
        <v>0</v>
      </c>
      <c r="J139" s="233">
        <f t="shared" si="129"/>
        <v>0</v>
      </c>
      <c r="K139" s="263">
        <f t="shared" si="129"/>
        <v>0</v>
      </c>
      <c r="L139" s="263">
        <f t="shared" si="129"/>
        <v>0</v>
      </c>
      <c r="M139" s="263">
        <f t="shared" si="129"/>
        <v>0</v>
      </c>
      <c r="N139" s="263">
        <f t="shared" si="129"/>
        <v>0</v>
      </c>
      <c r="O139" s="233">
        <f t="shared" si="129"/>
        <v>0</v>
      </c>
      <c r="P139" s="263">
        <f t="shared" si="129"/>
        <v>0</v>
      </c>
      <c r="Q139" s="263">
        <f t="shared" si="129"/>
        <v>0</v>
      </c>
      <c r="R139" s="263">
        <f t="shared" si="129"/>
        <v>0</v>
      </c>
      <c r="S139" s="263">
        <f t="shared" si="129"/>
        <v>0</v>
      </c>
      <c r="T139" s="233">
        <f t="shared" si="129"/>
        <v>0</v>
      </c>
      <c r="U139" s="263">
        <f t="shared" si="129"/>
        <v>0</v>
      </c>
      <c r="V139" s="263">
        <f t="shared" si="129"/>
        <v>0</v>
      </c>
      <c r="W139" s="263">
        <f t="shared" si="129"/>
        <v>0</v>
      </c>
      <c r="X139" s="232">
        <f>X140*X145</f>
        <v>0</v>
      </c>
      <c r="Y139" s="233">
        <f t="shared" ref="Y139:Y140" si="130">SUM(U139:X139)</f>
        <v>0</v>
      </c>
      <c r="Z139" s="232">
        <f t="shared" ref="Z139:AC139" si="131">Z140*Z145</f>
        <v>0</v>
      </c>
      <c r="AA139" s="232">
        <f t="shared" si="131"/>
        <v>0</v>
      </c>
      <c r="AB139" s="232">
        <f t="shared" si="131"/>
        <v>0</v>
      </c>
      <c r="AC139" s="232">
        <f t="shared" si="131"/>
        <v>0</v>
      </c>
      <c r="AD139" s="233">
        <f t="shared" ref="AD139:AD140" si="132">SUM(Z139:AC139)</f>
        <v>0</v>
      </c>
      <c r="AE139" s="233">
        <f t="shared" ref="AE139:AG139" si="133">AE140*AE145</f>
        <v>0</v>
      </c>
      <c r="AF139" s="233">
        <f t="shared" si="133"/>
        <v>0</v>
      </c>
      <c r="AG139" s="233">
        <f t="shared" si="133"/>
        <v>0</v>
      </c>
      <c r="AH139" s="12"/>
      <c r="AI139" s="12"/>
      <c r="AJ139" s="12"/>
    </row>
    <row r="140" spans="1:36" ht="12.75" hidden="1" customHeight="1" outlineLevel="1" collapsed="1">
      <c r="A140" s="12"/>
      <c r="B140" s="12"/>
      <c r="C140" s="108" t="s">
        <v>255</v>
      </c>
      <c r="D140" s="12"/>
      <c r="E140" s="137"/>
      <c r="F140" s="271">
        <v>220</v>
      </c>
      <c r="G140" s="271">
        <v>220</v>
      </c>
      <c r="H140" s="271">
        <v>220</v>
      </c>
      <c r="I140" s="271">
        <v>220</v>
      </c>
      <c r="J140" s="272">
        <f>SUM(F140:I140)</f>
        <v>880</v>
      </c>
      <c r="K140" s="271">
        <v>220</v>
      </c>
      <c r="L140" s="271">
        <v>220</v>
      </c>
      <c r="M140" s="271">
        <v>220</v>
      </c>
      <c r="N140" s="271">
        <v>220</v>
      </c>
      <c r="O140" s="272">
        <f>SUM(K140:N140)</f>
        <v>880</v>
      </c>
      <c r="P140" s="271">
        <v>220</v>
      </c>
      <c r="Q140" s="271">
        <v>220</v>
      </c>
      <c r="R140" s="271">
        <v>220</v>
      </c>
      <c r="S140" s="271">
        <v>220</v>
      </c>
      <c r="T140" s="272">
        <f>SUM(P140:S140)</f>
        <v>880</v>
      </c>
      <c r="U140" s="271">
        <v>220</v>
      </c>
      <c r="V140" s="271">
        <v>220</v>
      </c>
      <c r="W140" s="271">
        <v>220</v>
      </c>
      <c r="X140" s="273">
        <f>W140*(1+X141)</f>
        <v>231</v>
      </c>
      <c r="Y140" s="272">
        <f t="shared" si="130"/>
        <v>891</v>
      </c>
      <c r="Z140" s="273">
        <f>X140*(1+Z141)</f>
        <v>242.55</v>
      </c>
      <c r="AA140" s="273">
        <f t="shared" ref="AA140:AC140" si="134">Z140*(1+AA141)</f>
        <v>254.67750000000001</v>
      </c>
      <c r="AB140" s="273">
        <f t="shared" si="134"/>
        <v>267.41137500000002</v>
      </c>
      <c r="AC140" s="273">
        <f t="shared" si="134"/>
        <v>280.78194375000004</v>
      </c>
      <c r="AD140" s="272">
        <f t="shared" si="132"/>
        <v>1045.4208187500001</v>
      </c>
      <c r="AE140" s="272">
        <f t="shared" ref="AE140:AG140" si="135">AD140*(1+AE141)</f>
        <v>1097.6918596875</v>
      </c>
      <c r="AF140" s="272">
        <f t="shared" si="135"/>
        <v>1152.5764526718751</v>
      </c>
      <c r="AG140" s="272">
        <f t="shared" si="135"/>
        <v>1210.2052753054688</v>
      </c>
      <c r="AH140" s="12"/>
      <c r="AI140" s="12"/>
      <c r="AJ140" s="12"/>
    </row>
    <row r="141" spans="1:36" ht="12.75" hidden="1" customHeight="1" outlineLevel="1" collapsed="1">
      <c r="A141" s="12"/>
      <c r="B141" s="12"/>
      <c r="C141" s="89" t="s">
        <v>256</v>
      </c>
      <c r="D141" s="12"/>
      <c r="E141" s="137"/>
      <c r="F141" s="265"/>
      <c r="G141" s="264">
        <f t="shared" ref="G141:I141" si="136">IFERROR(G140/F140-1,"--")</f>
        <v>0</v>
      </c>
      <c r="H141" s="264">
        <f t="shared" si="136"/>
        <v>0</v>
      </c>
      <c r="I141" s="264">
        <f t="shared" si="136"/>
        <v>0</v>
      </c>
      <c r="J141" s="137"/>
      <c r="K141" s="264">
        <f>IFERROR(K140/I140-1,"--")</f>
        <v>0</v>
      </c>
      <c r="L141" s="264">
        <f t="shared" ref="L141:N141" si="137">IFERROR(L140/K140-1,"--")</f>
        <v>0</v>
      </c>
      <c r="M141" s="264">
        <f t="shared" si="137"/>
        <v>0</v>
      </c>
      <c r="N141" s="264">
        <f t="shared" si="137"/>
        <v>0</v>
      </c>
      <c r="O141" s="252">
        <f>IFERROR(O140/J140-1,"--")</f>
        <v>0</v>
      </c>
      <c r="P141" s="264">
        <f>IFERROR(P140/N140-1,"--")</f>
        <v>0</v>
      </c>
      <c r="Q141" s="264">
        <f t="shared" ref="Q141:S141" si="138">IFERROR(Q140/P140-1,"--")</f>
        <v>0</v>
      </c>
      <c r="R141" s="264">
        <f t="shared" si="138"/>
        <v>0</v>
      </c>
      <c r="S141" s="264">
        <f t="shared" si="138"/>
        <v>0</v>
      </c>
      <c r="T141" s="252">
        <f>IFERROR(T140/O140-1,"--")</f>
        <v>0</v>
      </c>
      <c r="U141" s="264">
        <f>IFERROR(U140/S140-1,"--")</f>
        <v>0</v>
      </c>
      <c r="V141" s="264">
        <f t="shared" ref="V141:W141" si="139">IFERROR(V140/U140-1,"--")</f>
        <v>0</v>
      </c>
      <c r="W141" s="264">
        <f t="shared" si="139"/>
        <v>0</v>
      </c>
      <c r="X141" s="251">
        <f>IF(Case_Scenario="Bull",X142,IF(Case_Scenario="Base",X143,IF(Case_Scenario="bear",X144,"N/A")))</f>
        <v>0.05</v>
      </c>
      <c r="Y141" s="252"/>
      <c r="Z141" s="251">
        <f>IF(Case_Scenario="Bull",Z142,IF(Case_Scenario="Base",Z143,IF(Case_Scenario="bear",Z144,"N/A")))</f>
        <v>0.05</v>
      </c>
      <c r="AA141" s="251">
        <f>IF(Case_Scenario="Bull",AA142,IF(Case_Scenario="Base",AA143,IF(Case_Scenario="bear",AA144,"N/A")))</f>
        <v>0.05</v>
      </c>
      <c r="AB141" s="251">
        <f>IF(Case_Scenario="Bull",AB142,IF(Case_Scenario="Base",AB143,IF(Case_Scenario="bear",AB144,"N/A")))</f>
        <v>0.05</v>
      </c>
      <c r="AC141" s="251">
        <f>IF(Case_Scenario="Bull",AC142,IF(Case_Scenario="Base",AC143,IF(Case_Scenario="bear",AC144,"N/A")))</f>
        <v>0.05</v>
      </c>
      <c r="AD141" s="252"/>
      <c r="AE141" s="252">
        <f>IF(Case_Scenario="Bull",AE142,IF(Case_Scenario="Base",AE143,IF(Case_Scenario="bear",AE144,"N/A")))</f>
        <v>0.05</v>
      </c>
      <c r="AF141" s="252">
        <f>IF(Case_Scenario="Bull",AF142,IF(Case_Scenario="Base",AF143,IF(Case_Scenario="bear",AF144,"N/A")))</f>
        <v>0.05</v>
      </c>
      <c r="AG141" s="252">
        <f>IF(Case_Scenario="Bull",AG142,IF(Case_Scenario="Base",AG143,IF(Case_Scenario="bear",AG144,"N/A")))</f>
        <v>0.05</v>
      </c>
      <c r="AH141" s="12"/>
      <c r="AI141" s="12"/>
      <c r="AJ141" s="12"/>
    </row>
    <row r="142" spans="1:36" ht="12.75" hidden="1" customHeight="1" outlineLevel="1" collapsed="1">
      <c r="A142" s="12"/>
      <c r="B142" s="12"/>
      <c r="C142" s="108" t="s">
        <v>251</v>
      </c>
      <c r="D142" s="12"/>
      <c r="E142" s="137"/>
      <c r="F142" s="265"/>
      <c r="G142" s="265"/>
      <c r="H142" s="265"/>
      <c r="I142" s="265"/>
      <c r="J142" s="137"/>
      <c r="K142" s="265"/>
      <c r="L142" s="265"/>
      <c r="M142" s="265"/>
      <c r="N142" s="265"/>
      <c r="O142" s="137"/>
      <c r="P142" s="265"/>
      <c r="Q142" s="265"/>
      <c r="R142" s="265"/>
      <c r="S142" s="265"/>
      <c r="T142" s="137"/>
      <c r="U142" s="265"/>
      <c r="V142" s="265"/>
      <c r="W142" s="265"/>
      <c r="X142" s="266">
        <v>0.1</v>
      </c>
      <c r="Y142" s="267"/>
      <c r="Z142" s="266">
        <v>0.1</v>
      </c>
      <c r="AA142" s="266">
        <v>0.1</v>
      </c>
      <c r="AB142" s="266">
        <v>0.1</v>
      </c>
      <c r="AC142" s="266">
        <v>0.1</v>
      </c>
      <c r="AD142" s="267"/>
      <c r="AE142" s="267">
        <v>0.1</v>
      </c>
      <c r="AF142" s="267">
        <v>0.1</v>
      </c>
      <c r="AG142" s="267">
        <v>0.1</v>
      </c>
      <c r="AH142" s="12"/>
      <c r="AI142" s="12"/>
      <c r="AJ142" s="12"/>
    </row>
    <row r="143" spans="1:36" ht="12.75" hidden="1" customHeight="1" outlineLevel="1" collapsed="1">
      <c r="A143" s="12"/>
      <c r="B143" s="12"/>
      <c r="C143" s="108" t="s">
        <v>252</v>
      </c>
      <c r="D143" s="12"/>
      <c r="E143" s="137"/>
      <c r="F143" s="265"/>
      <c r="G143" s="265"/>
      <c r="H143" s="265"/>
      <c r="I143" s="265"/>
      <c r="J143" s="137"/>
      <c r="K143" s="265"/>
      <c r="L143" s="265"/>
      <c r="M143" s="265"/>
      <c r="N143" s="265"/>
      <c r="O143" s="137"/>
      <c r="P143" s="265"/>
      <c r="Q143" s="265"/>
      <c r="R143" s="265"/>
      <c r="S143" s="265"/>
      <c r="T143" s="137"/>
      <c r="U143" s="265"/>
      <c r="V143" s="265"/>
      <c r="W143" s="265"/>
      <c r="X143" s="266">
        <v>0.05</v>
      </c>
      <c r="Y143" s="267"/>
      <c r="Z143" s="266">
        <v>0.05</v>
      </c>
      <c r="AA143" s="266">
        <v>0.05</v>
      </c>
      <c r="AB143" s="266">
        <v>0.05</v>
      </c>
      <c r="AC143" s="266">
        <v>0.05</v>
      </c>
      <c r="AD143" s="267"/>
      <c r="AE143" s="267">
        <v>0.05</v>
      </c>
      <c r="AF143" s="267">
        <v>0.05</v>
      </c>
      <c r="AG143" s="267">
        <v>0.05</v>
      </c>
      <c r="AH143" s="12"/>
      <c r="AI143" s="12"/>
      <c r="AJ143" s="12"/>
    </row>
    <row r="144" spans="1:36" ht="12.75" hidden="1" customHeight="1" outlineLevel="1" collapsed="1">
      <c r="A144" s="12"/>
      <c r="B144" s="12"/>
      <c r="C144" s="108" t="s">
        <v>253</v>
      </c>
      <c r="D144" s="12"/>
      <c r="E144" s="137"/>
      <c r="F144" s="265"/>
      <c r="G144" s="265"/>
      <c r="H144" s="265"/>
      <c r="I144" s="265"/>
      <c r="J144" s="137"/>
      <c r="K144" s="265"/>
      <c r="L144" s="265"/>
      <c r="M144" s="265"/>
      <c r="N144" s="265"/>
      <c r="O144" s="137"/>
      <c r="P144" s="265"/>
      <c r="Q144" s="265"/>
      <c r="R144" s="265"/>
      <c r="S144" s="265"/>
      <c r="T144" s="137"/>
      <c r="U144" s="265"/>
      <c r="V144" s="265"/>
      <c r="W144" s="265"/>
      <c r="X144" s="266">
        <v>0</v>
      </c>
      <c r="Y144" s="267"/>
      <c r="Z144" s="266">
        <v>0</v>
      </c>
      <c r="AA144" s="266">
        <v>0</v>
      </c>
      <c r="AB144" s="266">
        <v>0</v>
      </c>
      <c r="AC144" s="266">
        <v>0</v>
      </c>
      <c r="AD144" s="267"/>
      <c r="AE144" s="267">
        <v>0</v>
      </c>
      <c r="AF144" s="267">
        <v>0</v>
      </c>
      <c r="AG144" s="267">
        <v>0</v>
      </c>
      <c r="AH144" s="12"/>
      <c r="AI144" s="12"/>
      <c r="AJ144" s="12"/>
    </row>
    <row r="145" spans="1:36" ht="12.75" hidden="1" customHeight="1" outlineLevel="1" collapsed="1">
      <c r="A145" s="12"/>
      <c r="B145" s="12"/>
      <c r="C145" s="108" t="s">
        <v>166</v>
      </c>
      <c r="D145" s="12"/>
      <c r="E145" s="137"/>
      <c r="F145" s="263">
        <f t="shared" ref="F145:W145" si="140">IFERROR(F139/F140,"--")</f>
        <v>0</v>
      </c>
      <c r="G145" s="263">
        <f t="shared" si="140"/>
        <v>0</v>
      </c>
      <c r="H145" s="263">
        <f t="shared" si="140"/>
        <v>0</v>
      </c>
      <c r="I145" s="263">
        <f t="shared" si="140"/>
        <v>0</v>
      </c>
      <c r="J145" s="233">
        <f t="shared" si="140"/>
        <v>0</v>
      </c>
      <c r="K145" s="263">
        <f t="shared" si="140"/>
        <v>0</v>
      </c>
      <c r="L145" s="263">
        <f t="shared" si="140"/>
        <v>0</v>
      </c>
      <c r="M145" s="263">
        <f t="shared" si="140"/>
        <v>0</v>
      </c>
      <c r="N145" s="263">
        <f t="shared" si="140"/>
        <v>0</v>
      </c>
      <c r="O145" s="233">
        <f t="shared" si="140"/>
        <v>0</v>
      </c>
      <c r="P145" s="263">
        <f t="shared" si="140"/>
        <v>0</v>
      </c>
      <c r="Q145" s="263">
        <f t="shared" si="140"/>
        <v>0</v>
      </c>
      <c r="R145" s="263">
        <f t="shared" si="140"/>
        <v>0</v>
      </c>
      <c r="S145" s="263">
        <f t="shared" si="140"/>
        <v>0</v>
      </c>
      <c r="T145" s="233">
        <f t="shared" si="140"/>
        <v>0</v>
      </c>
      <c r="U145" s="263">
        <f t="shared" si="140"/>
        <v>0</v>
      </c>
      <c r="V145" s="263">
        <f t="shared" si="140"/>
        <v>0</v>
      </c>
      <c r="W145" s="263">
        <f t="shared" si="140"/>
        <v>0</v>
      </c>
      <c r="X145" s="232">
        <f>W145*(1+X146)</f>
        <v>0</v>
      </c>
      <c r="Y145" s="233">
        <f>Y139/Y140</f>
        <v>0</v>
      </c>
      <c r="Z145" s="232">
        <f>X145*(1+Z146)</f>
        <v>0</v>
      </c>
      <c r="AA145" s="232">
        <f t="shared" ref="AA145:AC145" si="141">Z145*(1+AA146)</f>
        <v>0</v>
      </c>
      <c r="AB145" s="232">
        <f t="shared" si="141"/>
        <v>0</v>
      </c>
      <c r="AC145" s="232">
        <f t="shared" si="141"/>
        <v>0</v>
      </c>
      <c r="AD145" s="233">
        <f>AD139/AD140</f>
        <v>0</v>
      </c>
      <c r="AE145" s="233">
        <f t="shared" ref="AE145:AG145" si="142">AD145*(1+AE146)</f>
        <v>0</v>
      </c>
      <c r="AF145" s="233">
        <f t="shared" si="142"/>
        <v>0</v>
      </c>
      <c r="AG145" s="233">
        <f t="shared" si="142"/>
        <v>0</v>
      </c>
      <c r="AH145" s="12"/>
      <c r="AI145" s="12"/>
      <c r="AJ145" s="12"/>
    </row>
    <row r="146" spans="1:36" ht="12.75" hidden="1" customHeight="1" outlineLevel="1" collapsed="1">
      <c r="A146" s="12"/>
      <c r="B146" s="12"/>
      <c r="C146" s="89" t="s">
        <v>257</v>
      </c>
      <c r="D146" s="12"/>
      <c r="E146" s="137"/>
      <c r="F146" s="265"/>
      <c r="G146" s="264" t="str">
        <f t="shared" ref="G146:I146" si="143">IFERROR(G145/F145-1,"--")</f>
        <v>--</v>
      </c>
      <c r="H146" s="264" t="str">
        <f t="shared" si="143"/>
        <v>--</v>
      </c>
      <c r="I146" s="264" t="str">
        <f t="shared" si="143"/>
        <v>--</v>
      </c>
      <c r="J146" s="137"/>
      <c r="K146" s="264" t="str">
        <f>IFERROR(K145/I145-1,"--")</f>
        <v>--</v>
      </c>
      <c r="L146" s="264" t="str">
        <f t="shared" ref="L146:N146" si="144">IFERROR(L145/K145-1,"--")</f>
        <v>--</v>
      </c>
      <c r="M146" s="264" t="str">
        <f t="shared" si="144"/>
        <v>--</v>
      </c>
      <c r="N146" s="264" t="str">
        <f t="shared" si="144"/>
        <v>--</v>
      </c>
      <c r="O146" s="252" t="str">
        <f>IFERROR(O145/J145-1,"--")</f>
        <v>--</v>
      </c>
      <c r="P146" s="264" t="str">
        <f>IFERROR(P145/N145-1,"--")</f>
        <v>--</v>
      </c>
      <c r="Q146" s="264" t="str">
        <f t="shared" ref="Q146:S146" si="145">IFERROR(Q145/P145-1,"--")</f>
        <v>--</v>
      </c>
      <c r="R146" s="264" t="str">
        <f t="shared" si="145"/>
        <v>--</v>
      </c>
      <c r="S146" s="264" t="str">
        <f t="shared" si="145"/>
        <v>--</v>
      </c>
      <c r="T146" s="252" t="str">
        <f>IFERROR(T145/O145-1,"--")</f>
        <v>--</v>
      </c>
      <c r="U146" s="264" t="str">
        <f>IFERROR(U145/S145-1,"--")</f>
        <v>--</v>
      </c>
      <c r="V146" s="264" t="str">
        <f t="shared" ref="V146:W146" si="146">IFERROR(V145/U145-1,"--")</f>
        <v>--</v>
      </c>
      <c r="W146" s="264" t="str">
        <f t="shared" si="146"/>
        <v>--</v>
      </c>
      <c r="X146" s="251">
        <f>IF(Case_Scenario="Bull",X147,IF(Case_Scenario="Base",X148,IF(Case_Scenario="bear",X149,"N/A")))</f>
        <v>0.05</v>
      </c>
      <c r="Y146" s="252"/>
      <c r="Z146" s="251">
        <f>IF(Case_Scenario="Bull",Z147,IF(Case_Scenario="Base",Z148,IF(Case_Scenario="bear",Z149,"N/A")))</f>
        <v>0.05</v>
      </c>
      <c r="AA146" s="251">
        <f>IF(Case_Scenario="Bull",AA147,IF(Case_Scenario="Base",AA148,IF(Case_Scenario="bear",AA149,"N/A")))</f>
        <v>0.05</v>
      </c>
      <c r="AB146" s="251">
        <f>IF(Case_Scenario="Bull",AB147,IF(Case_Scenario="Base",AB148,IF(Case_Scenario="bear",AB149,"N/A")))</f>
        <v>0.05</v>
      </c>
      <c r="AC146" s="251">
        <f>IF(Case_Scenario="Bull",AC147,IF(Case_Scenario="Base",AC148,IF(Case_Scenario="bear",AC149,"N/A")))</f>
        <v>0.05</v>
      </c>
      <c r="AD146" s="252"/>
      <c r="AE146" s="252">
        <f>IF(Case_Scenario="Bull",AE147,IF(Case_Scenario="Base",AE148,IF(Case_Scenario="bear",AE149,"N/A")))</f>
        <v>0.05</v>
      </c>
      <c r="AF146" s="252">
        <f>IF(Case_Scenario="Bull",AF147,IF(Case_Scenario="Base",AF148,IF(Case_Scenario="bear",AF149,"N/A")))</f>
        <v>0.05</v>
      </c>
      <c r="AG146" s="252">
        <f>IF(Case_Scenario="Bull",AG147,IF(Case_Scenario="Base",AG148,IF(Case_Scenario="bear",AG149,"N/A")))</f>
        <v>0.05</v>
      </c>
      <c r="AH146" s="12"/>
      <c r="AI146" s="12"/>
      <c r="AJ146" s="12"/>
    </row>
    <row r="147" spans="1:36" ht="12.75" hidden="1" customHeight="1" outlineLevel="1" collapsed="1">
      <c r="A147" s="12"/>
      <c r="B147" s="12"/>
      <c r="C147" s="108" t="s">
        <v>251</v>
      </c>
      <c r="D147" s="12"/>
      <c r="E147" s="137"/>
      <c r="F147" s="265"/>
      <c r="G147" s="265"/>
      <c r="H147" s="265"/>
      <c r="I147" s="265"/>
      <c r="J147" s="137"/>
      <c r="K147" s="265"/>
      <c r="L147" s="265"/>
      <c r="M147" s="265"/>
      <c r="N147" s="265"/>
      <c r="O147" s="137"/>
      <c r="P147" s="265"/>
      <c r="Q147" s="265"/>
      <c r="R147" s="265"/>
      <c r="S147" s="265"/>
      <c r="T147" s="137"/>
      <c r="U147" s="265"/>
      <c r="V147" s="265"/>
      <c r="W147" s="265"/>
      <c r="X147" s="266">
        <v>0.1</v>
      </c>
      <c r="Y147" s="267"/>
      <c r="Z147" s="266">
        <v>0.1</v>
      </c>
      <c r="AA147" s="266">
        <v>0.1</v>
      </c>
      <c r="AB147" s="266">
        <v>0.1</v>
      </c>
      <c r="AC147" s="266">
        <v>0.1</v>
      </c>
      <c r="AD147" s="267"/>
      <c r="AE147" s="267">
        <v>0.1</v>
      </c>
      <c r="AF147" s="267">
        <v>0.1</v>
      </c>
      <c r="AG147" s="267">
        <v>0.1</v>
      </c>
      <c r="AH147" s="12"/>
      <c r="AI147" s="12"/>
      <c r="AJ147" s="12"/>
    </row>
    <row r="148" spans="1:36" ht="12.75" hidden="1" customHeight="1" outlineLevel="1" collapsed="1">
      <c r="A148" s="12"/>
      <c r="B148" s="12"/>
      <c r="C148" s="108" t="s">
        <v>252</v>
      </c>
      <c r="D148" s="12"/>
      <c r="E148" s="137"/>
      <c r="F148" s="265"/>
      <c r="G148" s="265"/>
      <c r="H148" s="265"/>
      <c r="I148" s="265"/>
      <c r="J148" s="137"/>
      <c r="K148" s="265"/>
      <c r="L148" s="265"/>
      <c r="M148" s="265"/>
      <c r="N148" s="265"/>
      <c r="O148" s="137"/>
      <c r="P148" s="265"/>
      <c r="Q148" s="265"/>
      <c r="R148" s="265"/>
      <c r="S148" s="265"/>
      <c r="T148" s="137"/>
      <c r="U148" s="265"/>
      <c r="V148" s="265"/>
      <c r="W148" s="265"/>
      <c r="X148" s="266">
        <v>0.05</v>
      </c>
      <c r="Y148" s="267"/>
      <c r="Z148" s="266">
        <v>0.05</v>
      </c>
      <c r="AA148" s="266">
        <v>0.05</v>
      </c>
      <c r="AB148" s="266">
        <v>0.05</v>
      </c>
      <c r="AC148" s="266">
        <v>0.05</v>
      </c>
      <c r="AD148" s="267"/>
      <c r="AE148" s="267">
        <v>0.05</v>
      </c>
      <c r="AF148" s="267">
        <v>0.05</v>
      </c>
      <c r="AG148" s="267">
        <v>0.05</v>
      </c>
      <c r="AH148" s="12"/>
      <c r="AI148" s="12"/>
      <c r="AJ148" s="12"/>
    </row>
    <row r="149" spans="1:36" ht="12.75" hidden="1" customHeight="1" outlineLevel="1" collapsed="1">
      <c r="A149" s="12"/>
      <c r="B149" s="12"/>
      <c r="C149" s="108" t="s">
        <v>253</v>
      </c>
      <c r="D149" s="12"/>
      <c r="E149" s="137"/>
      <c r="F149" s="265"/>
      <c r="G149" s="265"/>
      <c r="H149" s="265"/>
      <c r="I149" s="265"/>
      <c r="J149" s="137"/>
      <c r="K149" s="265"/>
      <c r="L149" s="265"/>
      <c r="M149" s="265"/>
      <c r="N149" s="265"/>
      <c r="O149" s="137"/>
      <c r="P149" s="265"/>
      <c r="Q149" s="265"/>
      <c r="R149" s="265"/>
      <c r="S149" s="265"/>
      <c r="T149" s="137"/>
      <c r="U149" s="265"/>
      <c r="V149" s="265"/>
      <c r="W149" s="265"/>
      <c r="X149" s="266">
        <v>0</v>
      </c>
      <c r="Y149" s="267"/>
      <c r="Z149" s="266">
        <v>0</v>
      </c>
      <c r="AA149" s="266">
        <v>0</v>
      </c>
      <c r="AB149" s="266">
        <v>0</v>
      </c>
      <c r="AC149" s="266">
        <v>0</v>
      </c>
      <c r="AD149" s="267"/>
      <c r="AE149" s="267">
        <v>0</v>
      </c>
      <c r="AF149" s="267">
        <v>0</v>
      </c>
      <c r="AG149" s="267">
        <v>0</v>
      </c>
      <c r="AH149" s="12"/>
      <c r="AI149" s="12"/>
      <c r="AJ149" s="12"/>
    </row>
    <row r="150" spans="1:36" ht="12.75" hidden="1" customHeight="1" outlineLevel="1" collapsed="1">
      <c r="A150" s="12"/>
      <c r="B150" s="12"/>
      <c r="C150" s="12"/>
      <c r="D150" s="12"/>
      <c r="E150" s="137"/>
      <c r="F150" s="265"/>
      <c r="G150" s="265"/>
      <c r="H150" s="265"/>
      <c r="I150" s="265"/>
      <c r="J150" s="137"/>
      <c r="K150" s="265"/>
      <c r="L150" s="265"/>
      <c r="M150" s="265"/>
      <c r="N150" s="265"/>
      <c r="O150" s="137"/>
      <c r="P150" s="265"/>
      <c r="Q150" s="265"/>
      <c r="R150" s="265"/>
      <c r="S150" s="265"/>
      <c r="T150" s="137"/>
      <c r="U150" s="265"/>
      <c r="V150" s="265"/>
      <c r="W150" s="265"/>
      <c r="X150" s="268"/>
      <c r="Y150" s="137"/>
      <c r="Z150" s="268"/>
      <c r="AA150" s="268"/>
      <c r="AB150" s="268"/>
      <c r="AC150" s="268"/>
      <c r="AD150" s="137"/>
      <c r="AE150" s="137"/>
      <c r="AF150" s="137"/>
      <c r="AG150" s="137"/>
      <c r="AH150" s="12"/>
      <c r="AI150" s="12"/>
      <c r="AJ150" s="12"/>
    </row>
    <row r="151" spans="1:36" ht="12.75" hidden="1" customHeight="1" outlineLevel="1" collapsed="1">
      <c r="A151" s="211" t="s">
        <v>1</v>
      </c>
      <c r="B151" s="12"/>
      <c r="C151" s="108" t="str">
        <f>C47</f>
        <v>Segment 6 Revenue</v>
      </c>
      <c r="D151" s="12"/>
      <c r="E151" s="137"/>
      <c r="F151" s="263">
        <f t="shared" ref="F151:W151" si="147">F47</f>
        <v>0</v>
      </c>
      <c r="G151" s="263">
        <f t="shared" si="147"/>
        <v>0</v>
      </c>
      <c r="H151" s="263">
        <f t="shared" si="147"/>
        <v>0</v>
      </c>
      <c r="I151" s="263">
        <f t="shared" si="147"/>
        <v>0</v>
      </c>
      <c r="J151" s="233">
        <f t="shared" si="147"/>
        <v>0</v>
      </c>
      <c r="K151" s="263">
        <f t="shared" si="147"/>
        <v>0</v>
      </c>
      <c r="L151" s="263">
        <f t="shared" si="147"/>
        <v>0</v>
      </c>
      <c r="M151" s="263">
        <f t="shared" si="147"/>
        <v>0</v>
      </c>
      <c r="N151" s="263">
        <f t="shared" si="147"/>
        <v>0</v>
      </c>
      <c r="O151" s="233">
        <f t="shared" si="147"/>
        <v>0</v>
      </c>
      <c r="P151" s="263">
        <f t="shared" si="147"/>
        <v>0</v>
      </c>
      <c r="Q151" s="263">
        <f t="shared" si="147"/>
        <v>0</v>
      </c>
      <c r="R151" s="263">
        <f t="shared" si="147"/>
        <v>0</v>
      </c>
      <c r="S151" s="263">
        <f t="shared" si="147"/>
        <v>0</v>
      </c>
      <c r="T151" s="233">
        <f t="shared" si="147"/>
        <v>0</v>
      </c>
      <c r="U151" s="263">
        <f t="shared" si="147"/>
        <v>0</v>
      </c>
      <c r="V151" s="263">
        <f t="shared" si="147"/>
        <v>0</v>
      </c>
      <c r="W151" s="263">
        <f t="shared" si="147"/>
        <v>0</v>
      </c>
      <c r="X151" s="232">
        <f>X152*X157</f>
        <v>0</v>
      </c>
      <c r="Y151" s="233">
        <f t="shared" ref="Y151:Y152" si="148">SUM(U151:X151)</f>
        <v>0</v>
      </c>
      <c r="Z151" s="232">
        <f t="shared" ref="Z151:AC151" si="149">Z152*Z157</f>
        <v>0</v>
      </c>
      <c r="AA151" s="232">
        <f t="shared" si="149"/>
        <v>0</v>
      </c>
      <c r="AB151" s="232">
        <f t="shared" si="149"/>
        <v>0</v>
      </c>
      <c r="AC151" s="232">
        <f t="shared" si="149"/>
        <v>0</v>
      </c>
      <c r="AD151" s="233">
        <f t="shared" ref="AD151:AD152" si="150">SUM(Z151:AC151)</f>
        <v>0</v>
      </c>
      <c r="AE151" s="233">
        <f t="shared" ref="AE151:AG151" si="151">AE152*AE157</f>
        <v>0</v>
      </c>
      <c r="AF151" s="233">
        <f t="shared" si="151"/>
        <v>0</v>
      </c>
      <c r="AG151" s="233">
        <f t="shared" si="151"/>
        <v>0</v>
      </c>
      <c r="AH151" s="12"/>
      <c r="AI151" s="12"/>
      <c r="AJ151" s="12"/>
    </row>
    <row r="152" spans="1:36" ht="12.75" hidden="1" customHeight="1" outlineLevel="1" collapsed="1">
      <c r="A152" s="12"/>
      <c r="B152" s="12"/>
      <c r="C152" s="108" t="s">
        <v>255</v>
      </c>
      <c r="D152" s="12"/>
      <c r="E152" s="137"/>
      <c r="F152" s="271">
        <v>0</v>
      </c>
      <c r="G152" s="271">
        <v>0</v>
      </c>
      <c r="H152" s="271">
        <v>0</v>
      </c>
      <c r="I152" s="271">
        <v>0</v>
      </c>
      <c r="J152" s="272">
        <v>0</v>
      </c>
      <c r="K152" s="271">
        <v>0</v>
      </c>
      <c r="L152" s="271">
        <v>0</v>
      </c>
      <c r="M152" s="271">
        <v>0</v>
      </c>
      <c r="N152" s="271">
        <v>0</v>
      </c>
      <c r="O152" s="272">
        <v>0</v>
      </c>
      <c r="P152" s="271">
        <v>0</v>
      </c>
      <c r="Q152" s="271">
        <v>0</v>
      </c>
      <c r="R152" s="271">
        <v>0</v>
      </c>
      <c r="S152" s="271">
        <v>0</v>
      </c>
      <c r="T152" s="272">
        <v>0</v>
      </c>
      <c r="U152" s="271">
        <v>0</v>
      </c>
      <c r="V152" s="271">
        <v>0</v>
      </c>
      <c r="W152" s="271">
        <v>0</v>
      </c>
      <c r="X152" s="273">
        <f>W152*(1+X153)</f>
        <v>0</v>
      </c>
      <c r="Y152" s="272">
        <f t="shared" si="148"/>
        <v>0</v>
      </c>
      <c r="Z152" s="273">
        <f>X152*(1+Z153)</f>
        <v>0</v>
      </c>
      <c r="AA152" s="273">
        <f t="shared" ref="AA152:AC152" si="152">Z152*(1+AA153)</f>
        <v>0</v>
      </c>
      <c r="AB152" s="273">
        <f t="shared" si="152"/>
        <v>0</v>
      </c>
      <c r="AC152" s="273">
        <f t="shared" si="152"/>
        <v>0</v>
      </c>
      <c r="AD152" s="272">
        <f t="shared" si="150"/>
        <v>0</v>
      </c>
      <c r="AE152" s="272">
        <f t="shared" ref="AE152:AG152" si="153">AD152*(1+AE153)</f>
        <v>0</v>
      </c>
      <c r="AF152" s="272">
        <f t="shared" si="153"/>
        <v>0</v>
      </c>
      <c r="AG152" s="272">
        <f t="shared" si="153"/>
        <v>0</v>
      </c>
      <c r="AH152" s="12"/>
      <c r="AI152" s="12"/>
      <c r="AJ152" s="12"/>
    </row>
    <row r="153" spans="1:36" ht="12.75" hidden="1" customHeight="1" outlineLevel="1" collapsed="1">
      <c r="A153" s="12"/>
      <c r="B153" s="12"/>
      <c r="C153" s="89" t="s">
        <v>256</v>
      </c>
      <c r="D153" s="12"/>
      <c r="E153" s="137"/>
      <c r="F153" s="265"/>
      <c r="G153" s="264" t="str">
        <f t="shared" ref="G153:I153" si="154">IFERROR(G152/F152-1,"--")</f>
        <v>--</v>
      </c>
      <c r="H153" s="264" t="str">
        <f t="shared" si="154"/>
        <v>--</v>
      </c>
      <c r="I153" s="264" t="str">
        <f t="shared" si="154"/>
        <v>--</v>
      </c>
      <c r="J153" s="137"/>
      <c r="K153" s="264" t="str">
        <f>IFERROR(K152/I152-1,"--")</f>
        <v>--</v>
      </c>
      <c r="L153" s="264" t="str">
        <f t="shared" ref="L153:N153" si="155">IFERROR(L152/K152-1,"--")</f>
        <v>--</v>
      </c>
      <c r="M153" s="264" t="str">
        <f t="shared" si="155"/>
        <v>--</v>
      </c>
      <c r="N153" s="264" t="str">
        <f t="shared" si="155"/>
        <v>--</v>
      </c>
      <c r="O153" s="252" t="str">
        <f>IFERROR(O152/J152-1,"--")</f>
        <v>--</v>
      </c>
      <c r="P153" s="264" t="str">
        <f>IFERROR(P152/N152-1,"--")</f>
        <v>--</v>
      </c>
      <c r="Q153" s="264" t="str">
        <f t="shared" ref="Q153:S153" si="156">IFERROR(Q152/P152-1,"--")</f>
        <v>--</v>
      </c>
      <c r="R153" s="264" t="str">
        <f t="shared" si="156"/>
        <v>--</v>
      </c>
      <c r="S153" s="264" t="str">
        <f t="shared" si="156"/>
        <v>--</v>
      </c>
      <c r="T153" s="252" t="str">
        <f>IFERROR(T152/O152-1,"--")</f>
        <v>--</v>
      </c>
      <c r="U153" s="264" t="str">
        <f>IFERROR(U152/S152-1,"--")</f>
        <v>--</v>
      </c>
      <c r="V153" s="264" t="str">
        <f t="shared" ref="V153:W153" si="157">IFERROR(V152/U152-1,"--")</f>
        <v>--</v>
      </c>
      <c r="W153" s="264" t="str">
        <f t="shared" si="157"/>
        <v>--</v>
      </c>
      <c r="X153" s="251">
        <f>IF(Case_Scenario="Bull",X154,IF(Case_Scenario="Base",X155,IF(Case_Scenario="bear",X156,"N/A")))</f>
        <v>0.05</v>
      </c>
      <c r="Y153" s="252"/>
      <c r="Z153" s="251">
        <f>IF(Case_Scenario="Bull",Z154,IF(Case_Scenario="Base",Z155,IF(Case_Scenario="bear",Z156,"N/A")))</f>
        <v>0.05</v>
      </c>
      <c r="AA153" s="251">
        <f>IF(Case_Scenario="Bull",AA154,IF(Case_Scenario="Base",AA155,IF(Case_Scenario="bear",AA156,"N/A")))</f>
        <v>0.05</v>
      </c>
      <c r="AB153" s="251">
        <f>IF(Case_Scenario="Bull",AB154,IF(Case_Scenario="Base",AB155,IF(Case_Scenario="bear",AB156,"N/A")))</f>
        <v>0.05</v>
      </c>
      <c r="AC153" s="251">
        <f>IF(Case_Scenario="Bull",AC154,IF(Case_Scenario="Base",AC155,IF(Case_Scenario="bear",AC156,"N/A")))</f>
        <v>0.05</v>
      </c>
      <c r="AD153" s="252"/>
      <c r="AE153" s="252">
        <f>IF(Case_Scenario="Bull",AE154,IF(Case_Scenario="Base",AE155,IF(Case_Scenario="bear",AE156,"N/A")))</f>
        <v>0.05</v>
      </c>
      <c r="AF153" s="252">
        <f>IF(Case_Scenario="Bull",AF154,IF(Case_Scenario="Base",AF155,IF(Case_Scenario="bear",AF156,"N/A")))</f>
        <v>0.05</v>
      </c>
      <c r="AG153" s="252">
        <f>IF(Case_Scenario="Bull",AG154,IF(Case_Scenario="Base",AG155,IF(Case_Scenario="bear",AG156,"N/A")))</f>
        <v>0.05</v>
      </c>
      <c r="AH153" s="12"/>
      <c r="AI153" s="12"/>
      <c r="AJ153" s="12"/>
    </row>
    <row r="154" spans="1:36" ht="12.75" hidden="1" customHeight="1" outlineLevel="1" collapsed="1">
      <c r="A154" s="12"/>
      <c r="B154" s="12"/>
      <c r="C154" s="108" t="s">
        <v>251</v>
      </c>
      <c r="D154" s="12"/>
      <c r="E154" s="137"/>
      <c r="F154" s="265"/>
      <c r="G154" s="265"/>
      <c r="H154" s="265"/>
      <c r="I154" s="265"/>
      <c r="J154" s="137"/>
      <c r="K154" s="265"/>
      <c r="L154" s="265"/>
      <c r="M154" s="265"/>
      <c r="N154" s="265"/>
      <c r="O154" s="137"/>
      <c r="P154" s="265"/>
      <c r="Q154" s="265"/>
      <c r="R154" s="265"/>
      <c r="S154" s="265"/>
      <c r="T154" s="137"/>
      <c r="U154" s="265"/>
      <c r="V154" s="265"/>
      <c r="W154" s="265"/>
      <c r="X154" s="266">
        <v>0.1</v>
      </c>
      <c r="Y154" s="267"/>
      <c r="Z154" s="266">
        <v>0.1</v>
      </c>
      <c r="AA154" s="266">
        <v>0.1</v>
      </c>
      <c r="AB154" s="266">
        <v>0.1</v>
      </c>
      <c r="AC154" s="266">
        <v>0.1</v>
      </c>
      <c r="AD154" s="267"/>
      <c r="AE154" s="267">
        <v>0.1</v>
      </c>
      <c r="AF154" s="267">
        <v>0.1</v>
      </c>
      <c r="AG154" s="267">
        <v>0.1</v>
      </c>
      <c r="AH154" s="12"/>
      <c r="AI154" s="12"/>
      <c r="AJ154" s="12"/>
    </row>
    <row r="155" spans="1:36" ht="12.75" hidden="1" customHeight="1" outlineLevel="1" collapsed="1">
      <c r="A155" s="12"/>
      <c r="B155" s="12"/>
      <c r="C155" s="108" t="s">
        <v>252</v>
      </c>
      <c r="D155" s="12"/>
      <c r="E155" s="137"/>
      <c r="F155" s="265"/>
      <c r="G155" s="265"/>
      <c r="H155" s="265"/>
      <c r="I155" s="265"/>
      <c r="J155" s="137"/>
      <c r="K155" s="265"/>
      <c r="L155" s="265"/>
      <c r="M155" s="265"/>
      <c r="N155" s="265"/>
      <c r="O155" s="137"/>
      <c r="P155" s="265"/>
      <c r="Q155" s="265"/>
      <c r="R155" s="265"/>
      <c r="S155" s="265"/>
      <c r="T155" s="137"/>
      <c r="U155" s="265"/>
      <c r="V155" s="265"/>
      <c r="W155" s="265"/>
      <c r="X155" s="266">
        <v>0.05</v>
      </c>
      <c r="Y155" s="267"/>
      <c r="Z155" s="266">
        <v>0.05</v>
      </c>
      <c r="AA155" s="266">
        <v>0.05</v>
      </c>
      <c r="AB155" s="266">
        <v>0.05</v>
      </c>
      <c r="AC155" s="266">
        <v>0.05</v>
      </c>
      <c r="AD155" s="267"/>
      <c r="AE155" s="267">
        <v>0.05</v>
      </c>
      <c r="AF155" s="267">
        <v>0.05</v>
      </c>
      <c r="AG155" s="267">
        <v>0.05</v>
      </c>
      <c r="AH155" s="12"/>
      <c r="AI155" s="12"/>
      <c r="AJ155" s="12"/>
    </row>
    <row r="156" spans="1:36" ht="12.75" hidden="1" customHeight="1" outlineLevel="1" collapsed="1">
      <c r="A156" s="12"/>
      <c r="B156" s="12"/>
      <c r="C156" s="108" t="s">
        <v>253</v>
      </c>
      <c r="D156" s="12"/>
      <c r="E156" s="137"/>
      <c r="F156" s="265"/>
      <c r="G156" s="265"/>
      <c r="H156" s="265"/>
      <c r="I156" s="265"/>
      <c r="J156" s="137"/>
      <c r="K156" s="265"/>
      <c r="L156" s="265"/>
      <c r="M156" s="265"/>
      <c r="N156" s="265"/>
      <c r="O156" s="137"/>
      <c r="P156" s="265"/>
      <c r="Q156" s="265"/>
      <c r="R156" s="265"/>
      <c r="S156" s="265"/>
      <c r="T156" s="137"/>
      <c r="U156" s="265"/>
      <c r="V156" s="265"/>
      <c r="W156" s="265"/>
      <c r="X156" s="266">
        <v>0</v>
      </c>
      <c r="Y156" s="267"/>
      <c r="Z156" s="266">
        <v>0</v>
      </c>
      <c r="AA156" s="266">
        <v>0</v>
      </c>
      <c r="AB156" s="266">
        <v>0</v>
      </c>
      <c r="AC156" s="266">
        <v>0</v>
      </c>
      <c r="AD156" s="267"/>
      <c r="AE156" s="267">
        <v>0</v>
      </c>
      <c r="AF156" s="267">
        <v>0</v>
      </c>
      <c r="AG156" s="267">
        <v>0</v>
      </c>
      <c r="AH156" s="12"/>
      <c r="AI156" s="12"/>
      <c r="AJ156" s="12"/>
    </row>
    <row r="157" spans="1:36" ht="12.75" hidden="1" customHeight="1" outlineLevel="1" collapsed="1">
      <c r="A157" s="12"/>
      <c r="B157" s="12"/>
      <c r="C157" s="108" t="s">
        <v>166</v>
      </c>
      <c r="D157" s="12"/>
      <c r="E157" s="137"/>
      <c r="F157" s="263">
        <v>0</v>
      </c>
      <c r="G157" s="263">
        <v>0</v>
      </c>
      <c r="H157" s="263">
        <v>0</v>
      </c>
      <c r="I157" s="263">
        <v>0</v>
      </c>
      <c r="J157" s="233">
        <v>0</v>
      </c>
      <c r="K157" s="263">
        <v>0</v>
      </c>
      <c r="L157" s="263">
        <v>0</v>
      </c>
      <c r="M157" s="263">
        <v>0</v>
      </c>
      <c r="N157" s="263">
        <v>0</v>
      </c>
      <c r="O157" s="233">
        <v>0</v>
      </c>
      <c r="P157" s="263">
        <v>0</v>
      </c>
      <c r="Q157" s="263">
        <v>0</v>
      </c>
      <c r="R157" s="263">
        <v>0</v>
      </c>
      <c r="S157" s="263">
        <v>0</v>
      </c>
      <c r="T157" s="233">
        <v>0</v>
      </c>
      <c r="U157" s="263">
        <v>0</v>
      </c>
      <c r="V157" s="263">
        <v>0</v>
      </c>
      <c r="W157" s="263">
        <v>0</v>
      </c>
      <c r="X157" s="232">
        <f>W157*(1+X158)</f>
        <v>0</v>
      </c>
      <c r="Y157" s="233">
        <v>0</v>
      </c>
      <c r="Z157" s="232">
        <f>X157*(1+Z158)</f>
        <v>0</v>
      </c>
      <c r="AA157" s="232">
        <f t="shared" ref="AA157:AC157" si="158">Z157*(1+AA158)</f>
        <v>0</v>
      </c>
      <c r="AB157" s="232">
        <f t="shared" si="158"/>
        <v>0</v>
      </c>
      <c r="AC157" s="232">
        <f t="shared" si="158"/>
        <v>0</v>
      </c>
      <c r="AD157" s="233">
        <v>0</v>
      </c>
      <c r="AE157" s="233">
        <f t="shared" ref="AE157:AG157" si="159">AD157*(1+AE158)</f>
        <v>0</v>
      </c>
      <c r="AF157" s="233">
        <f t="shared" si="159"/>
        <v>0</v>
      </c>
      <c r="AG157" s="233">
        <f t="shared" si="159"/>
        <v>0</v>
      </c>
      <c r="AH157" s="12"/>
      <c r="AI157" s="12"/>
      <c r="AJ157" s="12"/>
    </row>
    <row r="158" spans="1:36" ht="12.75" hidden="1" customHeight="1" outlineLevel="1" collapsed="1">
      <c r="A158" s="12"/>
      <c r="B158" s="12"/>
      <c r="C158" s="89" t="s">
        <v>257</v>
      </c>
      <c r="D158" s="12"/>
      <c r="E158" s="137"/>
      <c r="F158" s="265"/>
      <c r="G158" s="264" t="str">
        <f t="shared" ref="G158:I158" si="160">IFERROR(G157/F157-1,"--")</f>
        <v>--</v>
      </c>
      <c r="H158" s="264" t="str">
        <f t="shared" si="160"/>
        <v>--</v>
      </c>
      <c r="I158" s="264" t="str">
        <f t="shared" si="160"/>
        <v>--</v>
      </c>
      <c r="J158" s="137"/>
      <c r="K158" s="264" t="str">
        <f>IFERROR(K157/I157-1,"--")</f>
        <v>--</v>
      </c>
      <c r="L158" s="264" t="str">
        <f t="shared" ref="L158:N158" si="161">IFERROR(L157/K157-1,"--")</f>
        <v>--</v>
      </c>
      <c r="M158" s="264" t="str">
        <f t="shared" si="161"/>
        <v>--</v>
      </c>
      <c r="N158" s="264" t="str">
        <f t="shared" si="161"/>
        <v>--</v>
      </c>
      <c r="O158" s="252" t="str">
        <f>IFERROR(O157/J157-1,"--")</f>
        <v>--</v>
      </c>
      <c r="P158" s="264" t="str">
        <f>IFERROR(P157/N157-1,"--")</f>
        <v>--</v>
      </c>
      <c r="Q158" s="264" t="str">
        <f t="shared" ref="Q158:S158" si="162">IFERROR(Q157/P157-1,"--")</f>
        <v>--</v>
      </c>
      <c r="R158" s="264" t="str">
        <f t="shared" si="162"/>
        <v>--</v>
      </c>
      <c r="S158" s="264" t="str">
        <f t="shared" si="162"/>
        <v>--</v>
      </c>
      <c r="T158" s="252" t="str">
        <f>IFERROR(T157/O157-1,"--")</f>
        <v>--</v>
      </c>
      <c r="U158" s="264" t="str">
        <f>IFERROR(U157/S157-1,"--")</f>
        <v>--</v>
      </c>
      <c r="V158" s="264" t="str">
        <f t="shared" ref="V158:W158" si="163">IFERROR(V157/U157-1,"--")</f>
        <v>--</v>
      </c>
      <c r="W158" s="264" t="str">
        <f t="shared" si="163"/>
        <v>--</v>
      </c>
      <c r="X158" s="251">
        <f>IF(Case_Scenario="Bull",X159,IF(Case_Scenario="Base",X160,IF(Case_Scenario="bear",X161,"N/A")))</f>
        <v>0</v>
      </c>
      <c r="Y158" s="272"/>
      <c r="Z158" s="251">
        <f>IF(Case_Scenario="Bull",Z159,IF(Case_Scenario="Base",Z160,IF(Case_Scenario="bear",Z161,"N/A")))</f>
        <v>0</v>
      </c>
      <c r="AA158" s="251">
        <f>IF(Case_Scenario="Bull",AA159,IF(Case_Scenario="Base",AA160,IF(Case_Scenario="bear",AA161,"N/A")))</f>
        <v>0</v>
      </c>
      <c r="AB158" s="251">
        <f>IF(Case_Scenario="Bull",AB159,IF(Case_Scenario="Base",AB160,IF(Case_Scenario="bear",AB161,"N/A")))</f>
        <v>0</v>
      </c>
      <c r="AC158" s="251">
        <f>IF(Case_Scenario="Bull",AC159,IF(Case_Scenario="Base",AC160,IF(Case_Scenario="bear",AC161,"N/A")))</f>
        <v>0</v>
      </c>
      <c r="AD158" s="252"/>
      <c r="AE158" s="252">
        <f>IF(Case_Scenario="Bull",AE159,IF(Case_Scenario="Base",AE160,IF(Case_Scenario="bear",AE161,"N/A")))</f>
        <v>0</v>
      </c>
      <c r="AF158" s="252">
        <f>IF(Case_Scenario="Bull",AF159,IF(Case_Scenario="Base",AF160,IF(Case_Scenario="bear",AF161,"N/A")))</f>
        <v>0</v>
      </c>
      <c r="AG158" s="252">
        <f>IF(Case_Scenario="Bull",AG159,IF(Case_Scenario="Base",AG160,IF(Case_Scenario="bear",AG161,"N/A")))</f>
        <v>0</v>
      </c>
      <c r="AH158" s="12"/>
      <c r="AI158" s="12"/>
      <c r="AJ158" s="12"/>
    </row>
    <row r="159" spans="1:36" ht="12.75" hidden="1" customHeight="1" outlineLevel="1" collapsed="1">
      <c r="A159" s="12"/>
      <c r="B159" s="12"/>
      <c r="C159" s="108" t="s">
        <v>251</v>
      </c>
      <c r="D159" s="12"/>
      <c r="E159" s="137"/>
      <c r="F159" s="265"/>
      <c r="G159" s="265"/>
      <c r="H159" s="265"/>
      <c r="I159" s="265"/>
      <c r="J159" s="137"/>
      <c r="K159" s="265"/>
      <c r="L159" s="265"/>
      <c r="M159" s="265"/>
      <c r="N159" s="265"/>
      <c r="O159" s="137"/>
      <c r="P159" s="265"/>
      <c r="Q159" s="265"/>
      <c r="R159" s="265"/>
      <c r="S159" s="265"/>
      <c r="T159" s="137"/>
      <c r="U159" s="265"/>
      <c r="V159" s="265"/>
      <c r="W159" s="265"/>
      <c r="X159" s="266">
        <v>0</v>
      </c>
      <c r="Y159" s="267"/>
      <c r="Z159" s="266">
        <v>0</v>
      </c>
      <c r="AA159" s="266">
        <v>0</v>
      </c>
      <c r="AB159" s="266">
        <v>0</v>
      </c>
      <c r="AC159" s="266">
        <v>0</v>
      </c>
      <c r="AD159" s="267"/>
      <c r="AE159" s="267">
        <v>0</v>
      </c>
      <c r="AF159" s="267">
        <v>0</v>
      </c>
      <c r="AG159" s="267">
        <v>0</v>
      </c>
      <c r="AH159" s="12"/>
      <c r="AI159" s="12"/>
      <c r="AJ159" s="12"/>
    </row>
    <row r="160" spans="1:36" ht="12.75" hidden="1" customHeight="1" outlineLevel="1" collapsed="1">
      <c r="A160" s="12"/>
      <c r="B160" s="12"/>
      <c r="C160" s="108" t="s">
        <v>252</v>
      </c>
      <c r="D160" s="12"/>
      <c r="E160" s="137"/>
      <c r="F160" s="265"/>
      <c r="G160" s="265"/>
      <c r="H160" s="265"/>
      <c r="I160" s="265"/>
      <c r="J160" s="137"/>
      <c r="K160" s="265"/>
      <c r="L160" s="265"/>
      <c r="M160" s="265"/>
      <c r="N160" s="265"/>
      <c r="O160" s="137"/>
      <c r="P160" s="265"/>
      <c r="Q160" s="265"/>
      <c r="R160" s="265"/>
      <c r="S160" s="265"/>
      <c r="T160" s="137"/>
      <c r="U160" s="265"/>
      <c r="V160" s="265"/>
      <c r="W160" s="265"/>
      <c r="X160" s="266">
        <v>0</v>
      </c>
      <c r="Y160" s="267"/>
      <c r="Z160" s="266">
        <v>0</v>
      </c>
      <c r="AA160" s="266">
        <v>0</v>
      </c>
      <c r="AB160" s="266">
        <v>0</v>
      </c>
      <c r="AC160" s="266">
        <v>0</v>
      </c>
      <c r="AD160" s="267"/>
      <c r="AE160" s="267">
        <v>0</v>
      </c>
      <c r="AF160" s="267">
        <v>0</v>
      </c>
      <c r="AG160" s="267">
        <v>0</v>
      </c>
      <c r="AH160" s="12"/>
      <c r="AI160" s="12"/>
      <c r="AJ160" s="12"/>
    </row>
    <row r="161" spans="1:36" ht="12.75" hidden="1" customHeight="1" outlineLevel="1" collapsed="1">
      <c r="A161" s="12"/>
      <c r="B161" s="12"/>
      <c r="C161" s="108" t="s">
        <v>253</v>
      </c>
      <c r="D161" s="12"/>
      <c r="E161" s="137"/>
      <c r="F161" s="265"/>
      <c r="G161" s="265"/>
      <c r="H161" s="265"/>
      <c r="I161" s="265"/>
      <c r="J161" s="137"/>
      <c r="K161" s="265"/>
      <c r="L161" s="265"/>
      <c r="M161" s="265"/>
      <c r="N161" s="265"/>
      <c r="O161" s="137"/>
      <c r="P161" s="265"/>
      <c r="Q161" s="265"/>
      <c r="R161" s="265"/>
      <c r="S161" s="265"/>
      <c r="T161" s="137"/>
      <c r="U161" s="265"/>
      <c r="V161" s="265"/>
      <c r="W161" s="265"/>
      <c r="X161" s="266">
        <v>0</v>
      </c>
      <c r="Y161" s="267"/>
      <c r="Z161" s="266">
        <v>0</v>
      </c>
      <c r="AA161" s="266">
        <v>0</v>
      </c>
      <c r="AB161" s="266">
        <v>0</v>
      </c>
      <c r="AC161" s="266">
        <v>0</v>
      </c>
      <c r="AD161" s="267"/>
      <c r="AE161" s="267">
        <v>0</v>
      </c>
      <c r="AF161" s="267">
        <v>0</v>
      </c>
      <c r="AG161" s="267">
        <v>0</v>
      </c>
      <c r="AH161" s="12"/>
      <c r="AI161" s="12"/>
      <c r="AJ161" s="12"/>
    </row>
    <row r="162" spans="1:36" ht="12.75" customHeight="1">
      <c r="A162" s="12"/>
      <c r="B162" s="12"/>
      <c r="C162" s="12"/>
      <c r="D162" s="12"/>
      <c r="E162" s="12"/>
      <c r="F162" s="261"/>
      <c r="G162" s="261"/>
      <c r="H162" s="261"/>
      <c r="I162" s="261"/>
      <c r="J162" s="12"/>
      <c r="K162" s="261"/>
      <c r="L162" s="261"/>
      <c r="M162" s="261"/>
      <c r="N162" s="261"/>
      <c r="O162" s="12"/>
      <c r="P162" s="261"/>
      <c r="Q162" s="261"/>
      <c r="R162" s="261"/>
      <c r="S162" s="261"/>
      <c r="T162" s="12"/>
      <c r="U162" s="261"/>
      <c r="V162" s="261"/>
      <c r="W162" s="261"/>
      <c r="X162" s="262"/>
      <c r="Y162" s="12"/>
      <c r="Z162" s="262"/>
      <c r="AA162" s="262"/>
      <c r="AB162" s="262"/>
      <c r="AC162" s="262"/>
      <c r="AD162" s="12"/>
      <c r="AE162" s="12"/>
      <c r="AF162" s="12"/>
      <c r="AG162" s="12"/>
      <c r="AH162" s="12"/>
      <c r="AI162" s="12"/>
      <c r="AJ162" s="12"/>
    </row>
    <row r="163" spans="1:36" ht="12.75" customHeight="1">
      <c r="A163" s="211" t="s">
        <v>1</v>
      </c>
      <c r="B163" s="12"/>
      <c r="C163" s="55" t="s">
        <v>258</v>
      </c>
      <c r="D163" s="15"/>
      <c r="E163" s="15"/>
      <c r="F163" s="259" t="str">
        <f t="shared" ref="F163:AG163" si="164">F$28</f>
        <v>1Q23</v>
      </c>
      <c r="G163" s="259" t="str">
        <f t="shared" si="164"/>
        <v>2Q23</v>
      </c>
      <c r="H163" s="259" t="str">
        <f t="shared" si="164"/>
        <v>3Q23</v>
      </c>
      <c r="I163" s="259" t="str">
        <f t="shared" si="164"/>
        <v>4Q23</v>
      </c>
      <c r="J163" s="259">
        <f t="shared" si="164"/>
        <v>2023</v>
      </c>
      <c r="K163" s="259" t="str">
        <f t="shared" si="164"/>
        <v>1Q24</v>
      </c>
      <c r="L163" s="259" t="str">
        <f t="shared" si="164"/>
        <v>2Q24</v>
      </c>
      <c r="M163" s="259" t="str">
        <f t="shared" si="164"/>
        <v>3Q24</v>
      </c>
      <c r="N163" s="259" t="str">
        <f t="shared" si="164"/>
        <v>4Q24</v>
      </c>
      <c r="O163" s="259">
        <f t="shared" si="164"/>
        <v>2024</v>
      </c>
      <c r="P163" s="259" t="str">
        <f t="shared" si="164"/>
        <v>1Q25</v>
      </c>
      <c r="Q163" s="259" t="str">
        <f t="shared" si="164"/>
        <v>2Q25</v>
      </c>
      <c r="R163" s="259" t="str">
        <f t="shared" si="164"/>
        <v>3Q25</v>
      </c>
      <c r="S163" s="259" t="str">
        <f t="shared" si="164"/>
        <v>4Q25</v>
      </c>
      <c r="T163" s="259">
        <f t="shared" si="164"/>
        <v>2025</v>
      </c>
      <c r="U163" s="259" t="str">
        <f t="shared" si="164"/>
        <v>1Q26</v>
      </c>
      <c r="V163" s="259" t="str">
        <f t="shared" si="164"/>
        <v>2Q26</v>
      </c>
      <c r="W163" s="259" t="str">
        <f t="shared" si="164"/>
        <v>3Q26e</v>
      </c>
      <c r="X163" s="259" t="str">
        <f t="shared" si="164"/>
        <v>4Q26e</v>
      </c>
      <c r="Y163" s="259" t="str">
        <f t="shared" si="164"/>
        <v>2026e</v>
      </c>
      <c r="Z163" s="259" t="str">
        <f t="shared" si="164"/>
        <v>1Q27e</v>
      </c>
      <c r="AA163" s="259" t="str">
        <f t="shared" si="164"/>
        <v>2Q27e</v>
      </c>
      <c r="AB163" s="259" t="str">
        <f t="shared" si="164"/>
        <v>3Q27e</v>
      </c>
      <c r="AC163" s="259" t="str">
        <f t="shared" si="164"/>
        <v>4Q27e</v>
      </c>
      <c r="AD163" s="259" t="str">
        <f t="shared" si="164"/>
        <v>2027e</v>
      </c>
      <c r="AE163" s="259" t="str">
        <f t="shared" si="164"/>
        <v>2028e</v>
      </c>
      <c r="AF163" s="259" t="str">
        <f t="shared" si="164"/>
        <v>2029e</v>
      </c>
      <c r="AG163" s="260" t="str">
        <f t="shared" si="164"/>
        <v>2030e</v>
      </c>
      <c r="AH163" s="223" t="s">
        <v>1</v>
      </c>
      <c r="AI163" s="12"/>
      <c r="AJ163" s="12"/>
    </row>
    <row r="164" spans="1:36" ht="12.75" customHeight="1">
      <c r="A164" s="12"/>
      <c r="B164" s="12"/>
      <c r="C164" s="12"/>
      <c r="D164" s="12"/>
      <c r="E164" s="12"/>
      <c r="F164" s="274"/>
      <c r="G164" s="274"/>
      <c r="H164" s="274"/>
      <c r="I164" s="274"/>
      <c r="J164" s="275"/>
      <c r="K164" s="274"/>
      <c r="L164" s="274"/>
      <c r="M164" s="274"/>
      <c r="N164" s="274"/>
      <c r="O164" s="275"/>
      <c r="P164" s="274"/>
      <c r="Q164" s="274"/>
      <c r="R164" s="274"/>
      <c r="S164" s="274"/>
      <c r="T164" s="275"/>
      <c r="U164" s="274"/>
      <c r="V164" s="274"/>
      <c r="W164" s="274"/>
      <c r="X164" s="276"/>
      <c r="Y164" s="275"/>
      <c r="Z164" s="276"/>
      <c r="AA164" s="276"/>
      <c r="AB164" s="276"/>
      <c r="AC164" s="276"/>
      <c r="AD164" s="275"/>
      <c r="AE164" s="275"/>
      <c r="AF164" s="275"/>
      <c r="AG164" s="275"/>
      <c r="AH164" s="12"/>
      <c r="AI164" s="12"/>
      <c r="AJ164" s="12"/>
    </row>
    <row r="165" spans="1:36" ht="12.75" hidden="1" customHeight="1" outlineLevel="1" collapsed="1">
      <c r="A165" s="12"/>
      <c r="B165" s="12"/>
      <c r="C165" s="108" t="str">
        <f>C32</f>
        <v>Home Improvement Retail Revenue</v>
      </c>
      <c r="D165" s="12"/>
      <c r="E165" s="12"/>
      <c r="F165" s="263">
        <f t="shared" ref="F165:W165" si="165">F32</f>
        <v>8161.5029999999997</v>
      </c>
      <c r="G165" s="263">
        <f t="shared" si="165"/>
        <v>8187.3010000000004</v>
      </c>
      <c r="H165" s="263">
        <f t="shared" si="165"/>
        <v>8541.6679999999997</v>
      </c>
      <c r="I165" s="263">
        <f t="shared" si="165"/>
        <v>8832.8250000000007</v>
      </c>
      <c r="J165" s="233">
        <f t="shared" si="165"/>
        <v>33723.297000000006</v>
      </c>
      <c r="K165" s="263">
        <f t="shared" si="165"/>
        <v>9370.44</v>
      </c>
      <c r="L165" s="263">
        <f t="shared" si="165"/>
        <v>9559.31</v>
      </c>
      <c r="M165" s="263">
        <f t="shared" si="165"/>
        <v>9824.7029999999995</v>
      </c>
      <c r="N165" s="263">
        <f t="shared" si="165"/>
        <v>10246.513000000001</v>
      </c>
      <c r="O165" s="233">
        <f t="shared" si="165"/>
        <v>39000.966</v>
      </c>
      <c r="P165" s="263">
        <f t="shared" si="165"/>
        <v>10542.800999999999</v>
      </c>
      <c r="Q165" s="263">
        <f t="shared" si="165"/>
        <v>11079.165999999999</v>
      </c>
      <c r="R165" s="263">
        <f t="shared" si="165"/>
        <v>11510.307000000001</v>
      </c>
      <c r="S165" s="263">
        <f t="shared" si="165"/>
        <v>12050.762000000001</v>
      </c>
      <c r="T165" s="233">
        <f t="shared" si="165"/>
        <v>45183.036</v>
      </c>
      <c r="U165" s="263">
        <f t="shared" si="165"/>
        <v>12249.757</v>
      </c>
      <c r="V165" s="263">
        <f t="shared" si="165"/>
        <v>27570</v>
      </c>
      <c r="W165" s="263">
        <f t="shared" si="165"/>
        <v>22918</v>
      </c>
      <c r="X165" s="232">
        <f>X167/X172</f>
        <v>40415.200000000004</v>
      </c>
      <c r="Y165" s="233">
        <f>SUM(U165:X165)</f>
        <v>103152.95699999999</v>
      </c>
      <c r="Z165" s="232">
        <f t="shared" ref="Z165:AC165" si="166">Z167/Z172</f>
        <v>42435.96</v>
      </c>
      <c r="AA165" s="232">
        <f t="shared" si="166"/>
        <v>44557.758000000002</v>
      </c>
      <c r="AB165" s="232">
        <f t="shared" si="166"/>
        <v>46785.645900000003</v>
      </c>
      <c r="AC165" s="232">
        <f t="shared" si="166"/>
        <v>49124.928195000008</v>
      </c>
      <c r="AD165" s="233">
        <f>SUM(Z165:AC165)</f>
        <v>182904.29209500001</v>
      </c>
      <c r="AE165" s="233">
        <f t="shared" ref="AE165:AG165" si="167">AE167/AE172</f>
        <v>192049.50669975</v>
      </c>
      <c r="AF165" s="233">
        <f t="shared" si="167"/>
        <v>201651.98203473751</v>
      </c>
      <c r="AG165" s="233">
        <f t="shared" si="167"/>
        <v>211734.58113647439</v>
      </c>
      <c r="AH165" s="12"/>
      <c r="AI165" s="12"/>
      <c r="AJ165" s="12"/>
    </row>
    <row r="166" spans="1:36" ht="12.75" hidden="1" customHeight="1" outlineLevel="1" collapsed="1">
      <c r="A166" s="12"/>
      <c r="B166" s="12"/>
      <c r="C166" s="108" t="s">
        <v>244</v>
      </c>
      <c r="D166" s="12"/>
      <c r="E166" s="12"/>
      <c r="F166" s="277">
        <f>47179+9134</f>
        <v>56313</v>
      </c>
      <c r="G166" s="277">
        <f>46414+8942</f>
        <v>55356</v>
      </c>
      <c r="H166" s="277">
        <f>40127+12896</f>
        <v>53023</v>
      </c>
      <c r="I166" s="277">
        <f>42079+15055</f>
        <v>57134</v>
      </c>
      <c r="J166" s="272">
        <f>I166</f>
        <v>57134</v>
      </c>
      <c r="K166" s="277">
        <f>46463+16145</f>
        <v>62608</v>
      </c>
      <c r="L166" s="277">
        <f>44155+14185</f>
        <v>58340</v>
      </c>
      <c r="M166" s="277">
        <v>45852</v>
      </c>
      <c r="N166" s="277">
        <v>49577</v>
      </c>
      <c r="O166" s="272">
        <f>J166+O167-O165</f>
        <v>49577</v>
      </c>
      <c r="P166" s="277">
        <v>50404</v>
      </c>
      <c r="Q166" s="277">
        <v>51925</v>
      </c>
      <c r="R166" s="277">
        <v>57875</v>
      </c>
      <c r="S166" s="277">
        <v>57166</v>
      </c>
      <c r="T166" s="272">
        <f>O166+T167-T165</f>
        <v>57165.999999999993</v>
      </c>
      <c r="U166" s="271">
        <v>50404</v>
      </c>
      <c r="V166" s="271">
        <v>51925</v>
      </c>
      <c r="W166" s="277">
        <v>57875</v>
      </c>
      <c r="X166" s="273">
        <f>W166+X167-X165</f>
        <v>47771.19999999999</v>
      </c>
      <c r="Y166" s="272">
        <f>T166+Y167-Y165</f>
        <v>47771.200000000012</v>
      </c>
      <c r="Z166" s="273">
        <f>X166+Z167-Z165</f>
        <v>37162.209999999985</v>
      </c>
      <c r="AA166" s="273">
        <f t="shared" ref="AA166:AC166" si="168">Z166+AA167-AA165</f>
        <v>26022.770499999984</v>
      </c>
      <c r="AB166" s="273">
        <f t="shared" si="168"/>
        <v>14326.359024999983</v>
      </c>
      <c r="AC166" s="273">
        <f t="shared" si="168"/>
        <v>2045.1269762499796</v>
      </c>
      <c r="AD166" s="272">
        <f>Y166+AD167-AD165</f>
        <v>2045.1269762500015</v>
      </c>
      <c r="AE166" s="272">
        <f t="shared" ref="AE166:AG166" si="169">AD166+AE167-AE165</f>
        <v>-45967.24969868749</v>
      </c>
      <c r="AF166" s="272">
        <f t="shared" si="169"/>
        <v>-96380.24520737186</v>
      </c>
      <c r="AG166" s="272">
        <f t="shared" si="169"/>
        <v>-149313.89049149046</v>
      </c>
      <c r="AH166" s="12"/>
      <c r="AI166" s="12"/>
      <c r="AJ166" s="12"/>
    </row>
    <row r="167" spans="1:36" ht="12.75" hidden="1" customHeight="1" outlineLevel="1" collapsed="1">
      <c r="A167" s="12"/>
      <c r="B167" s="12"/>
      <c r="C167" s="108" t="s">
        <v>259</v>
      </c>
      <c r="D167" s="12"/>
      <c r="E167" s="12"/>
      <c r="F167" s="277">
        <f>F166+F165-(45187+12488)</f>
        <v>6799.502999999997</v>
      </c>
      <c r="G167" s="277">
        <f t="shared" ref="G167:I167" si="170">G166+G165-F166</f>
        <v>7230.3009999999995</v>
      </c>
      <c r="H167" s="277">
        <f t="shared" si="170"/>
        <v>6208.6679999999978</v>
      </c>
      <c r="I167" s="277">
        <f t="shared" si="170"/>
        <v>12943.824999999997</v>
      </c>
      <c r="J167" s="272">
        <f>SUM(F167:I167)</f>
        <v>33182.296999999991</v>
      </c>
      <c r="K167" s="277">
        <f t="shared" ref="K167:N167" si="171">K166+K165-J166</f>
        <v>14844.440000000002</v>
      </c>
      <c r="L167" s="277">
        <f t="shared" si="171"/>
        <v>5291.3099999999977</v>
      </c>
      <c r="M167" s="277">
        <f t="shared" si="171"/>
        <v>-2663.2969999999987</v>
      </c>
      <c r="N167" s="277">
        <f t="shared" si="171"/>
        <v>13971.512999999999</v>
      </c>
      <c r="O167" s="272">
        <f>SUM(K167:N167)</f>
        <v>31443.966</v>
      </c>
      <c r="P167" s="277">
        <f t="shared" ref="P167:S167" si="172">P166+P165-O166</f>
        <v>11369.800999999999</v>
      </c>
      <c r="Q167" s="277">
        <f t="shared" si="172"/>
        <v>12600.165999999997</v>
      </c>
      <c r="R167" s="277">
        <f t="shared" si="172"/>
        <v>17460.307000000001</v>
      </c>
      <c r="S167" s="277">
        <f t="shared" si="172"/>
        <v>11341.762000000002</v>
      </c>
      <c r="T167" s="272">
        <f>SUM(P167:S167)</f>
        <v>52772.036</v>
      </c>
      <c r="U167" s="271">
        <f t="shared" ref="U167:W167" si="173">U166+U165-T166</f>
        <v>5487.7570000000051</v>
      </c>
      <c r="V167" s="271">
        <f t="shared" si="173"/>
        <v>29091</v>
      </c>
      <c r="W167" s="277">
        <f t="shared" si="173"/>
        <v>28868</v>
      </c>
      <c r="X167" s="273">
        <f>W167*(1+X168)</f>
        <v>30311.4</v>
      </c>
      <c r="Y167" s="272">
        <f>SUM(U167:X167)</f>
        <v>93758.157000000007</v>
      </c>
      <c r="Z167" s="273">
        <f>X167*(1+Z168)</f>
        <v>31826.97</v>
      </c>
      <c r="AA167" s="273">
        <f t="shared" ref="AA167:AC167" si="174">Z167*(1+AA168)</f>
        <v>33418.318500000001</v>
      </c>
      <c r="AB167" s="273">
        <f t="shared" si="174"/>
        <v>35089.234425000002</v>
      </c>
      <c r="AC167" s="273">
        <f t="shared" si="174"/>
        <v>36843.696146250004</v>
      </c>
      <c r="AD167" s="272">
        <f>SUM(Z167:AC167)</f>
        <v>137178.21907125</v>
      </c>
      <c r="AE167" s="272">
        <f t="shared" ref="AE167:AG167" si="175">AD167*(1+AE168)</f>
        <v>144037.1300248125</v>
      </c>
      <c r="AF167" s="272">
        <f t="shared" si="175"/>
        <v>151238.98652605314</v>
      </c>
      <c r="AG167" s="272">
        <f t="shared" si="175"/>
        <v>158800.93585235579</v>
      </c>
      <c r="AH167" s="12"/>
      <c r="AI167" s="12"/>
      <c r="AJ167" s="12"/>
    </row>
    <row r="168" spans="1:36" ht="12.75" hidden="1" customHeight="1" outlineLevel="1" collapsed="1">
      <c r="A168" s="12"/>
      <c r="B168" s="12"/>
      <c r="C168" s="89" t="s">
        <v>260</v>
      </c>
      <c r="D168" s="12"/>
      <c r="E168" s="12"/>
      <c r="F168" s="265"/>
      <c r="G168" s="264">
        <f t="shared" ref="G168:I168" si="176">IFERROR(G167/F167-1,"--")</f>
        <v>6.3357277730446304E-2</v>
      </c>
      <c r="H168" s="264">
        <f t="shared" si="176"/>
        <v>-0.14129882006295469</v>
      </c>
      <c r="I168" s="264">
        <f t="shared" si="176"/>
        <v>1.0847990261357188</v>
      </c>
      <c r="J168" s="137"/>
      <c r="K168" s="264">
        <f>IFERROR(K167/I167-1,"--")</f>
        <v>0.14683565329413883</v>
      </c>
      <c r="L168" s="264">
        <f t="shared" ref="L168:N168" si="177">IFERROR(L167/K167-1,"--")</f>
        <v>-0.64354936932615869</v>
      </c>
      <c r="M168" s="264">
        <f t="shared" si="177"/>
        <v>-1.5033341459865326</v>
      </c>
      <c r="N168" s="264">
        <f t="shared" si="177"/>
        <v>-6.2459462838729616</v>
      </c>
      <c r="O168" s="252">
        <f>IFERROR(O167/J167-1,"--")</f>
        <v>-5.2387301578308176E-2</v>
      </c>
      <c r="P168" s="264">
        <f>IFERROR(P167/N167-1,"--")</f>
        <v>-0.18621548002710941</v>
      </c>
      <c r="Q168" s="264">
        <f t="shared" ref="Q168:S168" si="178">IFERROR(Q167/P167-1,"--")</f>
        <v>0.1082134155206409</v>
      </c>
      <c r="R168" s="264">
        <f t="shared" si="178"/>
        <v>0.38572039447734285</v>
      </c>
      <c r="S168" s="264">
        <f t="shared" si="178"/>
        <v>-0.35042596902792134</v>
      </c>
      <c r="T168" s="252">
        <f>IFERROR(T167/O167-1,"--")</f>
        <v>0.67828816504889988</v>
      </c>
      <c r="U168" s="264">
        <f>IFERROR(U167/S167-1,"--")</f>
        <v>-0.51614599213067569</v>
      </c>
      <c r="V168" s="264">
        <f t="shared" ref="V168:W168" si="179">IFERROR(V167/U167-1,"--")</f>
        <v>4.30107291558281</v>
      </c>
      <c r="W168" s="264">
        <f t="shared" si="179"/>
        <v>-7.6656010449966949E-3</v>
      </c>
      <c r="X168" s="251">
        <f>IF(Case_Scenario="Bull",X169,IF(Case_Scenario="Base",X170,IF(Case_Scenario="bear",X171,"N/A")))</f>
        <v>0.05</v>
      </c>
      <c r="Y168" s="252"/>
      <c r="Z168" s="251">
        <f>IF(Case_Scenario="Bull",Z169,IF(Case_Scenario="Base",Z170,IF(Case_Scenario="bear",Z171,"N/A")))</f>
        <v>0.05</v>
      </c>
      <c r="AA168" s="251">
        <f>IF(Case_Scenario="Bull",AA169,IF(Case_Scenario="Base",AA170,IF(Case_Scenario="bear",AA171,"N/A")))</f>
        <v>0.05</v>
      </c>
      <c r="AB168" s="251">
        <f>IF(Case_Scenario="Bull",AB169,IF(Case_Scenario="Base",AB170,IF(Case_Scenario="bear",AB171,"N/A")))</f>
        <v>0.05</v>
      </c>
      <c r="AC168" s="251">
        <f>IF(Case_Scenario="Bull",AC169,IF(Case_Scenario="Base",AC170,IF(Case_Scenario="bear",AC171,"N/A")))</f>
        <v>0.05</v>
      </c>
      <c r="AD168" s="252"/>
      <c r="AE168" s="252">
        <f>IF(Case_Scenario="Bull",AE169,IF(Case_Scenario="Base",AE170,IF(Case_Scenario="bear",AE171,"N/A")))</f>
        <v>0.05</v>
      </c>
      <c r="AF168" s="252">
        <f>IF(Case_Scenario="Bull",AF169,IF(Case_Scenario="Base",AF170,IF(Case_Scenario="bear",AF171,"N/A")))</f>
        <v>0.05</v>
      </c>
      <c r="AG168" s="252">
        <f>IF(Case_Scenario="Bull",AG169,IF(Case_Scenario="Base",AG170,IF(Case_Scenario="bear",AG171,"N/A")))</f>
        <v>0.05</v>
      </c>
      <c r="AH168" s="12"/>
      <c r="AI168" s="12"/>
      <c r="AJ168" s="12"/>
    </row>
    <row r="169" spans="1:36" ht="12.75" hidden="1" customHeight="1" outlineLevel="1" collapsed="1">
      <c r="A169" s="12"/>
      <c r="B169" s="12"/>
      <c r="C169" s="108" t="s">
        <v>251</v>
      </c>
      <c r="D169" s="12"/>
      <c r="E169" s="12"/>
      <c r="F169" s="265"/>
      <c r="G169" s="265"/>
      <c r="H169" s="265"/>
      <c r="I169" s="265"/>
      <c r="J169" s="137"/>
      <c r="K169" s="265"/>
      <c r="L169" s="265"/>
      <c r="M169" s="265"/>
      <c r="N169" s="265"/>
      <c r="O169" s="137"/>
      <c r="P169" s="265"/>
      <c r="Q169" s="265"/>
      <c r="R169" s="265"/>
      <c r="S169" s="265"/>
      <c r="T169" s="137"/>
      <c r="U169" s="265"/>
      <c r="V169" s="265"/>
      <c r="W169" s="265"/>
      <c r="X169" s="266">
        <v>0.1</v>
      </c>
      <c r="Y169" s="267"/>
      <c r="Z169" s="266">
        <v>0.1</v>
      </c>
      <c r="AA169" s="266">
        <v>0.1</v>
      </c>
      <c r="AB169" s="266">
        <v>0.1</v>
      </c>
      <c r="AC169" s="266">
        <v>0.1</v>
      </c>
      <c r="AD169" s="267"/>
      <c r="AE169" s="267">
        <v>0.1</v>
      </c>
      <c r="AF169" s="267">
        <v>0.1</v>
      </c>
      <c r="AG169" s="267">
        <v>0.1</v>
      </c>
      <c r="AH169" s="12"/>
      <c r="AI169" s="12"/>
      <c r="AJ169" s="12"/>
    </row>
    <row r="170" spans="1:36" ht="12.75" hidden="1" customHeight="1" outlineLevel="1" collapsed="1">
      <c r="A170" s="12"/>
      <c r="B170" s="12"/>
      <c r="C170" s="108" t="s">
        <v>252</v>
      </c>
      <c r="D170" s="12"/>
      <c r="E170" s="12"/>
      <c r="F170" s="265"/>
      <c r="G170" s="265"/>
      <c r="H170" s="265"/>
      <c r="I170" s="265"/>
      <c r="J170" s="137"/>
      <c r="K170" s="265"/>
      <c r="L170" s="265"/>
      <c r="M170" s="265"/>
      <c r="N170" s="265"/>
      <c r="O170" s="137"/>
      <c r="P170" s="265"/>
      <c r="Q170" s="265"/>
      <c r="R170" s="265"/>
      <c r="S170" s="265"/>
      <c r="T170" s="137"/>
      <c r="U170" s="265"/>
      <c r="V170" s="265"/>
      <c r="W170" s="265"/>
      <c r="X170" s="266">
        <v>0.05</v>
      </c>
      <c r="Y170" s="267"/>
      <c r="Z170" s="266">
        <v>0.05</v>
      </c>
      <c r="AA170" s="266">
        <v>0.05</v>
      </c>
      <c r="AB170" s="266">
        <v>0.05</v>
      </c>
      <c r="AC170" s="266">
        <v>0.05</v>
      </c>
      <c r="AD170" s="267"/>
      <c r="AE170" s="267">
        <v>0.05</v>
      </c>
      <c r="AF170" s="267">
        <v>0.05</v>
      </c>
      <c r="AG170" s="267">
        <v>0.05</v>
      </c>
      <c r="AH170" s="12"/>
      <c r="AI170" s="12"/>
      <c r="AJ170" s="12"/>
    </row>
    <row r="171" spans="1:36" ht="12.75" hidden="1" customHeight="1" outlineLevel="1" collapsed="1">
      <c r="A171" s="12"/>
      <c r="B171" s="12"/>
      <c r="C171" s="108" t="s">
        <v>253</v>
      </c>
      <c r="D171" s="12"/>
      <c r="E171" s="12"/>
      <c r="F171" s="265"/>
      <c r="G171" s="265"/>
      <c r="H171" s="265"/>
      <c r="I171" s="265"/>
      <c r="J171" s="137"/>
      <c r="K171" s="265"/>
      <c r="L171" s="265"/>
      <c r="M171" s="265"/>
      <c r="N171" s="265"/>
      <c r="O171" s="137"/>
      <c r="P171" s="265"/>
      <c r="Q171" s="265"/>
      <c r="R171" s="265"/>
      <c r="S171" s="265"/>
      <c r="T171" s="137"/>
      <c r="U171" s="265"/>
      <c r="V171" s="265"/>
      <c r="W171" s="265"/>
      <c r="X171" s="266">
        <v>0</v>
      </c>
      <c r="Y171" s="267"/>
      <c r="Z171" s="266">
        <v>0</v>
      </c>
      <c r="AA171" s="266">
        <v>0</v>
      </c>
      <c r="AB171" s="266">
        <v>0</v>
      </c>
      <c r="AC171" s="266">
        <v>0</v>
      </c>
      <c r="AD171" s="267"/>
      <c r="AE171" s="267">
        <v>0</v>
      </c>
      <c r="AF171" s="267">
        <v>0</v>
      </c>
      <c r="AG171" s="267">
        <v>0</v>
      </c>
      <c r="AH171" s="12"/>
      <c r="AI171" s="12"/>
      <c r="AJ171" s="12"/>
    </row>
    <row r="172" spans="1:36" ht="12.75" hidden="1" customHeight="1" outlineLevel="1" collapsed="1">
      <c r="A172" s="12"/>
      <c r="B172" s="12"/>
      <c r="C172" s="108" t="s">
        <v>261</v>
      </c>
      <c r="D172" s="12"/>
      <c r="E172" s="12"/>
      <c r="F172" s="278">
        <f t="shared" ref="F172:W172" si="180">F167/F165</f>
        <v>0.83311897330675455</v>
      </c>
      <c r="G172" s="278">
        <f t="shared" si="180"/>
        <v>0.88311166280560582</v>
      </c>
      <c r="H172" s="278">
        <f t="shared" si="180"/>
        <v>0.72686833531811323</v>
      </c>
      <c r="I172" s="278">
        <f t="shared" si="180"/>
        <v>1.4654230101920955</v>
      </c>
      <c r="J172" s="279">
        <f t="shared" si="180"/>
        <v>0.98395767768495423</v>
      </c>
      <c r="K172" s="278">
        <f t="shared" si="180"/>
        <v>1.584177477258272</v>
      </c>
      <c r="L172" s="278">
        <f t="shared" si="180"/>
        <v>0.5535242606422428</v>
      </c>
      <c r="M172" s="278">
        <f t="shared" si="180"/>
        <v>-0.27108168053527915</v>
      </c>
      <c r="N172" s="278">
        <f t="shared" si="180"/>
        <v>1.3635383081054011</v>
      </c>
      <c r="O172" s="279">
        <f t="shared" si="180"/>
        <v>0.80623556862668477</v>
      </c>
      <c r="P172" s="278">
        <f t="shared" si="180"/>
        <v>1.0784421521377479</v>
      </c>
      <c r="Q172" s="278">
        <f t="shared" si="180"/>
        <v>1.1372847017546266</v>
      </c>
      <c r="R172" s="278">
        <f t="shared" si="180"/>
        <v>1.5169280020072444</v>
      </c>
      <c r="S172" s="278">
        <f t="shared" si="180"/>
        <v>0.9411655462119326</v>
      </c>
      <c r="T172" s="279">
        <f t="shared" si="180"/>
        <v>1.1679612675872422</v>
      </c>
      <c r="U172" s="278">
        <f t="shared" si="180"/>
        <v>0.4479890499052353</v>
      </c>
      <c r="V172" s="278">
        <f t="shared" si="180"/>
        <v>1.0551686615886833</v>
      </c>
      <c r="W172" s="278">
        <f t="shared" si="180"/>
        <v>1.2596212583995112</v>
      </c>
      <c r="X172" s="280">
        <f>IF(Case_Scenario="Bull",X173,IF(Case_Scenario="Base",X174,IF(Case_Scenario="bear",X175,"N/A")))</f>
        <v>0.75</v>
      </c>
      <c r="Y172" s="279">
        <f>AVERAGE(U172:X172)</f>
        <v>0.87819474247335738</v>
      </c>
      <c r="Z172" s="280">
        <f>IF(Case_Scenario="Bull",Z173,IF(Case_Scenario="Base",Z174,IF(Case_Scenario="bear",Z175,"N/A")))</f>
        <v>0.75</v>
      </c>
      <c r="AA172" s="280">
        <f>IF(Case_Scenario="Bull",AA173,IF(Case_Scenario="Base",AA174,IF(Case_Scenario="bear",AA175,"N/A")))</f>
        <v>0.75</v>
      </c>
      <c r="AB172" s="280">
        <f>IF(Case_Scenario="Bull",AB173,IF(Case_Scenario="Base",AB174,IF(Case_Scenario="bear",AB175,"N/A")))</f>
        <v>0.75</v>
      </c>
      <c r="AC172" s="280">
        <f>IF(Case_Scenario="Bull",AC173,IF(Case_Scenario="Base",AC174,IF(Case_Scenario="bear",AC175,"N/A")))</f>
        <v>0.75</v>
      </c>
      <c r="AD172" s="279">
        <f>AVERAGE(Z172:AC172)</f>
        <v>0.75</v>
      </c>
      <c r="AE172" s="279">
        <f>IF(Case_Scenario="Bull",AE173,IF(Case_Scenario="Base",AE174,IF(Case_Scenario="bear",AE175,"N/A")))</f>
        <v>0.75</v>
      </c>
      <c r="AF172" s="279">
        <f>IF(Case_Scenario="Bull",AF173,IF(Case_Scenario="Base",AF174,IF(Case_Scenario="bear",AF175,"N/A")))</f>
        <v>0.75</v>
      </c>
      <c r="AG172" s="279">
        <f>IF(Case_Scenario="Bull",AG173,IF(Case_Scenario="Base",AG174,IF(Case_Scenario="bear",AG175,"N/A")))</f>
        <v>0.75</v>
      </c>
      <c r="AH172" s="12"/>
      <c r="AI172" s="12"/>
      <c r="AJ172" s="12"/>
    </row>
    <row r="173" spans="1:36" ht="12.75" hidden="1" customHeight="1" outlineLevel="1" collapsed="1">
      <c r="A173" s="12"/>
      <c r="B173" s="12"/>
      <c r="C173" s="108" t="s">
        <v>251</v>
      </c>
      <c r="D173" s="12"/>
      <c r="E173" s="12"/>
      <c r="F173" s="278"/>
      <c r="G173" s="281"/>
      <c r="H173" s="281"/>
      <c r="I173" s="281"/>
      <c r="J173" s="279"/>
      <c r="K173" s="281"/>
      <c r="L173" s="281"/>
      <c r="M173" s="281"/>
      <c r="N173" s="281"/>
      <c r="O173" s="282"/>
      <c r="P173" s="281"/>
      <c r="Q173" s="281"/>
      <c r="R173" s="281"/>
      <c r="S173" s="281"/>
      <c r="T173" s="282"/>
      <c r="U173" s="281"/>
      <c r="V173" s="281"/>
      <c r="W173" s="281"/>
      <c r="X173" s="283">
        <v>0.5</v>
      </c>
      <c r="Y173" s="284"/>
      <c r="Z173" s="283">
        <v>0.5</v>
      </c>
      <c r="AA173" s="283">
        <v>0.5</v>
      </c>
      <c r="AB173" s="283">
        <v>0.5</v>
      </c>
      <c r="AC173" s="283">
        <v>0.5</v>
      </c>
      <c r="AD173" s="284"/>
      <c r="AE173" s="284">
        <v>0.5</v>
      </c>
      <c r="AF173" s="284">
        <v>0.5</v>
      </c>
      <c r="AG173" s="284">
        <v>0.5</v>
      </c>
      <c r="AH173" s="12"/>
      <c r="AI173" s="12"/>
      <c r="AJ173" s="12"/>
    </row>
    <row r="174" spans="1:36" ht="12.75" hidden="1" customHeight="1" outlineLevel="1" collapsed="1">
      <c r="A174" s="12"/>
      <c r="B174" s="12"/>
      <c r="C174" s="108" t="s">
        <v>252</v>
      </c>
      <c r="D174" s="12"/>
      <c r="E174" s="12"/>
      <c r="F174" s="278"/>
      <c r="G174" s="278"/>
      <c r="H174" s="278"/>
      <c r="I174" s="278"/>
      <c r="J174" s="279"/>
      <c r="K174" s="278"/>
      <c r="L174" s="278"/>
      <c r="M174" s="278"/>
      <c r="N174" s="278"/>
      <c r="O174" s="279"/>
      <c r="P174" s="278"/>
      <c r="Q174" s="278"/>
      <c r="R174" s="278"/>
      <c r="S174" s="278"/>
      <c r="T174" s="279"/>
      <c r="U174" s="278"/>
      <c r="V174" s="278"/>
      <c r="W174" s="278"/>
      <c r="X174" s="283">
        <v>0.75</v>
      </c>
      <c r="Y174" s="284"/>
      <c r="Z174" s="283">
        <v>0.75</v>
      </c>
      <c r="AA174" s="283">
        <v>0.75</v>
      </c>
      <c r="AB174" s="283">
        <v>0.75</v>
      </c>
      <c r="AC174" s="283">
        <v>0.75</v>
      </c>
      <c r="AD174" s="284"/>
      <c r="AE174" s="284">
        <v>0.75</v>
      </c>
      <c r="AF174" s="284">
        <v>0.75</v>
      </c>
      <c r="AG174" s="284">
        <v>0.75</v>
      </c>
      <c r="AH174" s="12"/>
      <c r="AI174" s="12"/>
      <c r="AJ174" s="12"/>
    </row>
    <row r="175" spans="1:36" ht="12.75" hidden="1" customHeight="1" outlineLevel="1" collapsed="1">
      <c r="A175" s="12"/>
      <c r="B175" s="12"/>
      <c r="C175" s="108" t="s">
        <v>253</v>
      </c>
      <c r="D175" s="12"/>
      <c r="E175" s="12"/>
      <c r="F175" s="278"/>
      <c r="G175" s="278"/>
      <c r="H175" s="278"/>
      <c r="I175" s="278"/>
      <c r="J175" s="279"/>
      <c r="K175" s="278"/>
      <c r="L175" s="278"/>
      <c r="M175" s="278"/>
      <c r="N175" s="278"/>
      <c r="O175" s="279"/>
      <c r="P175" s="278"/>
      <c r="Q175" s="278"/>
      <c r="R175" s="278"/>
      <c r="S175" s="278"/>
      <c r="T175" s="279"/>
      <c r="U175" s="278"/>
      <c r="V175" s="278"/>
      <c r="W175" s="278"/>
      <c r="X175" s="283">
        <v>1</v>
      </c>
      <c r="Y175" s="284"/>
      <c r="Z175" s="283">
        <v>1</v>
      </c>
      <c r="AA175" s="283">
        <v>1</v>
      </c>
      <c r="AB175" s="283">
        <v>1</v>
      </c>
      <c r="AC175" s="283">
        <v>1</v>
      </c>
      <c r="AD175" s="284"/>
      <c r="AE175" s="284">
        <v>1</v>
      </c>
      <c r="AF175" s="284">
        <v>1</v>
      </c>
      <c r="AG175" s="284">
        <v>1</v>
      </c>
      <c r="AH175" s="12"/>
      <c r="AI175" s="12"/>
      <c r="AJ175" s="12"/>
    </row>
    <row r="176" spans="1:36" ht="12.75" hidden="1" customHeight="1" outlineLevel="1" collapsed="1">
      <c r="A176" s="12"/>
      <c r="B176" s="12"/>
      <c r="C176" s="12"/>
      <c r="D176" s="12"/>
      <c r="E176" s="12"/>
      <c r="F176" s="265"/>
      <c r="G176" s="265"/>
      <c r="H176" s="265"/>
      <c r="I176" s="265"/>
      <c r="J176" s="137"/>
      <c r="K176" s="265"/>
      <c r="L176" s="265"/>
      <c r="M176" s="265"/>
      <c r="N176" s="265"/>
      <c r="O176" s="137"/>
      <c r="P176" s="265"/>
      <c r="Q176" s="265"/>
      <c r="R176" s="265"/>
      <c r="S176" s="265"/>
      <c r="T176" s="137"/>
      <c r="U176" s="265"/>
      <c r="V176" s="265"/>
      <c r="W176" s="265"/>
      <c r="X176" s="266"/>
      <c r="Y176" s="267"/>
      <c r="Z176" s="266"/>
      <c r="AA176" s="266"/>
      <c r="AB176" s="266"/>
      <c r="AC176" s="266"/>
      <c r="AD176" s="267"/>
      <c r="AE176" s="267"/>
      <c r="AF176" s="267"/>
      <c r="AG176" s="267"/>
      <c r="AH176" s="12"/>
      <c r="AI176" s="12"/>
      <c r="AJ176" s="12"/>
    </row>
    <row r="177" spans="1:36" ht="12.75" hidden="1" customHeight="1" outlineLevel="1" collapsed="1">
      <c r="A177" s="211" t="s">
        <v>1</v>
      </c>
      <c r="B177" s="12"/>
      <c r="C177" s="108" t="str">
        <f>C35</f>
        <v>Segment 2 Revenue</v>
      </c>
      <c r="D177" s="12"/>
      <c r="E177" s="12"/>
      <c r="F177" s="263">
        <f t="shared" ref="F177:W177" si="181">F35</f>
        <v>0</v>
      </c>
      <c r="G177" s="263">
        <f t="shared" si="181"/>
        <v>0</v>
      </c>
      <c r="H177" s="263">
        <f t="shared" si="181"/>
        <v>0</v>
      </c>
      <c r="I177" s="263">
        <f t="shared" si="181"/>
        <v>0</v>
      </c>
      <c r="J177" s="233">
        <f t="shared" si="181"/>
        <v>0</v>
      </c>
      <c r="K177" s="263">
        <f t="shared" si="181"/>
        <v>0</v>
      </c>
      <c r="L177" s="263">
        <f t="shared" si="181"/>
        <v>0</v>
      </c>
      <c r="M177" s="263">
        <f t="shared" si="181"/>
        <v>0</v>
      </c>
      <c r="N177" s="263">
        <f t="shared" si="181"/>
        <v>0</v>
      </c>
      <c r="O177" s="233">
        <f t="shared" si="181"/>
        <v>0</v>
      </c>
      <c r="P177" s="263">
        <f t="shared" si="181"/>
        <v>0</v>
      </c>
      <c r="Q177" s="263">
        <f t="shared" si="181"/>
        <v>0</v>
      </c>
      <c r="R177" s="263">
        <f t="shared" si="181"/>
        <v>0</v>
      </c>
      <c r="S177" s="263">
        <f t="shared" si="181"/>
        <v>0</v>
      </c>
      <c r="T177" s="233">
        <f t="shared" si="181"/>
        <v>0</v>
      </c>
      <c r="U177" s="263">
        <f t="shared" si="181"/>
        <v>0</v>
      </c>
      <c r="V177" s="263">
        <f t="shared" si="181"/>
        <v>0</v>
      </c>
      <c r="W177" s="263">
        <f t="shared" si="181"/>
        <v>0</v>
      </c>
      <c r="X177" s="232">
        <f>X179/X184</f>
        <v>-2233.5600000000004</v>
      </c>
      <c r="Y177" s="233">
        <f>SUM(U177:X177)</f>
        <v>-2233.5600000000004</v>
      </c>
      <c r="Z177" s="232">
        <f t="shared" ref="Z177:AC177" si="182">Z179/Z184</f>
        <v>-2345.2380000000003</v>
      </c>
      <c r="AA177" s="232">
        <f t="shared" si="182"/>
        <v>-2462.4999000000007</v>
      </c>
      <c r="AB177" s="232">
        <f t="shared" si="182"/>
        <v>-2585.6248950000008</v>
      </c>
      <c r="AC177" s="232">
        <f t="shared" si="182"/>
        <v>-2714.9061397500009</v>
      </c>
      <c r="AD177" s="233">
        <f>SUM(Z177:AC177)</f>
        <v>-10108.268934750002</v>
      </c>
      <c r="AE177" s="233">
        <f t="shared" ref="AE177:AG177" si="183">AE179/AE184</f>
        <v>-10613.682381487506</v>
      </c>
      <c r="AF177" s="233">
        <f t="shared" si="183"/>
        <v>-11144.36650056188</v>
      </c>
      <c r="AG177" s="233">
        <f t="shared" si="183"/>
        <v>-11701.584825589975</v>
      </c>
      <c r="AH177" s="12"/>
      <c r="AI177" s="12"/>
      <c r="AJ177" s="12"/>
    </row>
    <row r="178" spans="1:36" ht="12.75" hidden="1" customHeight="1" outlineLevel="1" collapsed="1">
      <c r="A178" s="12"/>
      <c r="B178" s="12"/>
      <c r="C178" s="108" t="s">
        <v>244</v>
      </c>
      <c r="D178" s="12"/>
      <c r="E178" s="12"/>
      <c r="F178" s="271">
        <f>422982+632</f>
        <v>423614</v>
      </c>
      <c r="G178" s="271">
        <f>416576+282</f>
        <v>416858</v>
      </c>
      <c r="H178" s="271">
        <f>408756+219</f>
        <v>408975</v>
      </c>
      <c r="I178" s="271">
        <f>416198+160</f>
        <v>416358</v>
      </c>
      <c r="J178" s="272">
        <f>431408+216+J179-J177</f>
        <v>416358</v>
      </c>
      <c r="K178" s="271">
        <f>415086+1810</f>
        <v>416896</v>
      </c>
      <c r="L178" s="271">
        <f>423446+376</f>
        <v>423822</v>
      </c>
      <c r="M178" s="271">
        <v>412185</v>
      </c>
      <c r="N178" s="271">
        <v>421345</v>
      </c>
      <c r="O178" s="272">
        <f>J178+O179-O177</f>
        <v>421345</v>
      </c>
      <c r="P178" s="271">
        <v>415377</v>
      </c>
      <c r="Q178" s="271">
        <v>415723</v>
      </c>
      <c r="R178" s="271">
        <v>413064</v>
      </c>
      <c r="S178" s="271">
        <v>412307</v>
      </c>
      <c r="T178" s="272">
        <f>O178+T179-T177</f>
        <v>412307</v>
      </c>
      <c r="U178" s="271">
        <v>415377</v>
      </c>
      <c r="V178" s="271">
        <v>415723</v>
      </c>
      <c r="W178" s="271">
        <v>413064</v>
      </c>
      <c r="X178" s="273">
        <f>W178+X179-X177</f>
        <v>412505.61</v>
      </c>
      <c r="Y178" s="272">
        <f>T178+Y179-Y177</f>
        <v>412505.61</v>
      </c>
      <c r="Z178" s="273">
        <f>X178+Z179-Z177</f>
        <v>411919.30050000001</v>
      </c>
      <c r="AA178" s="273">
        <f t="shared" ref="AA178:AC178" si="184">Z178+AA179-AA177</f>
        <v>411303.67552500003</v>
      </c>
      <c r="AB178" s="273">
        <f t="shared" si="184"/>
        <v>410657.26930125005</v>
      </c>
      <c r="AC178" s="273">
        <f t="shared" si="184"/>
        <v>409978.54276631254</v>
      </c>
      <c r="AD178" s="272">
        <f>Y178+AD179-AD177</f>
        <v>409978.54276631249</v>
      </c>
      <c r="AE178" s="272">
        <f t="shared" ref="AE178:AG178" si="185">AD178+AE179-AE177</f>
        <v>407325.12217094062</v>
      </c>
      <c r="AF178" s="272">
        <f t="shared" si="185"/>
        <v>404539.03054580017</v>
      </c>
      <c r="AG178" s="272">
        <f t="shared" si="185"/>
        <v>401613.63433940266</v>
      </c>
      <c r="AH178" s="12"/>
      <c r="AI178" s="12"/>
      <c r="AJ178" s="12"/>
    </row>
    <row r="179" spans="1:36" ht="12.75" hidden="1" customHeight="1" outlineLevel="1" collapsed="1">
      <c r="A179" s="12"/>
      <c r="B179" s="12"/>
      <c r="C179" s="108" t="s">
        <v>259</v>
      </c>
      <c r="D179" s="12"/>
      <c r="E179" s="12"/>
      <c r="F179" s="271">
        <f>F178+F177-(431408+216)</f>
        <v>-8010</v>
      </c>
      <c r="G179" s="271">
        <f t="shared" ref="G179:I179" si="186">G178+G177-F178</f>
        <v>-6756</v>
      </c>
      <c r="H179" s="271">
        <f t="shared" si="186"/>
        <v>-7883</v>
      </c>
      <c r="I179" s="271">
        <f t="shared" si="186"/>
        <v>7383</v>
      </c>
      <c r="J179" s="272">
        <f>SUM(F179:I179)</f>
        <v>-15266</v>
      </c>
      <c r="K179" s="271">
        <f t="shared" ref="K179:N179" si="187">K178+K177-J178</f>
        <v>538</v>
      </c>
      <c r="L179" s="271">
        <f t="shared" si="187"/>
        <v>6926</v>
      </c>
      <c r="M179" s="271">
        <f t="shared" si="187"/>
        <v>-11637</v>
      </c>
      <c r="N179" s="271">
        <f t="shared" si="187"/>
        <v>9160</v>
      </c>
      <c r="O179" s="272">
        <f>SUM(K179:N179)</f>
        <v>4987</v>
      </c>
      <c r="P179" s="271">
        <f t="shared" ref="P179:S179" si="188">P178+P177-O178</f>
        <v>-5968</v>
      </c>
      <c r="Q179" s="271">
        <f t="shared" si="188"/>
        <v>346</v>
      </c>
      <c r="R179" s="271">
        <f t="shared" si="188"/>
        <v>-2659</v>
      </c>
      <c r="S179" s="271">
        <f t="shared" si="188"/>
        <v>-757</v>
      </c>
      <c r="T179" s="272">
        <f>SUM(P179:S179)</f>
        <v>-9038</v>
      </c>
      <c r="U179" s="271">
        <f t="shared" ref="U179:W179" si="189">U178+U177-T178</f>
        <v>3070</v>
      </c>
      <c r="V179" s="271">
        <f t="shared" si="189"/>
        <v>346</v>
      </c>
      <c r="W179" s="271">
        <f t="shared" si="189"/>
        <v>-2659</v>
      </c>
      <c r="X179" s="273">
        <f>W179*(1+X180)</f>
        <v>-2791.9500000000003</v>
      </c>
      <c r="Y179" s="272">
        <f>SUM(U179:X179)</f>
        <v>-2034.9500000000003</v>
      </c>
      <c r="Z179" s="273">
        <f>X179*(1+Z180)</f>
        <v>-2931.5475000000006</v>
      </c>
      <c r="AA179" s="273">
        <f t="shared" ref="AA179:AC179" si="190">Z179*(1+AA180)</f>
        <v>-3078.1248750000009</v>
      </c>
      <c r="AB179" s="273">
        <f t="shared" si="190"/>
        <v>-3232.031118750001</v>
      </c>
      <c r="AC179" s="273">
        <f t="shared" si="190"/>
        <v>-3393.6326746875011</v>
      </c>
      <c r="AD179" s="272">
        <f>SUM(Z179:AC179)</f>
        <v>-12635.336168437505</v>
      </c>
      <c r="AE179" s="272">
        <f t="shared" ref="AE179:AG179" si="191">AD179*(1+AE180)</f>
        <v>-13267.102976859382</v>
      </c>
      <c r="AF179" s="272">
        <f t="shared" si="191"/>
        <v>-13930.458125702351</v>
      </c>
      <c r="AG179" s="272">
        <f t="shared" si="191"/>
        <v>-14626.981031987469</v>
      </c>
      <c r="AH179" s="12"/>
      <c r="AI179" s="12"/>
      <c r="AJ179" s="12"/>
    </row>
    <row r="180" spans="1:36" ht="12.75" hidden="1" customHeight="1" outlineLevel="1" collapsed="1">
      <c r="A180" s="12"/>
      <c r="B180" s="12"/>
      <c r="C180" s="89" t="s">
        <v>260</v>
      </c>
      <c r="D180" s="12"/>
      <c r="E180" s="12"/>
      <c r="F180" s="265"/>
      <c r="G180" s="264">
        <f t="shared" ref="G180:I180" si="192">IFERROR(G179/F179-1,"--")</f>
        <v>-0.15655430711610485</v>
      </c>
      <c r="H180" s="264">
        <f t="shared" si="192"/>
        <v>0.16681468324452342</v>
      </c>
      <c r="I180" s="264">
        <f t="shared" si="192"/>
        <v>-1.9365723709247749</v>
      </c>
      <c r="J180" s="137"/>
      <c r="K180" s="264">
        <f>IFERROR(K179/I179-1,"--")</f>
        <v>-0.92712989299742654</v>
      </c>
      <c r="L180" s="264">
        <f t="shared" ref="L180:N180" si="193">IFERROR(L179/K179-1,"--")</f>
        <v>11.87360594795539</v>
      </c>
      <c r="M180" s="264">
        <f t="shared" si="193"/>
        <v>-2.6801905861969391</v>
      </c>
      <c r="N180" s="264">
        <f t="shared" si="193"/>
        <v>-1.7871444530377245</v>
      </c>
      <c r="O180" s="252">
        <f>IFERROR(O179/J179-1,"--")</f>
        <v>-1.3266736538713482</v>
      </c>
      <c r="P180" s="264">
        <f>IFERROR(P179/N179-1,"--")</f>
        <v>-1.6515283842794761</v>
      </c>
      <c r="Q180" s="264">
        <f t="shared" ref="Q180:S180" si="194">IFERROR(Q179/P179-1,"--")</f>
        <v>-1.0579758713136729</v>
      </c>
      <c r="R180" s="264">
        <f t="shared" si="194"/>
        <v>-8.6849710982658959</v>
      </c>
      <c r="S180" s="264">
        <f t="shared" si="194"/>
        <v>-0.71530650620534031</v>
      </c>
      <c r="T180" s="252">
        <f>IFERROR(T179/O179-1,"--")</f>
        <v>-2.8123120112291957</v>
      </c>
      <c r="U180" s="264">
        <f>IFERROR(U179/S179-1,"--")</f>
        <v>-5.0554821664464997</v>
      </c>
      <c r="V180" s="264">
        <f t="shared" ref="V180:W180" si="195">IFERROR(V179/U179-1,"--")</f>
        <v>-0.88729641693811079</v>
      </c>
      <c r="W180" s="264">
        <f t="shared" si="195"/>
        <v>-8.6849710982658959</v>
      </c>
      <c r="X180" s="251">
        <f>IF(Case_Scenario="Bull",X181,IF(Case_Scenario="Base",X182,IF(Case_Scenario="bear",X183,"N/A")))</f>
        <v>0.05</v>
      </c>
      <c r="Y180" s="252"/>
      <c r="Z180" s="251">
        <f>IF(Case_Scenario="Bull",Z181,IF(Case_Scenario="Base",Z182,IF(Case_Scenario="bear",Z183,"N/A")))</f>
        <v>0.05</v>
      </c>
      <c r="AA180" s="251">
        <f>IF(Case_Scenario="Bull",AA181,IF(Case_Scenario="Base",AA182,IF(Case_Scenario="bear",AA183,"N/A")))</f>
        <v>0.05</v>
      </c>
      <c r="AB180" s="251">
        <f>IF(Case_Scenario="Bull",AB181,IF(Case_Scenario="Base",AB182,IF(Case_Scenario="bear",AB183,"N/A")))</f>
        <v>0.05</v>
      </c>
      <c r="AC180" s="251">
        <f>IF(Case_Scenario="Bull",AC181,IF(Case_Scenario="Base",AC182,IF(Case_Scenario="bear",AC183,"N/A")))</f>
        <v>0.05</v>
      </c>
      <c r="AD180" s="252"/>
      <c r="AE180" s="252">
        <f>IF(Case_Scenario="Bull",AE181,IF(Case_Scenario="Base",AE182,IF(Case_Scenario="bear",AE183,"N/A")))</f>
        <v>0.05</v>
      </c>
      <c r="AF180" s="252">
        <f>IF(Case_Scenario="Bull",AF181,IF(Case_Scenario="Base",AF182,IF(Case_Scenario="bear",AF183,"N/A")))</f>
        <v>0.05</v>
      </c>
      <c r="AG180" s="252">
        <f>IF(Case_Scenario="Bull",AG181,IF(Case_Scenario="Base",AG182,IF(Case_Scenario="bear",AG183,"N/A")))</f>
        <v>0.05</v>
      </c>
      <c r="AH180" s="12"/>
      <c r="AI180" s="12"/>
      <c r="AJ180" s="12"/>
    </row>
    <row r="181" spans="1:36" ht="12.75" hidden="1" customHeight="1" outlineLevel="1" collapsed="1">
      <c r="A181" s="12"/>
      <c r="B181" s="12"/>
      <c r="C181" s="108" t="s">
        <v>251</v>
      </c>
      <c r="D181" s="12"/>
      <c r="E181" s="12"/>
      <c r="F181" s="265"/>
      <c r="G181" s="265"/>
      <c r="H181" s="265"/>
      <c r="I181" s="265"/>
      <c r="J181" s="137"/>
      <c r="K181" s="265"/>
      <c r="L181" s="265"/>
      <c r="M181" s="265"/>
      <c r="N181" s="265"/>
      <c r="O181" s="137"/>
      <c r="P181" s="265"/>
      <c r="Q181" s="265"/>
      <c r="R181" s="265"/>
      <c r="S181" s="265"/>
      <c r="T181" s="137"/>
      <c r="U181" s="265"/>
      <c r="V181" s="265"/>
      <c r="W181" s="265"/>
      <c r="X181" s="266">
        <v>0.1</v>
      </c>
      <c r="Y181" s="267"/>
      <c r="Z181" s="266">
        <v>0.1</v>
      </c>
      <c r="AA181" s="266">
        <v>0.1</v>
      </c>
      <c r="AB181" s="266">
        <v>0.1</v>
      </c>
      <c r="AC181" s="266">
        <v>0.1</v>
      </c>
      <c r="AD181" s="267"/>
      <c r="AE181" s="267">
        <v>0.1</v>
      </c>
      <c r="AF181" s="267">
        <v>0.1</v>
      </c>
      <c r="AG181" s="267">
        <v>0.1</v>
      </c>
      <c r="AH181" s="12"/>
      <c r="AI181" s="12"/>
      <c r="AJ181" s="12"/>
    </row>
    <row r="182" spans="1:36" ht="12.75" hidden="1" customHeight="1" outlineLevel="1" collapsed="1">
      <c r="A182" s="12"/>
      <c r="B182" s="12"/>
      <c r="C182" s="108" t="s">
        <v>252</v>
      </c>
      <c r="D182" s="12"/>
      <c r="E182" s="12"/>
      <c r="F182" s="265"/>
      <c r="G182" s="265"/>
      <c r="H182" s="265"/>
      <c r="I182" s="265"/>
      <c r="J182" s="137"/>
      <c r="K182" s="265"/>
      <c r="L182" s="265"/>
      <c r="M182" s="265"/>
      <c r="N182" s="265"/>
      <c r="O182" s="137"/>
      <c r="P182" s="265"/>
      <c r="Q182" s="265"/>
      <c r="R182" s="265"/>
      <c r="S182" s="265"/>
      <c r="T182" s="137"/>
      <c r="U182" s="265"/>
      <c r="V182" s="265"/>
      <c r="W182" s="265"/>
      <c r="X182" s="266">
        <v>0.05</v>
      </c>
      <c r="Y182" s="267"/>
      <c r="Z182" s="266">
        <v>0.05</v>
      </c>
      <c r="AA182" s="266">
        <v>0.05</v>
      </c>
      <c r="AB182" s="266">
        <v>0.05</v>
      </c>
      <c r="AC182" s="266">
        <v>0.05</v>
      </c>
      <c r="AD182" s="267"/>
      <c r="AE182" s="267">
        <v>0.05</v>
      </c>
      <c r="AF182" s="267">
        <v>0.05</v>
      </c>
      <c r="AG182" s="267">
        <v>0.05</v>
      </c>
      <c r="AH182" s="12"/>
      <c r="AI182" s="12"/>
      <c r="AJ182" s="12"/>
    </row>
    <row r="183" spans="1:36" ht="12.75" hidden="1" customHeight="1" outlineLevel="1" collapsed="1">
      <c r="A183" s="12"/>
      <c r="B183" s="12"/>
      <c r="C183" s="108" t="s">
        <v>253</v>
      </c>
      <c r="D183" s="12"/>
      <c r="E183" s="12"/>
      <c r="F183" s="265"/>
      <c r="G183" s="265"/>
      <c r="H183" s="265"/>
      <c r="I183" s="265"/>
      <c r="J183" s="137"/>
      <c r="K183" s="265"/>
      <c r="L183" s="265"/>
      <c r="M183" s="265"/>
      <c r="N183" s="265"/>
      <c r="O183" s="137"/>
      <c r="P183" s="265"/>
      <c r="Q183" s="265"/>
      <c r="R183" s="265"/>
      <c r="S183" s="265"/>
      <c r="T183" s="137"/>
      <c r="U183" s="265"/>
      <c r="V183" s="265"/>
      <c r="W183" s="265"/>
      <c r="X183" s="266">
        <v>0</v>
      </c>
      <c r="Y183" s="267"/>
      <c r="Z183" s="266">
        <v>0</v>
      </c>
      <c r="AA183" s="266">
        <v>0</v>
      </c>
      <c r="AB183" s="266">
        <v>0</v>
      </c>
      <c r="AC183" s="266">
        <v>0</v>
      </c>
      <c r="AD183" s="267"/>
      <c r="AE183" s="267">
        <v>0</v>
      </c>
      <c r="AF183" s="267">
        <v>0</v>
      </c>
      <c r="AG183" s="267">
        <v>0</v>
      </c>
      <c r="AH183" s="12"/>
      <c r="AI183" s="12"/>
      <c r="AJ183" s="12"/>
    </row>
    <row r="184" spans="1:36" ht="12.75" hidden="1" customHeight="1" outlineLevel="1" collapsed="1">
      <c r="A184" s="12"/>
      <c r="B184" s="12"/>
      <c r="C184" s="108" t="s">
        <v>261</v>
      </c>
      <c r="D184" s="12"/>
      <c r="E184" s="12"/>
      <c r="F184" s="285" t="e">
        <f t="shared" ref="F184:W184" si="196">F179/F177</f>
        <v>#DIV/0!</v>
      </c>
      <c r="G184" s="285" t="e">
        <f t="shared" si="196"/>
        <v>#DIV/0!</v>
      </c>
      <c r="H184" s="285" t="e">
        <f t="shared" si="196"/>
        <v>#DIV/0!</v>
      </c>
      <c r="I184" s="285" t="e">
        <f t="shared" si="196"/>
        <v>#DIV/0!</v>
      </c>
      <c r="J184" s="286" t="e">
        <f t="shared" si="196"/>
        <v>#DIV/0!</v>
      </c>
      <c r="K184" s="285" t="e">
        <f t="shared" si="196"/>
        <v>#DIV/0!</v>
      </c>
      <c r="L184" s="285" t="e">
        <f t="shared" si="196"/>
        <v>#DIV/0!</v>
      </c>
      <c r="M184" s="285" t="e">
        <f t="shared" si="196"/>
        <v>#DIV/0!</v>
      </c>
      <c r="N184" s="285" t="e">
        <f t="shared" si="196"/>
        <v>#DIV/0!</v>
      </c>
      <c r="O184" s="286" t="e">
        <f t="shared" si="196"/>
        <v>#DIV/0!</v>
      </c>
      <c r="P184" s="285" t="e">
        <f t="shared" si="196"/>
        <v>#DIV/0!</v>
      </c>
      <c r="Q184" s="285" t="e">
        <f t="shared" si="196"/>
        <v>#DIV/0!</v>
      </c>
      <c r="R184" s="285" t="e">
        <f t="shared" si="196"/>
        <v>#DIV/0!</v>
      </c>
      <c r="S184" s="285" t="e">
        <f t="shared" si="196"/>
        <v>#DIV/0!</v>
      </c>
      <c r="T184" s="286" t="e">
        <f t="shared" si="196"/>
        <v>#DIV/0!</v>
      </c>
      <c r="U184" s="285" t="e">
        <f t="shared" si="196"/>
        <v>#DIV/0!</v>
      </c>
      <c r="V184" s="285" t="e">
        <f t="shared" si="196"/>
        <v>#DIV/0!</v>
      </c>
      <c r="W184" s="285" t="e">
        <f t="shared" si="196"/>
        <v>#DIV/0!</v>
      </c>
      <c r="X184" s="280">
        <f>IF(Case_Scenario="Bull",X185,IF(Case_Scenario="Base",X186,IF(Case_Scenario="bear",X187,"N/A")))</f>
        <v>1.25</v>
      </c>
      <c r="Y184" s="279" t="e">
        <f>AVERAGE(U184:X184)</f>
        <v>#DIV/0!</v>
      </c>
      <c r="Z184" s="280">
        <f>IF(Case_Scenario="Bull",Z185,IF(Case_Scenario="Base",Z186,IF(Case_Scenario="bear",Z187,"N/A")))</f>
        <v>1.25</v>
      </c>
      <c r="AA184" s="280">
        <f>IF(Case_Scenario="Bull",AA185,IF(Case_Scenario="Base",AA186,IF(Case_Scenario="bear",AA187,"N/A")))</f>
        <v>1.25</v>
      </c>
      <c r="AB184" s="280">
        <f>IF(Case_Scenario="Bull",AB185,IF(Case_Scenario="Base",AB186,IF(Case_Scenario="bear",AB187,"N/A")))</f>
        <v>1.25</v>
      </c>
      <c r="AC184" s="280">
        <f>IF(Case_Scenario="Bull",AC185,IF(Case_Scenario="Base",AC186,IF(Case_Scenario="bear",AC187,"N/A")))</f>
        <v>1.25</v>
      </c>
      <c r="AD184" s="279">
        <f>AVERAGE(Z184:AC184)</f>
        <v>1.25</v>
      </c>
      <c r="AE184" s="279">
        <f>IF(Case_Scenario="Bull",AE185,IF(Case_Scenario="Base",AE186,IF(Case_Scenario="bear",AE187,"N/A")))</f>
        <v>1.25</v>
      </c>
      <c r="AF184" s="279">
        <f>IF(Case_Scenario="Bull",AF185,IF(Case_Scenario="Base",AF186,IF(Case_Scenario="bear",AF187,"N/A")))</f>
        <v>1.25</v>
      </c>
      <c r="AG184" s="279">
        <f>IF(Case_Scenario="Bull",AG185,IF(Case_Scenario="Base",AG186,IF(Case_Scenario="bear",AG187,"N/A")))</f>
        <v>1.25</v>
      </c>
      <c r="AH184" s="12"/>
      <c r="AI184" s="12"/>
      <c r="AJ184" s="12"/>
    </row>
    <row r="185" spans="1:36" ht="12.75" hidden="1" customHeight="1" outlineLevel="1" collapsed="1">
      <c r="A185" s="12"/>
      <c r="B185" s="12"/>
      <c r="C185" s="108" t="s">
        <v>251</v>
      </c>
      <c r="D185" s="12"/>
      <c r="E185" s="12"/>
      <c r="F185" s="265"/>
      <c r="G185" s="264"/>
      <c r="H185" s="264"/>
      <c r="I185" s="264"/>
      <c r="J185" s="137"/>
      <c r="K185" s="264"/>
      <c r="L185" s="264"/>
      <c r="M185" s="264"/>
      <c r="N185" s="264"/>
      <c r="O185" s="252"/>
      <c r="P185" s="264"/>
      <c r="Q185" s="264"/>
      <c r="R185" s="264"/>
      <c r="S185" s="264"/>
      <c r="T185" s="252"/>
      <c r="U185" s="264"/>
      <c r="V185" s="264"/>
      <c r="W185" s="264"/>
      <c r="X185" s="283">
        <v>1</v>
      </c>
      <c r="Y185" s="284"/>
      <c r="Z185" s="283">
        <v>1</v>
      </c>
      <c r="AA185" s="283">
        <v>1</v>
      </c>
      <c r="AB185" s="283">
        <v>1</v>
      </c>
      <c r="AC185" s="283">
        <v>1</v>
      </c>
      <c r="AD185" s="284"/>
      <c r="AE185" s="284">
        <v>1</v>
      </c>
      <c r="AF185" s="284">
        <v>1</v>
      </c>
      <c r="AG185" s="284">
        <v>1</v>
      </c>
      <c r="AH185" s="12"/>
      <c r="AI185" s="12"/>
      <c r="AJ185" s="12"/>
    </row>
    <row r="186" spans="1:36" ht="12.75" hidden="1" customHeight="1" outlineLevel="1" collapsed="1">
      <c r="A186" s="12"/>
      <c r="B186" s="12"/>
      <c r="C186" s="108" t="s">
        <v>252</v>
      </c>
      <c r="D186" s="12"/>
      <c r="E186" s="12"/>
      <c r="F186" s="265"/>
      <c r="G186" s="265"/>
      <c r="H186" s="265"/>
      <c r="I186" s="265"/>
      <c r="J186" s="137"/>
      <c r="K186" s="265"/>
      <c r="L186" s="265"/>
      <c r="M186" s="265"/>
      <c r="N186" s="265"/>
      <c r="O186" s="137"/>
      <c r="P186" s="265"/>
      <c r="Q186" s="265"/>
      <c r="R186" s="265"/>
      <c r="S186" s="265"/>
      <c r="T186" s="137"/>
      <c r="U186" s="265"/>
      <c r="V186" s="265"/>
      <c r="W186" s="265"/>
      <c r="X186" s="283">
        <v>1.25</v>
      </c>
      <c r="Y186" s="284"/>
      <c r="Z186" s="283">
        <v>1.25</v>
      </c>
      <c r="AA186" s="283">
        <v>1.25</v>
      </c>
      <c r="AB186" s="283">
        <v>1.25</v>
      </c>
      <c r="AC186" s="283">
        <v>1.25</v>
      </c>
      <c r="AD186" s="284"/>
      <c r="AE186" s="284">
        <v>1.25</v>
      </c>
      <c r="AF186" s="284">
        <v>1.25</v>
      </c>
      <c r="AG186" s="284">
        <v>1.25</v>
      </c>
      <c r="AH186" s="12"/>
      <c r="AI186" s="12"/>
      <c r="AJ186" s="12"/>
    </row>
    <row r="187" spans="1:36" ht="12.75" hidden="1" customHeight="1" outlineLevel="1" collapsed="1">
      <c r="A187" s="12"/>
      <c r="B187" s="12"/>
      <c r="C187" s="108" t="s">
        <v>253</v>
      </c>
      <c r="D187" s="12"/>
      <c r="E187" s="12"/>
      <c r="F187" s="265"/>
      <c r="G187" s="265"/>
      <c r="H187" s="265"/>
      <c r="I187" s="265"/>
      <c r="J187" s="137"/>
      <c r="K187" s="265"/>
      <c r="L187" s="265"/>
      <c r="M187" s="265"/>
      <c r="N187" s="265"/>
      <c r="O187" s="137"/>
      <c r="P187" s="265"/>
      <c r="Q187" s="265"/>
      <c r="R187" s="265"/>
      <c r="S187" s="265"/>
      <c r="T187" s="137"/>
      <c r="U187" s="265"/>
      <c r="V187" s="265"/>
      <c r="W187" s="265"/>
      <c r="X187" s="283">
        <v>1.5</v>
      </c>
      <c r="Y187" s="284"/>
      <c r="Z187" s="283">
        <v>1.5</v>
      </c>
      <c r="AA187" s="283">
        <v>1.5</v>
      </c>
      <c r="AB187" s="283">
        <v>1.5</v>
      </c>
      <c r="AC187" s="283">
        <v>1.5</v>
      </c>
      <c r="AD187" s="284"/>
      <c r="AE187" s="284">
        <v>1.5</v>
      </c>
      <c r="AF187" s="284">
        <v>1.5</v>
      </c>
      <c r="AG187" s="284">
        <v>1.5</v>
      </c>
      <c r="AH187" s="12"/>
      <c r="AI187" s="12"/>
      <c r="AJ187" s="12"/>
    </row>
    <row r="188" spans="1:36" ht="12.75" hidden="1" customHeight="1" outlineLevel="1" collapsed="1">
      <c r="A188" s="12"/>
      <c r="B188" s="12"/>
      <c r="C188" s="12"/>
      <c r="D188" s="12"/>
      <c r="E188" s="12"/>
      <c r="F188" s="265"/>
      <c r="G188" s="265"/>
      <c r="H188" s="265"/>
      <c r="I188" s="265"/>
      <c r="J188" s="137"/>
      <c r="K188" s="265"/>
      <c r="L188" s="265"/>
      <c r="M188" s="265"/>
      <c r="N188" s="265"/>
      <c r="O188" s="137"/>
      <c r="P188" s="265"/>
      <c r="Q188" s="265"/>
      <c r="R188" s="265"/>
      <c r="S188" s="265"/>
      <c r="T188" s="137"/>
      <c r="U188" s="265"/>
      <c r="V188" s="265"/>
      <c r="W188" s="265"/>
      <c r="X188" s="266"/>
      <c r="Y188" s="267"/>
      <c r="Z188" s="266"/>
      <c r="AA188" s="266"/>
      <c r="AB188" s="266"/>
      <c r="AC188" s="266"/>
      <c r="AD188" s="267"/>
      <c r="AE188" s="267"/>
      <c r="AF188" s="267"/>
      <c r="AG188" s="267"/>
      <c r="AH188" s="12"/>
      <c r="AI188" s="12"/>
      <c r="AJ188" s="12"/>
    </row>
    <row r="189" spans="1:36" ht="12.75" hidden="1" customHeight="1" outlineLevel="1" collapsed="1">
      <c r="A189" s="211" t="s">
        <v>1</v>
      </c>
      <c r="B189" s="12"/>
      <c r="C189" s="108" t="str">
        <f>C38</f>
        <v>Segment 3 Revenue</v>
      </c>
      <c r="D189" s="12"/>
      <c r="E189" s="12"/>
      <c r="F189" s="263">
        <f t="shared" ref="F189:W189" si="197">F55</f>
        <v>0</v>
      </c>
      <c r="G189" s="263">
        <f t="shared" si="197"/>
        <v>0</v>
      </c>
      <c r="H189" s="263">
        <f t="shared" si="197"/>
        <v>0</v>
      </c>
      <c r="I189" s="263">
        <f t="shared" si="197"/>
        <v>0</v>
      </c>
      <c r="J189" s="233">
        <f t="shared" si="197"/>
        <v>0</v>
      </c>
      <c r="K189" s="263">
        <f t="shared" si="197"/>
        <v>0</v>
      </c>
      <c r="L189" s="263">
        <f t="shared" si="197"/>
        <v>0</v>
      </c>
      <c r="M189" s="263">
        <f t="shared" si="197"/>
        <v>0</v>
      </c>
      <c r="N189" s="263">
        <f t="shared" si="197"/>
        <v>0</v>
      </c>
      <c r="O189" s="233">
        <f t="shared" si="197"/>
        <v>0</v>
      </c>
      <c r="P189" s="263">
        <f t="shared" si="197"/>
        <v>0</v>
      </c>
      <c r="Q189" s="263">
        <f t="shared" si="197"/>
        <v>0</v>
      </c>
      <c r="R189" s="263">
        <f t="shared" si="197"/>
        <v>0</v>
      </c>
      <c r="S189" s="263">
        <f t="shared" si="197"/>
        <v>0</v>
      </c>
      <c r="T189" s="233">
        <f t="shared" si="197"/>
        <v>0</v>
      </c>
      <c r="U189" s="263">
        <f t="shared" si="197"/>
        <v>0</v>
      </c>
      <c r="V189" s="263">
        <f t="shared" si="197"/>
        <v>0</v>
      </c>
      <c r="W189" s="263">
        <f t="shared" si="197"/>
        <v>0</v>
      </c>
      <c r="X189" s="232">
        <f>X191/X196</f>
        <v>0</v>
      </c>
      <c r="Y189" s="233">
        <f>SUM(U189:X189)</f>
        <v>0</v>
      </c>
      <c r="Z189" s="232">
        <f t="shared" ref="Z189:AC189" si="198">Z191/Z196</f>
        <v>0</v>
      </c>
      <c r="AA189" s="232">
        <f t="shared" si="198"/>
        <v>0</v>
      </c>
      <c r="AB189" s="232">
        <f t="shared" si="198"/>
        <v>0</v>
      </c>
      <c r="AC189" s="232">
        <f t="shared" si="198"/>
        <v>0</v>
      </c>
      <c r="AD189" s="233">
        <f>SUM(Z189:AC189)</f>
        <v>0</v>
      </c>
      <c r="AE189" s="233">
        <f t="shared" ref="AE189:AG189" si="199">AE191/AE196</f>
        <v>0</v>
      </c>
      <c r="AF189" s="233">
        <f t="shared" si="199"/>
        <v>0</v>
      </c>
      <c r="AG189" s="233">
        <f t="shared" si="199"/>
        <v>0</v>
      </c>
      <c r="AH189" s="12"/>
      <c r="AI189" s="12"/>
      <c r="AJ189" s="12"/>
    </row>
    <row r="190" spans="1:36" ht="12.75" hidden="1" customHeight="1" outlineLevel="1" collapsed="1">
      <c r="A190" s="12"/>
      <c r="B190" s="12"/>
      <c r="C190" s="108" t="s">
        <v>244</v>
      </c>
      <c r="D190" s="12"/>
      <c r="E190" s="12"/>
      <c r="F190" s="271">
        <v>0</v>
      </c>
      <c r="G190" s="271">
        <v>0</v>
      </c>
      <c r="H190" s="271">
        <v>0</v>
      </c>
      <c r="I190" s="271">
        <v>0</v>
      </c>
      <c r="J190" s="272">
        <v>0</v>
      </c>
      <c r="K190" s="271">
        <v>0</v>
      </c>
      <c r="L190" s="271">
        <v>0</v>
      </c>
      <c r="M190" s="271">
        <v>0</v>
      </c>
      <c r="N190" s="271">
        <v>0</v>
      </c>
      <c r="O190" s="272">
        <v>0</v>
      </c>
      <c r="P190" s="271">
        <v>0</v>
      </c>
      <c r="Q190" s="271">
        <v>0</v>
      </c>
      <c r="R190" s="271">
        <v>0</v>
      </c>
      <c r="S190" s="271">
        <v>0</v>
      </c>
      <c r="T190" s="272">
        <v>0</v>
      </c>
      <c r="U190" s="271">
        <v>0</v>
      </c>
      <c r="V190" s="271">
        <v>0</v>
      </c>
      <c r="W190" s="271">
        <v>0</v>
      </c>
      <c r="X190" s="273">
        <f>W190+X191-X189</f>
        <v>0</v>
      </c>
      <c r="Y190" s="272">
        <f>T190+Y191-Y189</f>
        <v>0</v>
      </c>
      <c r="Z190" s="273">
        <f>X190+Z191-Z189</f>
        <v>0</v>
      </c>
      <c r="AA190" s="273">
        <f t="shared" ref="AA190:AC190" si="200">Z190+AA191-AA189</f>
        <v>0</v>
      </c>
      <c r="AB190" s="273">
        <f t="shared" si="200"/>
        <v>0</v>
      </c>
      <c r="AC190" s="273">
        <f t="shared" si="200"/>
        <v>0</v>
      </c>
      <c r="AD190" s="272">
        <f>Y190+AD191-AD189</f>
        <v>0</v>
      </c>
      <c r="AE190" s="272">
        <f t="shared" ref="AE190:AG190" si="201">AD190+AE191-AE189</f>
        <v>0</v>
      </c>
      <c r="AF190" s="272">
        <f t="shared" si="201"/>
        <v>0</v>
      </c>
      <c r="AG190" s="272">
        <f t="shared" si="201"/>
        <v>0</v>
      </c>
      <c r="AH190" s="12"/>
      <c r="AI190" s="12"/>
      <c r="AJ190" s="12"/>
    </row>
    <row r="191" spans="1:36" ht="12.75" hidden="1" customHeight="1" outlineLevel="1" collapsed="1">
      <c r="A191" s="12"/>
      <c r="B191" s="12"/>
      <c r="C191" s="108" t="s">
        <v>259</v>
      </c>
      <c r="D191" s="12"/>
      <c r="E191" s="12"/>
      <c r="F191" s="271">
        <f>F190+F189-(0)</f>
        <v>0</v>
      </c>
      <c r="G191" s="271">
        <f t="shared" ref="G191:I191" si="202">G190+G189-F190</f>
        <v>0</v>
      </c>
      <c r="H191" s="271">
        <f t="shared" si="202"/>
        <v>0</v>
      </c>
      <c r="I191" s="271">
        <f t="shared" si="202"/>
        <v>0</v>
      </c>
      <c r="J191" s="272">
        <f>SUM(F191:I191)</f>
        <v>0</v>
      </c>
      <c r="K191" s="271">
        <f t="shared" ref="K191:N191" si="203">K190+K189-J190</f>
        <v>0</v>
      </c>
      <c r="L191" s="271">
        <f t="shared" si="203"/>
        <v>0</v>
      </c>
      <c r="M191" s="271">
        <f t="shared" si="203"/>
        <v>0</v>
      </c>
      <c r="N191" s="271">
        <f t="shared" si="203"/>
        <v>0</v>
      </c>
      <c r="O191" s="272">
        <f>SUM(K191:N191)</f>
        <v>0</v>
      </c>
      <c r="P191" s="271">
        <f t="shared" ref="P191:S191" si="204">P190+P189-O190</f>
        <v>0</v>
      </c>
      <c r="Q191" s="271">
        <f t="shared" si="204"/>
        <v>0</v>
      </c>
      <c r="R191" s="271">
        <f t="shared" si="204"/>
        <v>0</v>
      </c>
      <c r="S191" s="271">
        <f t="shared" si="204"/>
        <v>0</v>
      </c>
      <c r="T191" s="272">
        <f>SUM(P191:S191)</f>
        <v>0</v>
      </c>
      <c r="U191" s="271">
        <f t="shared" ref="U191:W191" si="205">U190+U189-T190</f>
        <v>0</v>
      </c>
      <c r="V191" s="271">
        <f t="shared" si="205"/>
        <v>0</v>
      </c>
      <c r="W191" s="271">
        <f t="shared" si="205"/>
        <v>0</v>
      </c>
      <c r="X191" s="273">
        <f>W191*(1+X192)</f>
        <v>0</v>
      </c>
      <c r="Y191" s="272">
        <f>SUM(U191:X191)</f>
        <v>0</v>
      </c>
      <c r="Z191" s="273">
        <f>X191*(1+Z192)</f>
        <v>0</v>
      </c>
      <c r="AA191" s="273">
        <f t="shared" ref="AA191:AC191" si="206">Z191*(1+AA192)</f>
        <v>0</v>
      </c>
      <c r="AB191" s="273">
        <f t="shared" si="206"/>
        <v>0</v>
      </c>
      <c r="AC191" s="273">
        <f t="shared" si="206"/>
        <v>0</v>
      </c>
      <c r="AD191" s="272">
        <f>SUM(Z191:AC191)</f>
        <v>0</v>
      </c>
      <c r="AE191" s="272">
        <f t="shared" ref="AE191:AG191" si="207">AD191*(1+AE192)</f>
        <v>0</v>
      </c>
      <c r="AF191" s="272">
        <f t="shared" si="207"/>
        <v>0</v>
      </c>
      <c r="AG191" s="272">
        <f t="shared" si="207"/>
        <v>0</v>
      </c>
      <c r="AH191" s="12"/>
      <c r="AI191" s="12"/>
      <c r="AJ191" s="12"/>
    </row>
    <row r="192" spans="1:36" ht="12.75" hidden="1" customHeight="1" outlineLevel="1" collapsed="1">
      <c r="A192" s="12"/>
      <c r="B192" s="12"/>
      <c r="C192" s="89" t="s">
        <v>260</v>
      </c>
      <c r="D192" s="12"/>
      <c r="E192" s="12"/>
      <c r="F192" s="265"/>
      <c r="G192" s="264" t="str">
        <f t="shared" ref="G192:I192" si="208">IFERROR(G191/F191-1,"--")</f>
        <v>--</v>
      </c>
      <c r="H192" s="264" t="str">
        <f t="shared" si="208"/>
        <v>--</v>
      </c>
      <c r="I192" s="264" t="str">
        <f t="shared" si="208"/>
        <v>--</v>
      </c>
      <c r="J192" s="137"/>
      <c r="K192" s="264" t="str">
        <f>IFERROR(K191/I191-1,"--")</f>
        <v>--</v>
      </c>
      <c r="L192" s="264" t="str">
        <f t="shared" ref="L192:N192" si="209">IFERROR(L191/K191-1,"--")</f>
        <v>--</v>
      </c>
      <c r="M192" s="264" t="str">
        <f t="shared" si="209"/>
        <v>--</v>
      </c>
      <c r="N192" s="264" t="str">
        <f t="shared" si="209"/>
        <v>--</v>
      </c>
      <c r="O192" s="252" t="str">
        <f>IFERROR(O191/J191-1,"--")</f>
        <v>--</v>
      </c>
      <c r="P192" s="264" t="str">
        <f>IFERROR(P191/N191-1,"--")</f>
        <v>--</v>
      </c>
      <c r="Q192" s="264" t="str">
        <f t="shared" ref="Q192:S192" si="210">IFERROR(Q191/P191-1,"--")</f>
        <v>--</v>
      </c>
      <c r="R192" s="264" t="str">
        <f t="shared" si="210"/>
        <v>--</v>
      </c>
      <c r="S192" s="264" t="str">
        <f t="shared" si="210"/>
        <v>--</v>
      </c>
      <c r="T192" s="252" t="str">
        <f>IFERROR(T191/O191-1,"--")</f>
        <v>--</v>
      </c>
      <c r="U192" s="264" t="str">
        <f>IFERROR(U191/S191-1,"--")</f>
        <v>--</v>
      </c>
      <c r="V192" s="264" t="str">
        <f t="shared" ref="V192:W192" si="211">IFERROR(V191/U191-1,"--")</f>
        <v>--</v>
      </c>
      <c r="W192" s="264" t="str">
        <f t="shared" si="211"/>
        <v>--</v>
      </c>
      <c r="X192" s="251">
        <f>IF(Case_Scenario="Bull",X193,IF(Case_Scenario="Base",X194,IF(Case_Scenario="bear",X195,"N/A")))</f>
        <v>0.05</v>
      </c>
      <c r="Y192" s="252"/>
      <c r="Z192" s="251">
        <f>IF(Case_Scenario="Bull",Z193,IF(Case_Scenario="Base",Z194,IF(Case_Scenario="bear",Z195,"N/A")))</f>
        <v>0.05</v>
      </c>
      <c r="AA192" s="251">
        <f>IF(Case_Scenario="Bull",AA193,IF(Case_Scenario="Base",AA194,IF(Case_Scenario="bear",AA195,"N/A")))</f>
        <v>0.05</v>
      </c>
      <c r="AB192" s="251">
        <f>IF(Case_Scenario="Bull",AB193,IF(Case_Scenario="Base",AB194,IF(Case_Scenario="bear",AB195,"N/A")))</f>
        <v>0.05</v>
      </c>
      <c r="AC192" s="251">
        <f>IF(Case_Scenario="Bull",AC193,IF(Case_Scenario="Base",AC194,IF(Case_Scenario="bear",AC195,"N/A")))</f>
        <v>0.05</v>
      </c>
      <c r="AD192" s="252"/>
      <c r="AE192" s="252">
        <f>IF(Case_Scenario="Bull",AE193,IF(Case_Scenario="Base",AE194,IF(Case_Scenario="bear",AE195,"N/A")))</f>
        <v>0.05</v>
      </c>
      <c r="AF192" s="252">
        <f>IF(Case_Scenario="Bull",AF193,IF(Case_Scenario="Base",AF194,IF(Case_Scenario="bear",AF195,"N/A")))</f>
        <v>0.05</v>
      </c>
      <c r="AG192" s="252">
        <f>IF(Case_Scenario="Bull",AG193,IF(Case_Scenario="Base",AG194,IF(Case_Scenario="bear",AG195,"N/A")))</f>
        <v>0.05</v>
      </c>
      <c r="AH192" s="12"/>
      <c r="AI192" s="12"/>
      <c r="AJ192" s="12"/>
    </row>
    <row r="193" spans="1:36" ht="12.75" hidden="1" customHeight="1" outlineLevel="1" collapsed="1">
      <c r="A193" s="12"/>
      <c r="B193" s="12"/>
      <c r="C193" s="108" t="s">
        <v>251</v>
      </c>
      <c r="D193" s="12"/>
      <c r="E193" s="12"/>
      <c r="F193" s="265"/>
      <c r="G193" s="265"/>
      <c r="H193" s="265"/>
      <c r="I193" s="265"/>
      <c r="J193" s="137"/>
      <c r="K193" s="265"/>
      <c r="L193" s="265"/>
      <c r="M193" s="265"/>
      <c r="N193" s="265"/>
      <c r="O193" s="137"/>
      <c r="P193" s="265"/>
      <c r="Q193" s="265"/>
      <c r="R193" s="265"/>
      <c r="S193" s="265"/>
      <c r="T193" s="137"/>
      <c r="U193" s="265"/>
      <c r="V193" s="265"/>
      <c r="W193" s="265"/>
      <c r="X193" s="266">
        <v>0.1</v>
      </c>
      <c r="Y193" s="267"/>
      <c r="Z193" s="266">
        <v>0.1</v>
      </c>
      <c r="AA193" s="266">
        <v>0.1</v>
      </c>
      <c r="AB193" s="266">
        <v>0.1</v>
      </c>
      <c r="AC193" s="266">
        <v>0.1</v>
      </c>
      <c r="AD193" s="267"/>
      <c r="AE193" s="267">
        <v>0.1</v>
      </c>
      <c r="AF193" s="267">
        <v>0.1</v>
      </c>
      <c r="AG193" s="267">
        <v>0.1</v>
      </c>
      <c r="AH193" s="12"/>
      <c r="AI193" s="12"/>
      <c r="AJ193" s="12"/>
    </row>
    <row r="194" spans="1:36" ht="12.75" hidden="1" customHeight="1" outlineLevel="1" collapsed="1">
      <c r="A194" s="12"/>
      <c r="B194" s="12"/>
      <c r="C194" s="108" t="s">
        <v>252</v>
      </c>
      <c r="D194" s="12"/>
      <c r="E194" s="12"/>
      <c r="F194" s="265"/>
      <c r="G194" s="265"/>
      <c r="H194" s="265"/>
      <c r="I194" s="265"/>
      <c r="J194" s="137"/>
      <c r="K194" s="265"/>
      <c r="L194" s="265"/>
      <c r="M194" s="265"/>
      <c r="N194" s="265"/>
      <c r="O194" s="137"/>
      <c r="P194" s="265"/>
      <c r="Q194" s="265"/>
      <c r="R194" s="265"/>
      <c r="S194" s="265"/>
      <c r="T194" s="137"/>
      <c r="U194" s="265"/>
      <c r="V194" s="265"/>
      <c r="W194" s="265"/>
      <c r="X194" s="266">
        <v>0.05</v>
      </c>
      <c r="Y194" s="267"/>
      <c r="Z194" s="266">
        <v>0.05</v>
      </c>
      <c r="AA194" s="266">
        <v>0.05</v>
      </c>
      <c r="AB194" s="266">
        <v>0.05</v>
      </c>
      <c r="AC194" s="266">
        <v>0.05</v>
      </c>
      <c r="AD194" s="267"/>
      <c r="AE194" s="267">
        <v>0.05</v>
      </c>
      <c r="AF194" s="267">
        <v>0.05</v>
      </c>
      <c r="AG194" s="267">
        <v>0.05</v>
      </c>
      <c r="AH194" s="12"/>
      <c r="AI194" s="12"/>
      <c r="AJ194" s="12"/>
    </row>
    <row r="195" spans="1:36" ht="12.75" hidden="1" customHeight="1" outlineLevel="1" collapsed="1">
      <c r="A195" s="12"/>
      <c r="B195" s="12"/>
      <c r="C195" s="108" t="s">
        <v>253</v>
      </c>
      <c r="D195" s="12"/>
      <c r="E195" s="12"/>
      <c r="F195" s="265"/>
      <c r="G195" s="265"/>
      <c r="H195" s="265"/>
      <c r="I195" s="265"/>
      <c r="J195" s="137"/>
      <c r="K195" s="265"/>
      <c r="L195" s="265"/>
      <c r="M195" s="265"/>
      <c r="N195" s="265"/>
      <c r="O195" s="137"/>
      <c r="P195" s="265"/>
      <c r="Q195" s="265"/>
      <c r="R195" s="265"/>
      <c r="S195" s="265"/>
      <c r="T195" s="137"/>
      <c r="U195" s="265"/>
      <c r="V195" s="265"/>
      <c r="W195" s="265"/>
      <c r="X195" s="266">
        <v>0</v>
      </c>
      <c r="Y195" s="267"/>
      <c r="Z195" s="266">
        <v>0</v>
      </c>
      <c r="AA195" s="266">
        <v>0</v>
      </c>
      <c r="AB195" s="266">
        <v>0</v>
      </c>
      <c r="AC195" s="266">
        <v>0</v>
      </c>
      <c r="AD195" s="267"/>
      <c r="AE195" s="267">
        <v>0</v>
      </c>
      <c r="AF195" s="267">
        <v>0</v>
      </c>
      <c r="AG195" s="267">
        <v>0</v>
      </c>
      <c r="AH195" s="12"/>
      <c r="AI195" s="12"/>
      <c r="AJ195" s="12"/>
    </row>
    <row r="196" spans="1:36" ht="12.75" hidden="1" customHeight="1" outlineLevel="1" collapsed="1">
      <c r="A196" s="12"/>
      <c r="B196" s="12"/>
      <c r="C196" s="108" t="s">
        <v>261</v>
      </c>
      <c r="D196" s="12"/>
      <c r="E196" s="12"/>
      <c r="F196" s="285" t="e">
        <f t="shared" ref="F196:W196" si="212">F191/F189</f>
        <v>#DIV/0!</v>
      </c>
      <c r="G196" s="285" t="e">
        <f t="shared" si="212"/>
        <v>#DIV/0!</v>
      </c>
      <c r="H196" s="285" t="e">
        <f t="shared" si="212"/>
        <v>#DIV/0!</v>
      </c>
      <c r="I196" s="285" t="e">
        <f t="shared" si="212"/>
        <v>#DIV/0!</v>
      </c>
      <c r="J196" s="286" t="e">
        <f t="shared" si="212"/>
        <v>#DIV/0!</v>
      </c>
      <c r="K196" s="285" t="e">
        <f t="shared" si="212"/>
        <v>#DIV/0!</v>
      </c>
      <c r="L196" s="285" t="e">
        <f t="shared" si="212"/>
        <v>#DIV/0!</v>
      </c>
      <c r="M196" s="285" t="e">
        <f t="shared" si="212"/>
        <v>#DIV/0!</v>
      </c>
      <c r="N196" s="285" t="e">
        <f t="shared" si="212"/>
        <v>#DIV/0!</v>
      </c>
      <c r="O196" s="286" t="e">
        <f t="shared" si="212"/>
        <v>#DIV/0!</v>
      </c>
      <c r="P196" s="285" t="e">
        <f t="shared" si="212"/>
        <v>#DIV/0!</v>
      </c>
      <c r="Q196" s="285" t="e">
        <f t="shared" si="212"/>
        <v>#DIV/0!</v>
      </c>
      <c r="R196" s="285" t="e">
        <f t="shared" si="212"/>
        <v>#DIV/0!</v>
      </c>
      <c r="S196" s="285" t="e">
        <f t="shared" si="212"/>
        <v>#DIV/0!</v>
      </c>
      <c r="T196" s="286" t="e">
        <f t="shared" si="212"/>
        <v>#DIV/0!</v>
      </c>
      <c r="U196" s="285" t="e">
        <f t="shared" si="212"/>
        <v>#DIV/0!</v>
      </c>
      <c r="V196" s="285" t="e">
        <f t="shared" si="212"/>
        <v>#DIV/0!</v>
      </c>
      <c r="W196" s="285" t="e">
        <f t="shared" si="212"/>
        <v>#DIV/0!</v>
      </c>
      <c r="X196" s="280">
        <f>IF(Case_Scenario="Bull",X197,IF(Case_Scenario="Base",X198,IF(Case_Scenario="bear",X199,"N/A")))</f>
        <v>1.25</v>
      </c>
      <c r="Y196" s="279" t="e">
        <f>AVERAGE(U196:X196)</f>
        <v>#DIV/0!</v>
      </c>
      <c r="Z196" s="280">
        <f>IF(Case_Scenario="Bull",Z197,IF(Case_Scenario="Base",Z198,IF(Case_Scenario="bear",Z199,"N/A")))</f>
        <v>1.25</v>
      </c>
      <c r="AA196" s="280">
        <f>IF(Case_Scenario="Bull",AA197,IF(Case_Scenario="Base",AA198,IF(Case_Scenario="bear",AA199,"N/A")))</f>
        <v>1.25</v>
      </c>
      <c r="AB196" s="280">
        <f>IF(Case_Scenario="Bull",AB197,IF(Case_Scenario="Base",AB198,IF(Case_Scenario="bear",AB199,"N/A")))</f>
        <v>1.25</v>
      </c>
      <c r="AC196" s="280">
        <f>IF(Case_Scenario="Bull",AC197,IF(Case_Scenario="Base",AC198,IF(Case_Scenario="bear",AC199,"N/A")))</f>
        <v>1.25</v>
      </c>
      <c r="AD196" s="279">
        <f>AVERAGE(Z196:AC196)</f>
        <v>1.25</v>
      </c>
      <c r="AE196" s="279">
        <f>IF(Case_Scenario="Bull",AE197,IF(Case_Scenario="Base",AE198,IF(Case_Scenario="bear",AE199,"N/A")))</f>
        <v>1.25</v>
      </c>
      <c r="AF196" s="279">
        <f>IF(Case_Scenario="Bull",AF197,IF(Case_Scenario="Base",AF198,IF(Case_Scenario="bear",AF199,"N/A")))</f>
        <v>1.25</v>
      </c>
      <c r="AG196" s="279">
        <f>IF(Case_Scenario="Bull",AG197,IF(Case_Scenario="Base",AG198,IF(Case_Scenario="bear",AG199,"N/A")))</f>
        <v>1.25</v>
      </c>
      <c r="AH196" s="12"/>
      <c r="AI196" s="12"/>
      <c r="AJ196" s="12"/>
    </row>
    <row r="197" spans="1:36" ht="12.75" hidden="1" customHeight="1" outlineLevel="1" collapsed="1">
      <c r="A197" s="12"/>
      <c r="B197" s="12"/>
      <c r="C197" s="108" t="s">
        <v>251</v>
      </c>
      <c r="D197" s="12"/>
      <c r="E197" s="12"/>
      <c r="F197" s="265"/>
      <c r="G197" s="264"/>
      <c r="H197" s="264"/>
      <c r="I197" s="264"/>
      <c r="J197" s="137"/>
      <c r="K197" s="264"/>
      <c r="L197" s="264"/>
      <c r="M197" s="264"/>
      <c r="N197" s="264"/>
      <c r="O197" s="252"/>
      <c r="P197" s="264"/>
      <c r="Q197" s="264"/>
      <c r="R197" s="264"/>
      <c r="S197" s="264"/>
      <c r="T197" s="252"/>
      <c r="U197" s="264"/>
      <c r="V197" s="264"/>
      <c r="W197" s="264"/>
      <c r="X197" s="283">
        <v>1</v>
      </c>
      <c r="Y197" s="284"/>
      <c r="Z197" s="283">
        <v>1</v>
      </c>
      <c r="AA197" s="283">
        <v>1</v>
      </c>
      <c r="AB197" s="283">
        <v>1</v>
      </c>
      <c r="AC197" s="283">
        <v>1</v>
      </c>
      <c r="AD197" s="284"/>
      <c r="AE197" s="284">
        <v>1</v>
      </c>
      <c r="AF197" s="284">
        <v>1</v>
      </c>
      <c r="AG197" s="284">
        <v>1</v>
      </c>
      <c r="AH197" s="12"/>
      <c r="AI197" s="12"/>
      <c r="AJ197" s="12"/>
    </row>
    <row r="198" spans="1:36" ht="12.75" hidden="1" customHeight="1" outlineLevel="1" collapsed="1">
      <c r="A198" s="12"/>
      <c r="B198" s="12"/>
      <c r="C198" s="108" t="s">
        <v>252</v>
      </c>
      <c r="D198" s="12"/>
      <c r="E198" s="12"/>
      <c r="F198" s="265"/>
      <c r="G198" s="265"/>
      <c r="H198" s="265"/>
      <c r="I198" s="265"/>
      <c r="J198" s="137"/>
      <c r="K198" s="265"/>
      <c r="L198" s="265"/>
      <c r="M198" s="265"/>
      <c r="N198" s="265"/>
      <c r="O198" s="137"/>
      <c r="P198" s="265"/>
      <c r="Q198" s="265"/>
      <c r="R198" s="265"/>
      <c r="S198" s="265"/>
      <c r="T198" s="137"/>
      <c r="U198" s="265"/>
      <c r="V198" s="265"/>
      <c r="W198" s="265"/>
      <c r="X198" s="283">
        <v>1.25</v>
      </c>
      <c r="Y198" s="284"/>
      <c r="Z198" s="283">
        <v>1.25</v>
      </c>
      <c r="AA198" s="283">
        <v>1.25</v>
      </c>
      <c r="AB198" s="283">
        <v>1.25</v>
      </c>
      <c r="AC198" s="283">
        <v>1.25</v>
      </c>
      <c r="AD198" s="284"/>
      <c r="AE198" s="284">
        <v>1.25</v>
      </c>
      <c r="AF198" s="284">
        <v>1.25</v>
      </c>
      <c r="AG198" s="284">
        <v>1.25</v>
      </c>
      <c r="AH198" s="12"/>
      <c r="AI198" s="12"/>
      <c r="AJ198" s="12"/>
    </row>
    <row r="199" spans="1:36" ht="12.75" hidden="1" customHeight="1" outlineLevel="1" collapsed="1">
      <c r="A199" s="12"/>
      <c r="B199" s="12"/>
      <c r="C199" s="108" t="s">
        <v>253</v>
      </c>
      <c r="D199" s="12"/>
      <c r="E199" s="12"/>
      <c r="F199" s="265"/>
      <c r="G199" s="265"/>
      <c r="H199" s="265"/>
      <c r="I199" s="265"/>
      <c r="J199" s="137"/>
      <c r="K199" s="265"/>
      <c r="L199" s="265"/>
      <c r="M199" s="265"/>
      <c r="N199" s="265"/>
      <c r="O199" s="137"/>
      <c r="P199" s="265"/>
      <c r="Q199" s="265"/>
      <c r="R199" s="265"/>
      <c r="S199" s="265"/>
      <c r="T199" s="137"/>
      <c r="U199" s="265"/>
      <c r="V199" s="265"/>
      <c r="W199" s="265"/>
      <c r="X199" s="283">
        <v>1.5</v>
      </c>
      <c r="Y199" s="284"/>
      <c r="Z199" s="283">
        <v>1.5</v>
      </c>
      <c r="AA199" s="283">
        <v>1.5</v>
      </c>
      <c r="AB199" s="283">
        <v>1.5</v>
      </c>
      <c r="AC199" s="283">
        <v>1.5</v>
      </c>
      <c r="AD199" s="284"/>
      <c r="AE199" s="284">
        <v>1.5</v>
      </c>
      <c r="AF199" s="284">
        <v>1.5</v>
      </c>
      <c r="AG199" s="284">
        <v>1.5</v>
      </c>
      <c r="AH199" s="12"/>
      <c r="AI199" s="12"/>
      <c r="AJ199" s="12"/>
    </row>
    <row r="200" spans="1:36" ht="12.75" hidden="1" customHeight="1" outlineLevel="1" collapsed="1">
      <c r="A200" s="12"/>
      <c r="B200" s="12"/>
      <c r="C200" s="12"/>
      <c r="D200" s="12"/>
      <c r="E200" s="12"/>
      <c r="F200" s="265"/>
      <c r="G200" s="265"/>
      <c r="H200" s="265"/>
      <c r="I200" s="265"/>
      <c r="J200" s="137"/>
      <c r="K200" s="265"/>
      <c r="L200" s="265"/>
      <c r="M200" s="265"/>
      <c r="N200" s="265"/>
      <c r="O200" s="137"/>
      <c r="P200" s="265"/>
      <c r="Q200" s="265"/>
      <c r="R200" s="265"/>
      <c r="S200" s="265"/>
      <c r="T200" s="137"/>
      <c r="U200" s="265"/>
      <c r="V200" s="265"/>
      <c r="W200" s="265"/>
      <c r="X200" s="266"/>
      <c r="Y200" s="267"/>
      <c r="Z200" s="266"/>
      <c r="AA200" s="266"/>
      <c r="AB200" s="266"/>
      <c r="AC200" s="266"/>
      <c r="AD200" s="267"/>
      <c r="AE200" s="267"/>
      <c r="AF200" s="267"/>
      <c r="AG200" s="267"/>
      <c r="AH200" s="12"/>
      <c r="AI200" s="12"/>
      <c r="AJ200" s="12"/>
    </row>
    <row r="201" spans="1:36" ht="12.75" hidden="1" customHeight="1" outlineLevel="1" collapsed="1">
      <c r="A201" s="211" t="s">
        <v>1</v>
      </c>
      <c r="B201" s="12"/>
      <c r="C201" s="108" t="str">
        <f>C41</f>
        <v>Segment 4 Revenue</v>
      </c>
      <c r="D201" s="12"/>
      <c r="E201" s="12"/>
      <c r="F201" s="263">
        <f t="shared" ref="F201:W201" si="213">F67</f>
        <v>0</v>
      </c>
      <c r="G201" s="263">
        <f t="shared" si="213"/>
        <v>0</v>
      </c>
      <c r="H201" s="263">
        <f t="shared" si="213"/>
        <v>0</v>
      </c>
      <c r="I201" s="263">
        <f t="shared" si="213"/>
        <v>0</v>
      </c>
      <c r="J201" s="233">
        <f t="shared" si="213"/>
        <v>0</v>
      </c>
      <c r="K201" s="263">
        <f t="shared" si="213"/>
        <v>0</v>
      </c>
      <c r="L201" s="263">
        <f t="shared" si="213"/>
        <v>0</v>
      </c>
      <c r="M201" s="263">
        <f t="shared" si="213"/>
        <v>0</v>
      </c>
      <c r="N201" s="263">
        <f t="shared" si="213"/>
        <v>0</v>
      </c>
      <c r="O201" s="233">
        <f t="shared" si="213"/>
        <v>0</v>
      </c>
      <c r="P201" s="263">
        <f t="shared" si="213"/>
        <v>0</v>
      </c>
      <c r="Q201" s="263">
        <f t="shared" si="213"/>
        <v>0</v>
      </c>
      <c r="R201" s="263">
        <f t="shared" si="213"/>
        <v>0</v>
      </c>
      <c r="S201" s="263">
        <f t="shared" si="213"/>
        <v>0</v>
      </c>
      <c r="T201" s="233">
        <f t="shared" si="213"/>
        <v>0</v>
      </c>
      <c r="U201" s="263">
        <f t="shared" si="213"/>
        <v>0</v>
      </c>
      <c r="V201" s="263">
        <f t="shared" si="213"/>
        <v>0</v>
      </c>
      <c r="W201" s="263">
        <f t="shared" si="213"/>
        <v>0</v>
      </c>
      <c r="X201" s="232">
        <f>X203/X208</f>
        <v>0</v>
      </c>
      <c r="Y201" s="233">
        <f>SUM(U201:X201)</f>
        <v>0</v>
      </c>
      <c r="Z201" s="232">
        <f t="shared" ref="Z201:AC201" si="214">Z203/Z208</f>
        <v>0</v>
      </c>
      <c r="AA201" s="232">
        <f t="shared" si="214"/>
        <v>0</v>
      </c>
      <c r="AB201" s="232">
        <f t="shared" si="214"/>
        <v>0</v>
      </c>
      <c r="AC201" s="232">
        <f t="shared" si="214"/>
        <v>0</v>
      </c>
      <c r="AD201" s="233">
        <f>SUM(Z201:AC201)</f>
        <v>0</v>
      </c>
      <c r="AE201" s="233">
        <f t="shared" ref="AE201:AG201" si="215">AE203/AE208</f>
        <v>0</v>
      </c>
      <c r="AF201" s="233">
        <f t="shared" si="215"/>
        <v>0</v>
      </c>
      <c r="AG201" s="233">
        <f t="shared" si="215"/>
        <v>0</v>
      </c>
      <c r="AH201" s="12"/>
      <c r="AI201" s="12"/>
      <c r="AJ201" s="12"/>
    </row>
    <row r="202" spans="1:36" ht="12.75" hidden="1" customHeight="1" outlineLevel="1" collapsed="1">
      <c r="A202" s="12"/>
      <c r="B202" s="12"/>
      <c r="C202" s="108" t="s">
        <v>244</v>
      </c>
      <c r="D202" s="12"/>
      <c r="E202" s="12"/>
      <c r="F202" s="271">
        <v>0</v>
      </c>
      <c r="G202" s="271">
        <v>0</v>
      </c>
      <c r="H202" s="271">
        <v>0</v>
      </c>
      <c r="I202" s="271">
        <v>0</v>
      </c>
      <c r="J202" s="272">
        <v>0</v>
      </c>
      <c r="K202" s="271">
        <v>0</v>
      </c>
      <c r="L202" s="271">
        <v>0</v>
      </c>
      <c r="M202" s="271">
        <v>0</v>
      </c>
      <c r="N202" s="271">
        <v>0</v>
      </c>
      <c r="O202" s="272">
        <v>0</v>
      </c>
      <c r="P202" s="271">
        <v>0</v>
      </c>
      <c r="Q202" s="271">
        <v>0</v>
      </c>
      <c r="R202" s="271">
        <v>0</v>
      </c>
      <c r="S202" s="271">
        <v>0</v>
      </c>
      <c r="T202" s="272">
        <v>0</v>
      </c>
      <c r="U202" s="271">
        <v>0</v>
      </c>
      <c r="V202" s="271">
        <v>0</v>
      </c>
      <c r="W202" s="271">
        <v>0</v>
      </c>
      <c r="X202" s="273">
        <f>W202+X203-X201</f>
        <v>0</v>
      </c>
      <c r="Y202" s="272">
        <f>T202+Y203-Y201</f>
        <v>0</v>
      </c>
      <c r="Z202" s="273">
        <f>X202+Z203-Z201</f>
        <v>0</v>
      </c>
      <c r="AA202" s="273">
        <f t="shared" ref="AA202:AC202" si="216">Z202+AA203-AA201</f>
        <v>0</v>
      </c>
      <c r="AB202" s="273">
        <f t="shared" si="216"/>
        <v>0</v>
      </c>
      <c r="AC202" s="273">
        <f t="shared" si="216"/>
        <v>0</v>
      </c>
      <c r="AD202" s="272">
        <f>Y202+AD203-AD201</f>
        <v>0</v>
      </c>
      <c r="AE202" s="272">
        <f t="shared" ref="AE202:AG202" si="217">AD202+AE203-AE201</f>
        <v>0</v>
      </c>
      <c r="AF202" s="272">
        <f t="shared" si="217"/>
        <v>0</v>
      </c>
      <c r="AG202" s="272">
        <f t="shared" si="217"/>
        <v>0</v>
      </c>
      <c r="AH202" s="12"/>
      <c r="AI202" s="12"/>
      <c r="AJ202" s="12"/>
    </row>
    <row r="203" spans="1:36" ht="12.75" hidden="1" customHeight="1" outlineLevel="1" collapsed="1">
      <c r="A203" s="12"/>
      <c r="B203" s="12"/>
      <c r="C203" s="108" t="s">
        <v>259</v>
      </c>
      <c r="D203" s="12"/>
      <c r="E203" s="12"/>
      <c r="F203" s="271">
        <f>F202+F201-(0)</f>
        <v>0</v>
      </c>
      <c r="G203" s="271">
        <f t="shared" ref="G203:I203" si="218">G202+G201-F202</f>
        <v>0</v>
      </c>
      <c r="H203" s="271">
        <f t="shared" si="218"/>
        <v>0</v>
      </c>
      <c r="I203" s="271">
        <f t="shared" si="218"/>
        <v>0</v>
      </c>
      <c r="J203" s="272">
        <f>SUM(F203:I203)</f>
        <v>0</v>
      </c>
      <c r="K203" s="271">
        <f t="shared" ref="K203:N203" si="219">K202+K201-J202</f>
        <v>0</v>
      </c>
      <c r="L203" s="271">
        <f t="shared" si="219"/>
        <v>0</v>
      </c>
      <c r="M203" s="271">
        <f t="shared" si="219"/>
        <v>0</v>
      </c>
      <c r="N203" s="271">
        <f t="shared" si="219"/>
        <v>0</v>
      </c>
      <c r="O203" s="272">
        <f>SUM(K203:N203)</f>
        <v>0</v>
      </c>
      <c r="P203" s="271">
        <f t="shared" ref="P203:S203" si="220">P202+P201-O202</f>
        <v>0</v>
      </c>
      <c r="Q203" s="271">
        <f t="shared" si="220"/>
        <v>0</v>
      </c>
      <c r="R203" s="271">
        <f t="shared" si="220"/>
        <v>0</v>
      </c>
      <c r="S203" s="271">
        <f t="shared" si="220"/>
        <v>0</v>
      </c>
      <c r="T203" s="272">
        <f>SUM(P203:S203)</f>
        <v>0</v>
      </c>
      <c r="U203" s="271">
        <f t="shared" ref="U203:W203" si="221">U202+U201-T202</f>
        <v>0</v>
      </c>
      <c r="V203" s="271">
        <f t="shared" si="221"/>
        <v>0</v>
      </c>
      <c r="W203" s="271">
        <f t="shared" si="221"/>
        <v>0</v>
      </c>
      <c r="X203" s="273">
        <f>W203*(1+X204)</f>
        <v>0</v>
      </c>
      <c r="Y203" s="272">
        <f>SUM(U203:X203)</f>
        <v>0</v>
      </c>
      <c r="Z203" s="273">
        <f>X203*(1+Z204)</f>
        <v>0</v>
      </c>
      <c r="AA203" s="273">
        <f t="shared" ref="AA203:AC203" si="222">Z203*(1+AA204)</f>
        <v>0</v>
      </c>
      <c r="AB203" s="273">
        <f t="shared" si="222"/>
        <v>0</v>
      </c>
      <c r="AC203" s="273">
        <f t="shared" si="222"/>
        <v>0</v>
      </c>
      <c r="AD203" s="272">
        <f>SUM(Z203:AC203)</f>
        <v>0</v>
      </c>
      <c r="AE203" s="272">
        <f t="shared" ref="AE203:AG203" si="223">AD203*(1+AE204)</f>
        <v>0</v>
      </c>
      <c r="AF203" s="272">
        <f t="shared" si="223"/>
        <v>0</v>
      </c>
      <c r="AG203" s="272">
        <f t="shared" si="223"/>
        <v>0</v>
      </c>
      <c r="AH203" s="12"/>
      <c r="AI203" s="12"/>
      <c r="AJ203" s="12"/>
    </row>
    <row r="204" spans="1:36" ht="12.75" hidden="1" customHeight="1" outlineLevel="1" collapsed="1">
      <c r="A204" s="12"/>
      <c r="B204" s="12"/>
      <c r="C204" s="89" t="s">
        <v>260</v>
      </c>
      <c r="D204" s="12"/>
      <c r="E204" s="12"/>
      <c r="F204" s="265"/>
      <c r="G204" s="264" t="str">
        <f t="shared" ref="G204:I204" si="224">IFERROR(G203/F203-1,"--")</f>
        <v>--</v>
      </c>
      <c r="H204" s="264" t="str">
        <f t="shared" si="224"/>
        <v>--</v>
      </c>
      <c r="I204" s="264" t="str">
        <f t="shared" si="224"/>
        <v>--</v>
      </c>
      <c r="J204" s="137"/>
      <c r="K204" s="264" t="str">
        <f>IFERROR(K203/I203-1,"--")</f>
        <v>--</v>
      </c>
      <c r="L204" s="264" t="str">
        <f t="shared" ref="L204:N204" si="225">IFERROR(L203/K203-1,"--")</f>
        <v>--</v>
      </c>
      <c r="M204" s="264" t="str">
        <f t="shared" si="225"/>
        <v>--</v>
      </c>
      <c r="N204" s="264" t="str">
        <f t="shared" si="225"/>
        <v>--</v>
      </c>
      <c r="O204" s="252" t="str">
        <f>IFERROR(O203/J203-1,"--")</f>
        <v>--</v>
      </c>
      <c r="P204" s="264" t="str">
        <f>IFERROR(P203/N203-1,"--")</f>
        <v>--</v>
      </c>
      <c r="Q204" s="264" t="str">
        <f t="shared" ref="Q204:S204" si="226">IFERROR(Q203/P203-1,"--")</f>
        <v>--</v>
      </c>
      <c r="R204" s="264" t="str">
        <f t="shared" si="226"/>
        <v>--</v>
      </c>
      <c r="S204" s="264" t="str">
        <f t="shared" si="226"/>
        <v>--</v>
      </c>
      <c r="T204" s="252" t="str">
        <f>IFERROR(T203/O203-1,"--")</f>
        <v>--</v>
      </c>
      <c r="U204" s="264" t="str">
        <f>IFERROR(U203/S203-1,"--")</f>
        <v>--</v>
      </c>
      <c r="V204" s="264" t="str">
        <f t="shared" ref="V204:W204" si="227">IFERROR(V203/U203-1,"--")</f>
        <v>--</v>
      </c>
      <c r="W204" s="264" t="str">
        <f t="shared" si="227"/>
        <v>--</v>
      </c>
      <c r="X204" s="251">
        <f>IF(Case_Scenario="Bull",X205,IF(Case_Scenario="Base",X206,IF(Case_Scenario="bear",X207,"N/A")))</f>
        <v>0.05</v>
      </c>
      <c r="Y204" s="252"/>
      <c r="Z204" s="251">
        <f>IF(Case_Scenario="Bull",Z205,IF(Case_Scenario="Base",Z206,IF(Case_Scenario="bear",Z207,"N/A")))</f>
        <v>0.05</v>
      </c>
      <c r="AA204" s="251">
        <f>IF(Case_Scenario="Bull",AA205,IF(Case_Scenario="Base",AA206,IF(Case_Scenario="bear",AA207,"N/A")))</f>
        <v>0.05</v>
      </c>
      <c r="AB204" s="251">
        <f>IF(Case_Scenario="Bull",AB205,IF(Case_Scenario="Base",AB206,IF(Case_Scenario="bear",AB207,"N/A")))</f>
        <v>0.05</v>
      </c>
      <c r="AC204" s="251">
        <f>IF(Case_Scenario="Bull",AC205,IF(Case_Scenario="Base",AC206,IF(Case_Scenario="bear",AC207,"N/A")))</f>
        <v>0.05</v>
      </c>
      <c r="AD204" s="252"/>
      <c r="AE204" s="252">
        <f>IF(Case_Scenario="Bull",AE205,IF(Case_Scenario="Base",AE206,IF(Case_Scenario="bear",AE207,"N/A")))</f>
        <v>0.05</v>
      </c>
      <c r="AF204" s="252">
        <f>IF(Case_Scenario="Bull",AF205,IF(Case_Scenario="Base",AF206,IF(Case_Scenario="bear",AF207,"N/A")))</f>
        <v>0.05</v>
      </c>
      <c r="AG204" s="252">
        <f>IF(Case_Scenario="Bull",AG205,IF(Case_Scenario="Base",AG206,IF(Case_Scenario="bear",AG207,"N/A")))</f>
        <v>0.05</v>
      </c>
      <c r="AH204" s="12"/>
      <c r="AI204" s="12"/>
      <c r="AJ204" s="12"/>
    </row>
    <row r="205" spans="1:36" ht="12.75" hidden="1" customHeight="1" outlineLevel="1" collapsed="1">
      <c r="A205" s="12"/>
      <c r="B205" s="12"/>
      <c r="C205" s="108" t="s">
        <v>251</v>
      </c>
      <c r="D205" s="12"/>
      <c r="E205" s="12"/>
      <c r="F205" s="265"/>
      <c r="G205" s="265"/>
      <c r="H205" s="265"/>
      <c r="I205" s="265"/>
      <c r="J205" s="137"/>
      <c r="K205" s="265"/>
      <c r="L205" s="265"/>
      <c r="M205" s="265"/>
      <c r="N205" s="265"/>
      <c r="O205" s="137"/>
      <c r="P205" s="265"/>
      <c r="Q205" s="265"/>
      <c r="R205" s="265"/>
      <c r="S205" s="265"/>
      <c r="T205" s="137"/>
      <c r="U205" s="265"/>
      <c r="V205" s="265"/>
      <c r="W205" s="265"/>
      <c r="X205" s="266">
        <v>0.1</v>
      </c>
      <c r="Y205" s="267"/>
      <c r="Z205" s="266">
        <v>0.1</v>
      </c>
      <c r="AA205" s="266">
        <v>0.1</v>
      </c>
      <c r="AB205" s="266">
        <v>0.1</v>
      </c>
      <c r="AC205" s="266">
        <v>0.1</v>
      </c>
      <c r="AD205" s="267"/>
      <c r="AE205" s="267">
        <v>0.1</v>
      </c>
      <c r="AF205" s="267">
        <v>0.1</v>
      </c>
      <c r="AG205" s="267">
        <v>0.1</v>
      </c>
      <c r="AH205" s="12"/>
      <c r="AI205" s="12"/>
      <c r="AJ205" s="12"/>
    </row>
    <row r="206" spans="1:36" ht="12.75" hidden="1" customHeight="1" outlineLevel="1" collapsed="1">
      <c r="A206" s="12"/>
      <c r="B206" s="12"/>
      <c r="C206" s="108" t="s">
        <v>252</v>
      </c>
      <c r="D206" s="12"/>
      <c r="E206" s="12"/>
      <c r="F206" s="265"/>
      <c r="G206" s="265"/>
      <c r="H206" s="265"/>
      <c r="I206" s="265"/>
      <c r="J206" s="137"/>
      <c r="K206" s="265"/>
      <c r="L206" s="265"/>
      <c r="M206" s="265"/>
      <c r="N206" s="265"/>
      <c r="O206" s="137"/>
      <c r="P206" s="265"/>
      <c r="Q206" s="265"/>
      <c r="R206" s="265"/>
      <c r="S206" s="265"/>
      <c r="T206" s="137"/>
      <c r="U206" s="265"/>
      <c r="V206" s="265"/>
      <c r="W206" s="265"/>
      <c r="X206" s="266">
        <v>0.05</v>
      </c>
      <c r="Y206" s="267"/>
      <c r="Z206" s="266">
        <v>0.05</v>
      </c>
      <c r="AA206" s="266">
        <v>0.05</v>
      </c>
      <c r="AB206" s="266">
        <v>0.05</v>
      </c>
      <c r="AC206" s="266">
        <v>0.05</v>
      </c>
      <c r="AD206" s="267"/>
      <c r="AE206" s="267">
        <v>0.05</v>
      </c>
      <c r="AF206" s="267">
        <v>0.05</v>
      </c>
      <c r="AG206" s="267">
        <v>0.05</v>
      </c>
      <c r="AH206" s="12"/>
      <c r="AI206" s="12"/>
      <c r="AJ206" s="12"/>
    </row>
    <row r="207" spans="1:36" ht="12.75" hidden="1" customHeight="1" outlineLevel="1" collapsed="1">
      <c r="A207" s="12"/>
      <c r="B207" s="12"/>
      <c r="C207" s="108" t="s">
        <v>253</v>
      </c>
      <c r="D207" s="12"/>
      <c r="E207" s="12"/>
      <c r="F207" s="265"/>
      <c r="G207" s="265"/>
      <c r="H207" s="265"/>
      <c r="I207" s="265"/>
      <c r="J207" s="137"/>
      <c r="K207" s="265"/>
      <c r="L207" s="265"/>
      <c r="M207" s="265"/>
      <c r="N207" s="265"/>
      <c r="O207" s="137"/>
      <c r="P207" s="265"/>
      <c r="Q207" s="265"/>
      <c r="R207" s="265"/>
      <c r="S207" s="265"/>
      <c r="T207" s="137"/>
      <c r="U207" s="265"/>
      <c r="V207" s="265"/>
      <c r="W207" s="265"/>
      <c r="X207" s="266">
        <v>0</v>
      </c>
      <c r="Y207" s="267"/>
      <c r="Z207" s="266">
        <v>0</v>
      </c>
      <c r="AA207" s="266">
        <v>0</v>
      </c>
      <c r="AB207" s="266">
        <v>0</v>
      </c>
      <c r="AC207" s="266">
        <v>0</v>
      </c>
      <c r="AD207" s="267"/>
      <c r="AE207" s="267">
        <v>0</v>
      </c>
      <c r="AF207" s="267">
        <v>0</v>
      </c>
      <c r="AG207" s="267">
        <v>0</v>
      </c>
      <c r="AH207" s="12"/>
      <c r="AI207" s="12"/>
      <c r="AJ207" s="12"/>
    </row>
    <row r="208" spans="1:36" ht="12.75" hidden="1" customHeight="1" outlineLevel="1" collapsed="1">
      <c r="A208" s="12"/>
      <c r="B208" s="12"/>
      <c r="C208" s="108" t="s">
        <v>261</v>
      </c>
      <c r="D208" s="12"/>
      <c r="E208" s="12"/>
      <c r="F208" s="285" t="e">
        <f t="shared" ref="F208:W208" si="228">F203/F201</f>
        <v>#DIV/0!</v>
      </c>
      <c r="G208" s="285" t="e">
        <f t="shared" si="228"/>
        <v>#DIV/0!</v>
      </c>
      <c r="H208" s="285" t="e">
        <f t="shared" si="228"/>
        <v>#DIV/0!</v>
      </c>
      <c r="I208" s="285" t="e">
        <f t="shared" si="228"/>
        <v>#DIV/0!</v>
      </c>
      <c r="J208" s="286" t="e">
        <f t="shared" si="228"/>
        <v>#DIV/0!</v>
      </c>
      <c r="K208" s="285" t="e">
        <f t="shared" si="228"/>
        <v>#DIV/0!</v>
      </c>
      <c r="L208" s="285" t="e">
        <f t="shared" si="228"/>
        <v>#DIV/0!</v>
      </c>
      <c r="M208" s="285" t="e">
        <f t="shared" si="228"/>
        <v>#DIV/0!</v>
      </c>
      <c r="N208" s="285" t="e">
        <f t="shared" si="228"/>
        <v>#DIV/0!</v>
      </c>
      <c r="O208" s="286" t="e">
        <f t="shared" si="228"/>
        <v>#DIV/0!</v>
      </c>
      <c r="P208" s="285" t="e">
        <f t="shared" si="228"/>
        <v>#DIV/0!</v>
      </c>
      <c r="Q208" s="285" t="e">
        <f t="shared" si="228"/>
        <v>#DIV/0!</v>
      </c>
      <c r="R208" s="285" t="e">
        <f t="shared" si="228"/>
        <v>#DIV/0!</v>
      </c>
      <c r="S208" s="285" t="e">
        <f t="shared" si="228"/>
        <v>#DIV/0!</v>
      </c>
      <c r="T208" s="286" t="e">
        <f t="shared" si="228"/>
        <v>#DIV/0!</v>
      </c>
      <c r="U208" s="285" t="e">
        <f t="shared" si="228"/>
        <v>#DIV/0!</v>
      </c>
      <c r="V208" s="285" t="e">
        <f t="shared" si="228"/>
        <v>#DIV/0!</v>
      </c>
      <c r="W208" s="285" t="e">
        <f t="shared" si="228"/>
        <v>#DIV/0!</v>
      </c>
      <c r="X208" s="280">
        <f>IF(Case_Scenario="Bull",X209,IF(Case_Scenario="Base",X210,IF(Case_Scenario="bear",X211,"N/A")))</f>
        <v>1.25</v>
      </c>
      <c r="Y208" s="279" t="e">
        <f>AVERAGE(U208:X208)</f>
        <v>#DIV/0!</v>
      </c>
      <c r="Z208" s="280">
        <f>IF(Case_Scenario="Bull",Z209,IF(Case_Scenario="Base",Z210,IF(Case_Scenario="bear",Z211,"N/A")))</f>
        <v>1.25</v>
      </c>
      <c r="AA208" s="280">
        <f>IF(Case_Scenario="Bull",AA209,IF(Case_Scenario="Base",AA210,IF(Case_Scenario="bear",AA211,"N/A")))</f>
        <v>1.25</v>
      </c>
      <c r="AB208" s="280">
        <f>IF(Case_Scenario="Bull",AB209,IF(Case_Scenario="Base",AB210,IF(Case_Scenario="bear",AB211,"N/A")))</f>
        <v>1.25</v>
      </c>
      <c r="AC208" s="280">
        <f>IF(Case_Scenario="Bull",AC209,IF(Case_Scenario="Base",AC210,IF(Case_Scenario="bear",AC211,"N/A")))</f>
        <v>1.25</v>
      </c>
      <c r="AD208" s="279">
        <f>AVERAGE(Z208:AC208)</f>
        <v>1.25</v>
      </c>
      <c r="AE208" s="279">
        <f>IF(Case_Scenario="Bull",AE209,IF(Case_Scenario="Base",AE210,IF(Case_Scenario="bear",AE211,"N/A")))</f>
        <v>1.25</v>
      </c>
      <c r="AF208" s="279">
        <f>IF(Case_Scenario="Bull",AF209,IF(Case_Scenario="Base",AF210,IF(Case_Scenario="bear",AF211,"N/A")))</f>
        <v>1.25</v>
      </c>
      <c r="AG208" s="279">
        <f>IF(Case_Scenario="Bull",AG209,IF(Case_Scenario="Base",AG210,IF(Case_Scenario="bear",AG211,"N/A")))</f>
        <v>1.25</v>
      </c>
      <c r="AH208" s="12"/>
      <c r="AI208" s="12"/>
      <c r="AJ208" s="12"/>
    </row>
    <row r="209" spans="1:36" ht="12.75" hidden="1" customHeight="1" outlineLevel="1" collapsed="1">
      <c r="A209" s="12"/>
      <c r="B209" s="12"/>
      <c r="C209" s="108" t="s">
        <v>251</v>
      </c>
      <c r="D209" s="12"/>
      <c r="E209" s="12"/>
      <c r="F209" s="265"/>
      <c r="G209" s="264"/>
      <c r="H209" s="264"/>
      <c r="I209" s="264"/>
      <c r="J209" s="137"/>
      <c r="K209" s="264"/>
      <c r="L209" s="264"/>
      <c r="M209" s="264"/>
      <c r="N209" s="264"/>
      <c r="O209" s="252"/>
      <c r="P209" s="264"/>
      <c r="Q209" s="264"/>
      <c r="R209" s="264"/>
      <c r="S209" s="264"/>
      <c r="T209" s="252"/>
      <c r="U209" s="264"/>
      <c r="V209" s="264"/>
      <c r="W209" s="264"/>
      <c r="X209" s="283">
        <v>1</v>
      </c>
      <c r="Y209" s="284"/>
      <c r="Z209" s="283">
        <v>1</v>
      </c>
      <c r="AA209" s="283">
        <v>1</v>
      </c>
      <c r="AB209" s="283">
        <v>1</v>
      </c>
      <c r="AC209" s="283">
        <v>1</v>
      </c>
      <c r="AD209" s="284"/>
      <c r="AE209" s="284">
        <v>1</v>
      </c>
      <c r="AF209" s="284">
        <v>1</v>
      </c>
      <c r="AG209" s="284">
        <v>1</v>
      </c>
      <c r="AH209" s="12"/>
      <c r="AI209" s="12"/>
      <c r="AJ209" s="12"/>
    </row>
    <row r="210" spans="1:36" ht="12.75" hidden="1" customHeight="1" outlineLevel="1" collapsed="1">
      <c r="A210" s="12"/>
      <c r="B210" s="12"/>
      <c r="C210" s="108" t="s">
        <v>252</v>
      </c>
      <c r="D210" s="12"/>
      <c r="E210" s="12"/>
      <c r="F210" s="265"/>
      <c r="G210" s="265"/>
      <c r="H210" s="265"/>
      <c r="I210" s="265"/>
      <c r="J210" s="137"/>
      <c r="K210" s="265"/>
      <c r="L210" s="265"/>
      <c r="M210" s="265"/>
      <c r="N210" s="265"/>
      <c r="O210" s="137"/>
      <c r="P210" s="265"/>
      <c r="Q210" s="265"/>
      <c r="R210" s="265"/>
      <c r="S210" s="265"/>
      <c r="T210" s="137"/>
      <c r="U210" s="265"/>
      <c r="V210" s="265"/>
      <c r="W210" s="265"/>
      <c r="X210" s="283">
        <v>1.25</v>
      </c>
      <c r="Y210" s="284"/>
      <c r="Z210" s="283">
        <v>1.25</v>
      </c>
      <c r="AA210" s="283">
        <v>1.25</v>
      </c>
      <c r="AB210" s="283">
        <v>1.25</v>
      </c>
      <c r="AC210" s="283">
        <v>1.25</v>
      </c>
      <c r="AD210" s="284"/>
      <c r="AE210" s="284">
        <v>1.25</v>
      </c>
      <c r="AF210" s="284">
        <v>1.25</v>
      </c>
      <c r="AG210" s="284">
        <v>1.25</v>
      </c>
      <c r="AH210" s="12"/>
      <c r="AI210" s="12"/>
      <c r="AJ210" s="12"/>
    </row>
    <row r="211" spans="1:36" ht="12.75" hidden="1" customHeight="1" outlineLevel="1" collapsed="1">
      <c r="A211" s="12"/>
      <c r="B211" s="12"/>
      <c r="C211" s="108" t="s">
        <v>253</v>
      </c>
      <c r="D211" s="12"/>
      <c r="E211" s="12"/>
      <c r="F211" s="265"/>
      <c r="G211" s="265"/>
      <c r="H211" s="265"/>
      <c r="I211" s="265"/>
      <c r="J211" s="137"/>
      <c r="K211" s="265"/>
      <c r="L211" s="265"/>
      <c r="M211" s="265"/>
      <c r="N211" s="265"/>
      <c r="O211" s="137"/>
      <c r="P211" s="265"/>
      <c r="Q211" s="265"/>
      <c r="R211" s="265"/>
      <c r="S211" s="265"/>
      <c r="T211" s="137"/>
      <c r="U211" s="265"/>
      <c r="V211" s="265"/>
      <c r="W211" s="265"/>
      <c r="X211" s="283">
        <v>1.5</v>
      </c>
      <c r="Y211" s="284"/>
      <c r="Z211" s="283">
        <v>1.5</v>
      </c>
      <c r="AA211" s="283">
        <v>1.5</v>
      </c>
      <c r="AB211" s="283">
        <v>1.5</v>
      </c>
      <c r="AC211" s="283">
        <v>1.5</v>
      </c>
      <c r="AD211" s="284"/>
      <c r="AE211" s="284">
        <v>1.5</v>
      </c>
      <c r="AF211" s="284">
        <v>1.5</v>
      </c>
      <c r="AG211" s="284">
        <v>1.5</v>
      </c>
      <c r="AH211" s="12"/>
      <c r="AI211" s="12"/>
      <c r="AJ211" s="12"/>
    </row>
    <row r="212" spans="1:36" ht="12.75" hidden="1" customHeight="1" outlineLevel="1" collapsed="1">
      <c r="A212" s="12"/>
      <c r="B212" s="12"/>
      <c r="C212" s="12"/>
      <c r="D212" s="12"/>
      <c r="E212" s="12"/>
      <c r="F212" s="265"/>
      <c r="G212" s="265"/>
      <c r="H212" s="265"/>
      <c r="I212" s="265"/>
      <c r="J212" s="137"/>
      <c r="K212" s="265"/>
      <c r="L212" s="265"/>
      <c r="M212" s="265"/>
      <c r="N212" s="265"/>
      <c r="O212" s="137"/>
      <c r="P212" s="265"/>
      <c r="Q212" s="265"/>
      <c r="R212" s="265"/>
      <c r="S212" s="265"/>
      <c r="T212" s="137"/>
      <c r="U212" s="265"/>
      <c r="V212" s="265"/>
      <c r="W212" s="265"/>
      <c r="X212" s="266"/>
      <c r="Y212" s="267"/>
      <c r="Z212" s="266"/>
      <c r="AA212" s="266"/>
      <c r="AB212" s="266"/>
      <c r="AC212" s="266"/>
      <c r="AD212" s="267"/>
      <c r="AE212" s="267"/>
      <c r="AF212" s="267"/>
      <c r="AG212" s="267"/>
      <c r="AH212" s="12"/>
      <c r="AI212" s="12"/>
      <c r="AJ212" s="12"/>
    </row>
    <row r="213" spans="1:36" ht="12.75" hidden="1" customHeight="1" outlineLevel="1" collapsed="1">
      <c r="A213" s="211" t="s">
        <v>1</v>
      </c>
      <c r="B213" s="12"/>
      <c r="C213" s="108" t="str">
        <f>C44</f>
        <v>Segment 5 Revenue</v>
      </c>
      <c r="D213" s="12"/>
      <c r="E213" s="12"/>
      <c r="F213" s="263">
        <f t="shared" ref="F213:W213" si="229">F44</f>
        <v>0</v>
      </c>
      <c r="G213" s="263">
        <f t="shared" si="229"/>
        <v>0</v>
      </c>
      <c r="H213" s="263">
        <f t="shared" si="229"/>
        <v>0</v>
      </c>
      <c r="I213" s="263">
        <f t="shared" si="229"/>
        <v>0</v>
      </c>
      <c r="J213" s="233">
        <f t="shared" si="229"/>
        <v>0</v>
      </c>
      <c r="K213" s="263">
        <f t="shared" si="229"/>
        <v>0</v>
      </c>
      <c r="L213" s="263">
        <f t="shared" si="229"/>
        <v>0</v>
      </c>
      <c r="M213" s="263">
        <f t="shared" si="229"/>
        <v>0</v>
      </c>
      <c r="N213" s="263">
        <f t="shared" si="229"/>
        <v>0</v>
      </c>
      <c r="O213" s="233">
        <f t="shared" si="229"/>
        <v>0</v>
      </c>
      <c r="P213" s="263">
        <f t="shared" si="229"/>
        <v>0</v>
      </c>
      <c r="Q213" s="263">
        <f t="shared" si="229"/>
        <v>0</v>
      </c>
      <c r="R213" s="263">
        <f t="shared" si="229"/>
        <v>0</v>
      </c>
      <c r="S213" s="263">
        <f t="shared" si="229"/>
        <v>0</v>
      </c>
      <c r="T213" s="233">
        <f t="shared" si="229"/>
        <v>0</v>
      </c>
      <c r="U213" s="263">
        <f t="shared" si="229"/>
        <v>0</v>
      </c>
      <c r="V213" s="263">
        <f t="shared" si="229"/>
        <v>0</v>
      </c>
      <c r="W213" s="263">
        <f t="shared" si="229"/>
        <v>0</v>
      </c>
      <c r="X213" s="232">
        <f>X215/X220</f>
        <v>-124.32000000000001</v>
      </c>
      <c r="Y213" s="233">
        <f>SUM(U213:X213)</f>
        <v>-124.32000000000001</v>
      </c>
      <c r="Z213" s="232">
        <f t="shared" ref="Z213:AC213" si="230">Z215/Z220</f>
        <v>-130.536</v>
      </c>
      <c r="AA213" s="232">
        <f t="shared" si="230"/>
        <v>-137.06280000000001</v>
      </c>
      <c r="AB213" s="232">
        <f t="shared" si="230"/>
        <v>-143.91594000000003</v>
      </c>
      <c r="AC213" s="232">
        <f t="shared" si="230"/>
        <v>-151.11173700000003</v>
      </c>
      <c r="AD213" s="233">
        <f>SUM(Z213:AC213)</f>
        <v>-562.62647700000002</v>
      </c>
      <c r="AE213" s="233">
        <f t="shared" ref="AE213:AG213" si="231">AE215/AE220</f>
        <v>-590.75780085000019</v>
      </c>
      <c r="AF213" s="233">
        <f t="shared" si="231"/>
        <v>-620.29569089250015</v>
      </c>
      <c r="AG213" s="233">
        <f t="shared" si="231"/>
        <v>-651.31047543712521</v>
      </c>
      <c r="AH213" s="12"/>
      <c r="AI213" s="12"/>
      <c r="AJ213" s="12"/>
    </row>
    <row r="214" spans="1:36" ht="12.75" hidden="1" customHeight="1" outlineLevel="1" collapsed="1">
      <c r="A214" s="12"/>
      <c r="B214" s="12"/>
      <c r="C214" s="108" t="s">
        <v>244</v>
      </c>
      <c r="D214" s="12"/>
      <c r="E214" s="12"/>
      <c r="F214" s="271">
        <v>0</v>
      </c>
      <c r="G214" s="271">
        <v>0</v>
      </c>
      <c r="H214" s="271">
        <v>0</v>
      </c>
      <c r="I214" s="271">
        <v>0</v>
      </c>
      <c r="J214" s="272">
        <f>0+J215-J213</f>
        <v>0</v>
      </c>
      <c r="K214" s="271">
        <v>0</v>
      </c>
      <c r="L214" s="271">
        <v>0</v>
      </c>
      <c r="M214" s="271">
        <v>16251</v>
      </c>
      <c r="N214" s="271">
        <v>17223</v>
      </c>
      <c r="O214" s="272">
        <f>15631+O215-O213</f>
        <v>17223</v>
      </c>
      <c r="P214" s="271">
        <v>20464</v>
      </c>
      <c r="Q214" s="271">
        <v>20388</v>
      </c>
      <c r="R214" s="271">
        <v>20240</v>
      </c>
      <c r="S214" s="271">
        <v>21008</v>
      </c>
      <c r="T214" s="272">
        <f>O214+T215-T213</f>
        <v>21008</v>
      </c>
      <c r="U214" s="271">
        <v>20464</v>
      </c>
      <c r="V214" s="271">
        <v>20388</v>
      </c>
      <c r="W214" s="271">
        <v>20240</v>
      </c>
      <c r="X214" s="273">
        <f>W214+X215-X213</f>
        <v>20208.919999999998</v>
      </c>
      <c r="Y214" s="272">
        <f>T214+Y215-Y213</f>
        <v>20208.919999999998</v>
      </c>
      <c r="Z214" s="273">
        <f>X214+Z215-Z213</f>
        <v>20176.286</v>
      </c>
      <c r="AA214" s="273">
        <f t="shared" ref="AA214:AC214" si="232">Z214+AA215-AA213</f>
        <v>20142.0203</v>
      </c>
      <c r="AB214" s="273">
        <f t="shared" si="232"/>
        <v>20106.041314999999</v>
      </c>
      <c r="AC214" s="273">
        <f t="shared" si="232"/>
        <v>20068.263380749999</v>
      </c>
      <c r="AD214" s="272">
        <f>Y214+AD215-AD213</f>
        <v>20068.263380749999</v>
      </c>
      <c r="AE214" s="272">
        <f t="shared" ref="AE214:AG214" si="233">AD214+AE215-AE213</f>
        <v>19920.573930537495</v>
      </c>
      <c r="AF214" s="272">
        <f t="shared" si="233"/>
        <v>19765.500007814371</v>
      </c>
      <c r="AG214" s="272">
        <f t="shared" si="233"/>
        <v>19602.672388955092</v>
      </c>
      <c r="AH214" s="12"/>
      <c r="AI214" s="12"/>
      <c r="AJ214" s="12"/>
    </row>
    <row r="215" spans="1:36" ht="12.75" hidden="1" customHeight="1" outlineLevel="1" collapsed="1">
      <c r="A215" s="12"/>
      <c r="B215" s="12"/>
      <c r="C215" s="108" t="s">
        <v>259</v>
      </c>
      <c r="D215" s="12"/>
      <c r="E215" s="12"/>
      <c r="F215" s="271">
        <f>F214+F213-(0)</f>
        <v>0</v>
      </c>
      <c r="G215" s="271">
        <f t="shared" ref="G215:I215" si="234">G214+G213-F214</f>
        <v>0</v>
      </c>
      <c r="H215" s="271">
        <f t="shared" si="234"/>
        <v>0</v>
      </c>
      <c r="I215" s="271">
        <f t="shared" si="234"/>
        <v>0</v>
      </c>
      <c r="J215" s="272">
        <f>SUM(F215:I215)</f>
        <v>0</v>
      </c>
      <c r="K215" s="271">
        <f t="shared" ref="K215:L215" si="235">K214+K213-J214</f>
        <v>0</v>
      </c>
      <c r="L215" s="271">
        <f t="shared" si="235"/>
        <v>0</v>
      </c>
      <c r="M215" s="271">
        <f>M214+M213-15631</f>
        <v>620</v>
      </c>
      <c r="N215" s="271">
        <f>N214+N213-M214</f>
        <v>972</v>
      </c>
      <c r="O215" s="272">
        <f>SUM(M215:N215)</f>
        <v>1592</v>
      </c>
      <c r="P215" s="271">
        <f t="shared" ref="P215:S215" si="236">P214+P213-O214</f>
        <v>3241</v>
      </c>
      <c r="Q215" s="271">
        <f t="shared" si="236"/>
        <v>-76</v>
      </c>
      <c r="R215" s="271">
        <f t="shared" si="236"/>
        <v>-148</v>
      </c>
      <c r="S215" s="271">
        <f t="shared" si="236"/>
        <v>768</v>
      </c>
      <c r="T215" s="272">
        <f>SUM(P215:S215)</f>
        <v>3785</v>
      </c>
      <c r="U215" s="271">
        <f t="shared" ref="U215:W215" si="237">U214+U213-T214</f>
        <v>-544</v>
      </c>
      <c r="V215" s="271">
        <f t="shared" si="237"/>
        <v>-76</v>
      </c>
      <c r="W215" s="271">
        <f t="shared" si="237"/>
        <v>-148</v>
      </c>
      <c r="X215" s="273">
        <f>W215*(1+X216)</f>
        <v>-155.4</v>
      </c>
      <c r="Y215" s="272">
        <f>SUM(U215:X215)</f>
        <v>-923.4</v>
      </c>
      <c r="Z215" s="273">
        <f>X215*(1+Z216)</f>
        <v>-163.17000000000002</v>
      </c>
      <c r="AA215" s="273">
        <f t="shared" ref="AA215:AC215" si="238">Z215*(1+AA216)</f>
        <v>-171.32850000000002</v>
      </c>
      <c r="AB215" s="273">
        <f t="shared" si="238"/>
        <v>-179.89492500000003</v>
      </c>
      <c r="AC215" s="273">
        <f t="shared" si="238"/>
        <v>-188.88967125000005</v>
      </c>
      <c r="AD215" s="272">
        <f>SUM(Z215:AC215)</f>
        <v>-703.2830962500002</v>
      </c>
      <c r="AE215" s="272">
        <f t="shared" ref="AE215:AG215" si="239">AD215*(1+AE216)</f>
        <v>-738.44725106250019</v>
      </c>
      <c r="AF215" s="272">
        <f t="shared" si="239"/>
        <v>-775.36961361562521</v>
      </c>
      <c r="AG215" s="272">
        <f t="shared" si="239"/>
        <v>-814.13809429640651</v>
      </c>
      <c r="AH215" s="12"/>
      <c r="AI215" s="12"/>
      <c r="AJ215" s="12"/>
    </row>
    <row r="216" spans="1:36" ht="12.75" hidden="1" customHeight="1" outlineLevel="1" collapsed="1">
      <c r="A216" s="12"/>
      <c r="B216" s="12"/>
      <c r="C216" s="89" t="s">
        <v>260</v>
      </c>
      <c r="D216" s="12"/>
      <c r="E216" s="12"/>
      <c r="F216" s="265"/>
      <c r="G216" s="264" t="str">
        <f t="shared" ref="G216:I216" si="240">IFERROR(G215/F215-1,"--")</f>
        <v>--</v>
      </c>
      <c r="H216" s="264" t="str">
        <f t="shared" si="240"/>
        <v>--</v>
      </c>
      <c r="I216" s="264" t="str">
        <f t="shared" si="240"/>
        <v>--</v>
      </c>
      <c r="J216" s="137"/>
      <c r="K216" s="264" t="str">
        <f>IFERROR(K215/I215-1,"--")</f>
        <v>--</v>
      </c>
      <c r="L216" s="264" t="str">
        <f t="shared" ref="L216:N216" si="241">IFERROR(L215/K215-1,"--")</f>
        <v>--</v>
      </c>
      <c r="M216" s="264" t="str">
        <f t="shared" si="241"/>
        <v>--</v>
      </c>
      <c r="N216" s="264">
        <f t="shared" si="241"/>
        <v>0.56774193548387086</v>
      </c>
      <c r="O216" s="252" t="str">
        <f>IFERROR(O215/J215-1,"--")</f>
        <v>--</v>
      </c>
      <c r="P216" s="264">
        <f>IFERROR(P215/N215-1,"--")</f>
        <v>2.3343621399176953</v>
      </c>
      <c r="Q216" s="264">
        <f t="shared" ref="Q216:S216" si="242">IFERROR(Q215/P215-1,"--")</f>
        <v>-1.02344955260722</v>
      </c>
      <c r="R216" s="264">
        <f t="shared" si="242"/>
        <v>0.94736842105263164</v>
      </c>
      <c r="S216" s="264">
        <f t="shared" si="242"/>
        <v>-6.1891891891891895</v>
      </c>
      <c r="T216" s="252">
        <f>IFERROR(T215/O215-1,"--")</f>
        <v>1.3775125628140703</v>
      </c>
      <c r="U216" s="264">
        <f>IFERROR(U215/S215-1,"--")</f>
        <v>-1.7083333333333335</v>
      </c>
      <c r="V216" s="264">
        <f t="shared" ref="V216:W216" si="243">IFERROR(V215/U215-1,"--")</f>
        <v>-0.86029411764705888</v>
      </c>
      <c r="W216" s="264">
        <f t="shared" si="243"/>
        <v>0.94736842105263164</v>
      </c>
      <c r="X216" s="251">
        <f>IF(Case_Scenario="Bull",X217,IF(Case_Scenario="Base",X218,IF(Case_Scenario="bear",X219,"N/A")))</f>
        <v>0.05</v>
      </c>
      <c r="Y216" s="252"/>
      <c r="Z216" s="251">
        <f>IF(Case_Scenario="Bull",Z217,IF(Case_Scenario="Base",Z218,IF(Case_Scenario="bear",Z219,"N/A")))</f>
        <v>0.05</v>
      </c>
      <c r="AA216" s="251">
        <f>IF(Case_Scenario="Bull",AA217,IF(Case_Scenario="Base",AA218,IF(Case_Scenario="bear",AA219,"N/A")))</f>
        <v>0.05</v>
      </c>
      <c r="AB216" s="251">
        <f>IF(Case_Scenario="Bull",AB217,IF(Case_Scenario="Base",AB218,IF(Case_Scenario="bear",AB219,"N/A")))</f>
        <v>0.05</v>
      </c>
      <c r="AC216" s="251">
        <f>IF(Case_Scenario="Bull",AC217,IF(Case_Scenario="Base",AC218,IF(Case_Scenario="bear",AC219,"N/A")))</f>
        <v>0.05</v>
      </c>
      <c r="AD216" s="252"/>
      <c r="AE216" s="252">
        <f>IF(Case_Scenario="Bull",AE217,IF(Case_Scenario="Base",AE218,IF(Case_Scenario="bear",AE219,"N/A")))</f>
        <v>0.05</v>
      </c>
      <c r="AF216" s="252">
        <f>IF(Case_Scenario="Bull",AF217,IF(Case_Scenario="Base",AF218,IF(Case_Scenario="bear",AF219,"N/A")))</f>
        <v>0.05</v>
      </c>
      <c r="AG216" s="252">
        <f>IF(Case_Scenario="Bull",AG217,IF(Case_Scenario="Base",AG218,IF(Case_Scenario="bear",AG219,"N/A")))</f>
        <v>0.05</v>
      </c>
      <c r="AH216" s="12"/>
      <c r="AI216" s="12"/>
      <c r="AJ216" s="12"/>
    </row>
    <row r="217" spans="1:36" ht="12.75" hidden="1" customHeight="1" outlineLevel="1" collapsed="1">
      <c r="A217" s="12"/>
      <c r="B217" s="12"/>
      <c r="C217" s="108" t="s">
        <v>251</v>
      </c>
      <c r="D217" s="12"/>
      <c r="E217" s="12"/>
      <c r="F217" s="265"/>
      <c r="G217" s="265"/>
      <c r="H217" s="265"/>
      <c r="I217" s="265"/>
      <c r="J217" s="137"/>
      <c r="K217" s="265"/>
      <c r="L217" s="265"/>
      <c r="M217" s="265"/>
      <c r="N217" s="265"/>
      <c r="O217" s="137"/>
      <c r="P217" s="265"/>
      <c r="Q217" s="265"/>
      <c r="R217" s="265"/>
      <c r="S217" s="265"/>
      <c r="T217" s="137"/>
      <c r="U217" s="265"/>
      <c r="V217" s="265"/>
      <c r="W217" s="265"/>
      <c r="X217" s="266">
        <v>0.1</v>
      </c>
      <c r="Y217" s="267"/>
      <c r="Z217" s="266">
        <v>0.1</v>
      </c>
      <c r="AA217" s="266">
        <v>0.1</v>
      </c>
      <c r="AB217" s="266">
        <v>0.1</v>
      </c>
      <c r="AC217" s="266">
        <v>0.1</v>
      </c>
      <c r="AD217" s="267"/>
      <c r="AE217" s="267">
        <v>0.1</v>
      </c>
      <c r="AF217" s="267">
        <v>0.1</v>
      </c>
      <c r="AG217" s="267">
        <v>0.1</v>
      </c>
      <c r="AH217" s="12"/>
      <c r="AI217" s="12"/>
      <c r="AJ217" s="12"/>
    </row>
    <row r="218" spans="1:36" ht="12.75" hidden="1" customHeight="1" outlineLevel="1" collapsed="1">
      <c r="A218" s="12"/>
      <c r="B218" s="12"/>
      <c r="C218" s="108" t="s">
        <v>252</v>
      </c>
      <c r="D218" s="12"/>
      <c r="E218" s="12"/>
      <c r="F218" s="265"/>
      <c r="G218" s="265"/>
      <c r="H218" s="265"/>
      <c r="I218" s="265"/>
      <c r="J218" s="137"/>
      <c r="K218" s="265"/>
      <c r="L218" s="265"/>
      <c r="M218" s="265"/>
      <c r="N218" s="265"/>
      <c r="O218" s="137"/>
      <c r="P218" s="265"/>
      <c r="Q218" s="265"/>
      <c r="R218" s="265"/>
      <c r="S218" s="265"/>
      <c r="T218" s="137"/>
      <c r="U218" s="265"/>
      <c r="V218" s="265"/>
      <c r="W218" s="265"/>
      <c r="X218" s="266">
        <v>0.05</v>
      </c>
      <c r="Y218" s="267"/>
      <c r="Z218" s="266">
        <v>0.05</v>
      </c>
      <c r="AA218" s="266">
        <v>0.05</v>
      </c>
      <c r="AB218" s="266">
        <v>0.05</v>
      </c>
      <c r="AC218" s="266">
        <v>0.05</v>
      </c>
      <c r="AD218" s="267"/>
      <c r="AE218" s="267">
        <v>0.05</v>
      </c>
      <c r="AF218" s="267">
        <v>0.05</v>
      </c>
      <c r="AG218" s="267">
        <v>0.05</v>
      </c>
      <c r="AH218" s="12"/>
      <c r="AI218" s="12"/>
      <c r="AJ218" s="12"/>
    </row>
    <row r="219" spans="1:36" ht="12.75" hidden="1" customHeight="1" outlineLevel="1" collapsed="1">
      <c r="A219" s="12"/>
      <c r="B219" s="12"/>
      <c r="C219" s="108" t="s">
        <v>253</v>
      </c>
      <c r="D219" s="12"/>
      <c r="E219" s="12"/>
      <c r="F219" s="265"/>
      <c r="G219" s="265"/>
      <c r="H219" s="265"/>
      <c r="I219" s="265"/>
      <c r="J219" s="137"/>
      <c r="K219" s="265"/>
      <c r="L219" s="265"/>
      <c r="M219" s="265"/>
      <c r="N219" s="265"/>
      <c r="O219" s="137"/>
      <c r="P219" s="265"/>
      <c r="Q219" s="265"/>
      <c r="R219" s="265"/>
      <c r="S219" s="265"/>
      <c r="T219" s="137"/>
      <c r="U219" s="265"/>
      <c r="V219" s="265"/>
      <c r="W219" s="265"/>
      <c r="X219" s="266">
        <v>0</v>
      </c>
      <c r="Y219" s="267"/>
      <c r="Z219" s="266">
        <v>0</v>
      </c>
      <c r="AA219" s="266">
        <v>0</v>
      </c>
      <c r="AB219" s="266">
        <v>0</v>
      </c>
      <c r="AC219" s="266">
        <v>0</v>
      </c>
      <c r="AD219" s="267"/>
      <c r="AE219" s="267">
        <v>0</v>
      </c>
      <c r="AF219" s="267">
        <v>0</v>
      </c>
      <c r="AG219" s="267">
        <v>0</v>
      </c>
      <c r="AH219" s="12"/>
      <c r="AI219" s="12"/>
      <c r="AJ219" s="12"/>
    </row>
    <row r="220" spans="1:36" ht="12.75" hidden="1" customHeight="1" outlineLevel="1" collapsed="1">
      <c r="A220" s="12"/>
      <c r="B220" s="12"/>
      <c r="C220" s="108" t="s">
        <v>261</v>
      </c>
      <c r="D220" s="12"/>
      <c r="E220" s="12"/>
      <c r="F220" s="285" t="e">
        <f t="shared" ref="F220:W220" si="244">F215/F213</f>
        <v>#DIV/0!</v>
      </c>
      <c r="G220" s="285" t="e">
        <f t="shared" si="244"/>
        <v>#DIV/0!</v>
      </c>
      <c r="H220" s="285" t="e">
        <f t="shared" si="244"/>
        <v>#DIV/0!</v>
      </c>
      <c r="I220" s="285" t="e">
        <f t="shared" si="244"/>
        <v>#DIV/0!</v>
      </c>
      <c r="J220" s="286" t="e">
        <f t="shared" si="244"/>
        <v>#DIV/0!</v>
      </c>
      <c r="K220" s="285" t="e">
        <f t="shared" si="244"/>
        <v>#DIV/0!</v>
      </c>
      <c r="L220" s="285" t="e">
        <f t="shared" si="244"/>
        <v>#DIV/0!</v>
      </c>
      <c r="M220" s="285" t="e">
        <f t="shared" si="244"/>
        <v>#DIV/0!</v>
      </c>
      <c r="N220" s="285" t="e">
        <f t="shared" si="244"/>
        <v>#DIV/0!</v>
      </c>
      <c r="O220" s="286" t="e">
        <f t="shared" si="244"/>
        <v>#DIV/0!</v>
      </c>
      <c r="P220" s="285" t="e">
        <f t="shared" si="244"/>
        <v>#DIV/0!</v>
      </c>
      <c r="Q220" s="285" t="e">
        <f t="shared" si="244"/>
        <v>#DIV/0!</v>
      </c>
      <c r="R220" s="285" t="e">
        <f t="shared" si="244"/>
        <v>#DIV/0!</v>
      </c>
      <c r="S220" s="285" t="e">
        <f t="shared" si="244"/>
        <v>#DIV/0!</v>
      </c>
      <c r="T220" s="286" t="e">
        <f t="shared" si="244"/>
        <v>#DIV/0!</v>
      </c>
      <c r="U220" s="285" t="e">
        <f t="shared" si="244"/>
        <v>#DIV/0!</v>
      </c>
      <c r="V220" s="285" t="e">
        <f t="shared" si="244"/>
        <v>#DIV/0!</v>
      </c>
      <c r="W220" s="285" t="e">
        <f t="shared" si="244"/>
        <v>#DIV/0!</v>
      </c>
      <c r="X220" s="280">
        <f>IF(Case_Scenario="Bull",X221,IF(Case_Scenario="Base",X222,IF(Case_Scenario="bear",X223,"N/A")))</f>
        <v>1.25</v>
      </c>
      <c r="Y220" s="279" t="e">
        <f>AVERAGE(U220:X220)</f>
        <v>#DIV/0!</v>
      </c>
      <c r="Z220" s="280">
        <f>IF(Case_Scenario="Bull",Z221,IF(Case_Scenario="Base",Z222,IF(Case_Scenario="bear",Z223,"N/A")))</f>
        <v>1.25</v>
      </c>
      <c r="AA220" s="280">
        <f>IF(Case_Scenario="Bull",AA221,IF(Case_Scenario="Base",AA222,IF(Case_Scenario="bear",AA223,"N/A")))</f>
        <v>1.25</v>
      </c>
      <c r="AB220" s="280">
        <f>IF(Case_Scenario="Bull",AB221,IF(Case_Scenario="Base",AB222,IF(Case_Scenario="bear",AB223,"N/A")))</f>
        <v>1.25</v>
      </c>
      <c r="AC220" s="280">
        <f>IF(Case_Scenario="Bull",AC221,IF(Case_Scenario="Base",AC222,IF(Case_Scenario="bear",AC223,"N/A")))</f>
        <v>1.25</v>
      </c>
      <c r="AD220" s="279">
        <f>AVERAGE(Z220:AC220)</f>
        <v>1.25</v>
      </c>
      <c r="AE220" s="279">
        <f>IF(Case_Scenario="Bull",AE221,IF(Case_Scenario="Base",AE222,IF(Case_Scenario="bear",AE223,"N/A")))</f>
        <v>1.25</v>
      </c>
      <c r="AF220" s="279">
        <f>IF(Case_Scenario="Bull",AF221,IF(Case_Scenario="Base",AF222,IF(Case_Scenario="bear",AF223,"N/A")))</f>
        <v>1.25</v>
      </c>
      <c r="AG220" s="279">
        <f>IF(Case_Scenario="Bull",AG221,IF(Case_Scenario="Base",AG222,IF(Case_Scenario="bear",AG223,"N/A")))</f>
        <v>1.25</v>
      </c>
      <c r="AH220" s="12"/>
      <c r="AI220" s="12"/>
      <c r="AJ220" s="12"/>
    </row>
    <row r="221" spans="1:36" ht="12.75" hidden="1" customHeight="1" outlineLevel="1" collapsed="1">
      <c r="A221" s="12"/>
      <c r="B221" s="12"/>
      <c r="C221" s="108" t="s">
        <v>251</v>
      </c>
      <c r="D221" s="12"/>
      <c r="E221" s="12"/>
      <c r="F221" s="265"/>
      <c r="G221" s="264"/>
      <c r="H221" s="264"/>
      <c r="I221" s="264"/>
      <c r="J221" s="137"/>
      <c r="K221" s="264"/>
      <c r="L221" s="264"/>
      <c r="M221" s="264"/>
      <c r="N221" s="264"/>
      <c r="O221" s="252"/>
      <c r="P221" s="264"/>
      <c r="Q221" s="264"/>
      <c r="R221" s="264"/>
      <c r="S221" s="264"/>
      <c r="T221" s="252"/>
      <c r="U221" s="264"/>
      <c r="V221" s="264"/>
      <c r="W221" s="264"/>
      <c r="X221" s="283">
        <v>1</v>
      </c>
      <c r="Y221" s="284"/>
      <c r="Z221" s="283">
        <v>1</v>
      </c>
      <c r="AA221" s="283">
        <v>1</v>
      </c>
      <c r="AB221" s="283">
        <v>1</v>
      </c>
      <c r="AC221" s="283">
        <v>1</v>
      </c>
      <c r="AD221" s="284"/>
      <c r="AE221" s="284">
        <v>1</v>
      </c>
      <c r="AF221" s="284">
        <v>1</v>
      </c>
      <c r="AG221" s="284">
        <v>1</v>
      </c>
      <c r="AH221" s="12"/>
      <c r="AI221" s="12"/>
      <c r="AJ221" s="12"/>
    </row>
    <row r="222" spans="1:36" ht="12.75" hidden="1" customHeight="1" outlineLevel="1" collapsed="1">
      <c r="A222" s="12"/>
      <c r="B222" s="12"/>
      <c r="C222" s="108" t="s">
        <v>252</v>
      </c>
      <c r="D222" s="12"/>
      <c r="E222" s="12"/>
      <c r="F222" s="265"/>
      <c r="G222" s="265"/>
      <c r="H222" s="265"/>
      <c r="I222" s="265"/>
      <c r="J222" s="137"/>
      <c r="K222" s="265"/>
      <c r="L222" s="265"/>
      <c r="M222" s="265"/>
      <c r="N222" s="265"/>
      <c r="O222" s="137"/>
      <c r="P222" s="265"/>
      <c r="Q222" s="265"/>
      <c r="R222" s="265"/>
      <c r="S222" s="265"/>
      <c r="T222" s="137"/>
      <c r="U222" s="265"/>
      <c r="V222" s="265"/>
      <c r="W222" s="265"/>
      <c r="X222" s="283">
        <v>1.25</v>
      </c>
      <c r="Y222" s="284"/>
      <c r="Z222" s="283">
        <v>1.25</v>
      </c>
      <c r="AA222" s="283">
        <v>1.25</v>
      </c>
      <c r="AB222" s="283">
        <v>1.25</v>
      </c>
      <c r="AC222" s="283">
        <v>1.25</v>
      </c>
      <c r="AD222" s="284"/>
      <c r="AE222" s="284">
        <v>1.25</v>
      </c>
      <c r="AF222" s="284">
        <v>1.25</v>
      </c>
      <c r="AG222" s="284">
        <v>1.25</v>
      </c>
      <c r="AH222" s="12"/>
      <c r="AI222" s="12"/>
      <c r="AJ222" s="12"/>
    </row>
    <row r="223" spans="1:36" ht="12.75" hidden="1" customHeight="1" outlineLevel="1" collapsed="1">
      <c r="A223" s="12"/>
      <c r="B223" s="12"/>
      <c r="C223" s="108" t="s">
        <v>253</v>
      </c>
      <c r="D223" s="12"/>
      <c r="E223" s="12"/>
      <c r="F223" s="265"/>
      <c r="G223" s="265"/>
      <c r="H223" s="265"/>
      <c r="I223" s="265"/>
      <c r="J223" s="137"/>
      <c r="K223" s="265"/>
      <c r="L223" s="265"/>
      <c r="M223" s="265"/>
      <c r="N223" s="265"/>
      <c r="O223" s="137"/>
      <c r="P223" s="265"/>
      <c r="Q223" s="265"/>
      <c r="R223" s="265"/>
      <c r="S223" s="265"/>
      <c r="T223" s="137"/>
      <c r="U223" s="265"/>
      <c r="V223" s="265"/>
      <c r="W223" s="265"/>
      <c r="X223" s="283">
        <v>1.5</v>
      </c>
      <c r="Y223" s="284"/>
      <c r="Z223" s="283">
        <v>1.5</v>
      </c>
      <c r="AA223" s="283">
        <v>1.5</v>
      </c>
      <c r="AB223" s="283">
        <v>1.5</v>
      </c>
      <c r="AC223" s="283">
        <v>1.5</v>
      </c>
      <c r="AD223" s="284"/>
      <c r="AE223" s="284">
        <v>1.5</v>
      </c>
      <c r="AF223" s="284">
        <v>1.5</v>
      </c>
      <c r="AG223" s="284">
        <v>1.5</v>
      </c>
      <c r="AH223" s="12"/>
      <c r="AI223" s="12"/>
      <c r="AJ223" s="12"/>
    </row>
    <row r="224" spans="1:36" ht="12.75" hidden="1" customHeight="1" outlineLevel="1" collapsed="1">
      <c r="A224" s="12"/>
      <c r="B224" s="12"/>
      <c r="C224" s="12"/>
      <c r="D224" s="12"/>
      <c r="E224" s="12"/>
      <c r="F224" s="265"/>
      <c r="G224" s="265"/>
      <c r="H224" s="265"/>
      <c r="I224" s="265"/>
      <c r="J224" s="137"/>
      <c r="K224" s="265"/>
      <c r="L224" s="265"/>
      <c r="M224" s="265"/>
      <c r="N224" s="265"/>
      <c r="O224" s="137"/>
      <c r="P224" s="265"/>
      <c r="Q224" s="265"/>
      <c r="R224" s="265"/>
      <c r="S224" s="265"/>
      <c r="T224" s="137"/>
      <c r="U224" s="265"/>
      <c r="V224" s="265"/>
      <c r="W224" s="265"/>
      <c r="X224" s="266"/>
      <c r="Y224" s="267"/>
      <c r="Z224" s="266"/>
      <c r="AA224" s="266"/>
      <c r="AB224" s="266"/>
      <c r="AC224" s="266"/>
      <c r="AD224" s="267"/>
      <c r="AE224" s="267"/>
      <c r="AF224" s="267"/>
      <c r="AG224" s="267"/>
      <c r="AH224" s="12"/>
      <c r="AI224" s="12"/>
      <c r="AJ224" s="12"/>
    </row>
    <row r="225" spans="1:36" ht="12.75" hidden="1" customHeight="1" outlineLevel="1" collapsed="1">
      <c r="A225" s="211" t="s">
        <v>1</v>
      </c>
      <c r="B225" s="12"/>
      <c r="C225" s="108" t="str">
        <f>C47</f>
        <v>Segment 6 Revenue</v>
      </c>
      <c r="D225" s="12"/>
      <c r="E225" s="12"/>
      <c r="F225" s="263">
        <f t="shared" ref="F225:W225" si="245">F47</f>
        <v>0</v>
      </c>
      <c r="G225" s="263">
        <f t="shared" si="245"/>
        <v>0</v>
      </c>
      <c r="H225" s="263">
        <f t="shared" si="245"/>
        <v>0</v>
      </c>
      <c r="I225" s="263">
        <f t="shared" si="245"/>
        <v>0</v>
      </c>
      <c r="J225" s="233">
        <f t="shared" si="245"/>
        <v>0</v>
      </c>
      <c r="K225" s="263">
        <f t="shared" si="245"/>
        <v>0</v>
      </c>
      <c r="L225" s="263">
        <f t="shared" si="245"/>
        <v>0</v>
      </c>
      <c r="M225" s="263">
        <f t="shared" si="245"/>
        <v>0</v>
      </c>
      <c r="N225" s="263">
        <f t="shared" si="245"/>
        <v>0</v>
      </c>
      <c r="O225" s="233">
        <f t="shared" si="245"/>
        <v>0</v>
      </c>
      <c r="P225" s="263">
        <f t="shared" si="245"/>
        <v>0</v>
      </c>
      <c r="Q225" s="263">
        <f t="shared" si="245"/>
        <v>0</v>
      </c>
      <c r="R225" s="263">
        <f t="shared" si="245"/>
        <v>0</v>
      </c>
      <c r="S225" s="263">
        <f t="shared" si="245"/>
        <v>0</v>
      </c>
      <c r="T225" s="233">
        <f t="shared" si="245"/>
        <v>0</v>
      </c>
      <c r="U225" s="263">
        <f t="shared" si="245"/>
        <v>0</v>
      </c>
      <c r="V225" s="263">
        <f t="shared" si="245"/>
        <v>0</v>
      </c>
      <c r="W225" s="263">
        <f t="shared" si="245"/>
        <v>0</v>
      </c>
      <c r="X225" s="232">
        <f>X227/X232</f>
        <v>0</v>
      </c>
      <c r="Y225" s="233">
        <f>SUM(U225:X225)</f>
        <v>0</v>
      </c>
      <c r="Z225" s="232">
        <f t="shared" ref="Z225:AC225" si="246">Z227/Z232</f>
        <v>0</v>
      </c>
      <c r="AA225" s="232">
        <f t="shared" si="246"/>
        <v>0</v>
      </c>
      <c r="AB225" s="232">
        <f t="shared" si="246"/>
        <v>0</v>
      </c>
      <c r="AC225" s="232">
        <f t="shared" si="246"/>
        <v>0</v>
      </c>
      <c r="AD225" s="233">
        <f>SUM(Z225:AC225)</f>
        <v>0</v>
      </c>
      <c r="AE225" s="233">
        <f t="shared" ref="AE225:AG225" si="247">AE227/AE232</f>
        <v>0</v>
      </c>
      <c r="AF225" s="233">
        <f t="shared" si="247"/>
        <v>0</v>
      </c>
      <c r="AG225" s="233">
        <f t="shared" si="247"/>
        <v>0</v>
      </c>
      <c r="AH225" s="12"/>
      <c r="AI225" s="12"/>
      <c r="AJ225" s="12"/>
    </row>
    <row r="226" spans="1:36" ht="12.75" hidden="1" customHeight="1" outlineLevel="1" collapsed="1">
      <c r="A226" s="12"/>
      <c r="B226" s="12"/>
      <c r="C226" s="108" t="s">
        <v>244</v>
      </c>
      <c r="D226" s="12"/>
      <c r="E226" s="12"/>
      <c r="F226" s="271">
        <v>0</v>
      </c>
      <c r="G226" s="271">
        <v>0</v>
      </c>
      <c r="H226" s="271">
        <v>0</v>
      </c>
      <c r="I226" s="271">
        <v>0</v>
      </c>
      <c r="J226" s="272">
        <v>0</v>
      </c>
      <c r="K226" s="271">
        <v>0</v>
      </c>
      <c r="L226" s="271">
        <v>0</v>
      </c>
      <c r="M226" s="271">
        <v>0</v>
      </c>
      <c r="N226" s="271">
        <v>0</v>
      </c>
      <c r="O226" s="272">
        <v>0</v>
      </c>
      <c r="P226" s="271">
        <v>0</v>
      </c>
      <c r="Q226" s="271">
        <v>0</v>
      </c>
      <c r="R226" s="271">
        <v>0</v>
      </c>
      <c r="S226" s="271">
        <v>0</v>
      </c>
      <c r="T226" s="272">
        <v>0</v>
      </c>
      <c r="U226" s="271">
        <v>0</v>
      </c>
      <c r="V226" s="271">
        <v>0</v>
      </c>
      <c r="W226" s="271">
        <v>0</v>
      </c>
      <c r="X226" s="273">
        <f>W226+X227-X225</f>
        <v>0</v>
      </c>
      <c r="Y226" s="272">
        <f>T226+Y227-Y225</f>
        <v>0</v>
      </c>
      <c r="Z226" s="273">
        <f>X226+Z227-Z225</f>
        <v>0</v>
      </c>
      <c r="AA226" s="273">
        <f t="shared" ref="AA226:AC226" si="248">Z226+AA227-AA225</f>
        <v>0</v>
      </c>
      <c r="AB226" s="273">
        <f t="shared" si="248"/>
        <v>0</v>
      </c>
      <c r="AC226" s="273">
        <f t="shared" si="248"/>
        <v>0</v>
      </c>
      <c r="AD226" s="272">
        <f>Y226+AD227-AD225</f>
        <v>0</v>
      </c>
      <c r="AE226" s="272">
        <f t="shared" ref="AE226:AG226" si="249">AD226+AE227-AE225</f>
        <v>0</v>
      </c>
      <c r="AF226" s="272">
        <f t="shared" si="249"/>
        <v>0</v>
      </c>
      <c r="AG226" s="272">
        <f t="shared" si="249"/>
        <v>0</v>
      </c>
      <c r="AH226" s="12"/>
      <c r="AI226" s="12"/>
      <c r="AJ226" s="12"/>
    </row>
    <row r="227" spans="1:36" ht="12.75" hidden="1" customHeight="1" outlineLevel="1" collapsed="1">
      <c r="A227" s="12"/>
      <c r="B227" s="12"/>
      <c r="C227" s="108" t="s">
        <v>259</v>
      </c>
      <c r="D227" s="12"/>
      <c r="E227" s="12"/>
      <c r="F227" s="271">
        <f>F226+F225-(0)</f>
        <v>0</v>
      </c>
      <c r="G227" s="271">
        <f t="shared" ref="G227:I227" si="250">G226+G225-F226</f>
        <v>0</v>
      </c>
      <c r="H227" s="271">
        <f t="shared" si="250"/>
        <v>0</v>
      </c>
      <c r="I227" s="271">
        <f t="shared" si="250"/>
        <v>0</v>
      </c>
      <c r="J227" s="272">
        <f>SUM(F227:I227)</f>
        <v>0</v>
      </c>
      <c r="K227" s="271">
        <f t="shared" ref="K227:N227" si="251">K226+K225-J226</f>
        <v>0</v>
      </c>
      <c r="L227" s="271">
        <f t="shared" si="251"/>
        <v>0</v>
      </c>
      <c r="M227" s="271">
        <f t="shared" si="251"/>
        <v>0</v>
      </c>
      <c r="N227" s="271">
        <f t="shared" si="251"/>
        <v>0</v>
      </c>
      <c r="O227" s="272">
        <f>SUM(K227:N227)</f>
        <v>0</v>
      </c>
      <c r="P227" s="271">
        <f t="shared" ref="P227:S227" si="252">P226+P225-O226</f>
        <v>0</v>
      </c>
      <c r="Q227" s="271">
        <f t="shared" si="252"/>
        <v>0</v>
      </c>
      <c r="R227" s="271">
        <f t="shared" si="252"/>
        <v>0</v>
      </c>
      <c r="S227" s="271">
        <f t="shared" si="252"/>
        <v>0</v>
      </c>
      <c r="T227" s="272">
        <f>SUM(P227:S227)</f>
        <v>0</v>
      </c>
      <c r="U227" s="271">
        <f t="shared" ref="U227:W227" si="253">U226+U225-T226</f>
        <v>0</v>
      </c>
      <c r="V227" s="271">
        <f t="shared" si="253"/>
        <v>0</v>
      </c>
      <c r="W227" s="271">
        <f t="shared" si="253"/>
        <v>0</v>
      </c>
      <c r="X227" s="273">
        <f>W227*(1+X228)</f>
        <v>0</v>
      </c>
      <c r="Y227" s="272">
        <f>SUM(U227:X227)</f>
        <v>0</v>
      </c>
      <c r="Z227" s="273">
        <f>X227*(1+Z228)</f>
        <v>0</v>
      </c>
      <c r="AA227" s="273">
        <f t="shared" ref="AA227:AC227" si="254">Z227*(1+AA228)</f>
        <v>0</v>
      </c>
      <c r="AB227" s="273">
        <f t="shared" si="254"/>
        <v>0</v>
      </c>
      <c r="AC227" s="273">
        <f t="shared" si="254"/>
        <v>0</v>
      </c>
      <c r="AD227" s="272">
        <f>SUM(Z227:AC227)</f>
        <v>0</v>
      </c>
      <c r="AE227" s="272">
        <f t="shared" ref="AE227:AG227" si="255">AD227*(1+AE228)</f>
        <v>0</v>
      </c>
      <c r="AF227" s="272">
        <f t="shared" si="255"/>
        <v>0</v>
      </c>
      <c r="AG227" s="272">
        <f t="shared" si="255"/>
        <v>0</v>
      </c>
      <c r="AH227" s="12"/>
      <c r="AI227" s="12"/>
      <c r="AJ227" s="12"/>
    </row>
    <row r="228" spans="1:36" ht="12.75" hidden="1" customHeight="1" outlineLevel="1" collapsed="1">
      <c r="A228" s="12"/>
      <c r="B228" s="12"/>
      <c r="C228" s="89" t="s">
        <v>260</v>
      </c>
      <c r="D228" s="12"/>
      <c r="E228" s="12"/>
      <c r="F228" s="265"/>
      <c r="G228" s="264" t="str">
        <f t="shared" ref="G228:I228" si="256">IFERROR(G227/F227-1,"--")</f>
        <v>--</v>
      </c>
      <c r="H228" s="264" t="str">
        <f t="shared" si="256"/>
        <v>--</v>
      </c>
      <c r="I228" s="264" t="str">
        <f t="shared" si="256"/>
        <v>--</v>
      </c>
      <c r="J228" s="137"/>
      <c r="K228" s="264" t="str">
        <f>IFERROR(K227/I227-1,"--")</f>
        <v>--</v>
      </c>
      <c r="L228" s="264" t="str">
        <f t="shared" ref="L228:N228" si="257">IFERROR(L227/K227-1,"--")</f>
        <v>--</v>
      </c>
      <c r="M228" s="264" t="str">
        <f t="shared" si="257"/>
        <v>--</v>
      </c>
      <c r="N228" s="264" t="str">
        <f t="shared" si="257"/>
        <v>--</v>
      </c>
      <c r="O228" s="252" t="str">
        <f>IFERROR(O227/J227-1,"--")</f>
        <v>--</v>
      </c>
      <c r="P228" s="264" t="str">
        <f>IFERROR(P227/N227-1,"--")</f>
        <v>--</v>
      </c>
      <c r="Q228" s="264" t="str">
        <f t="shared" ref="Q228:S228" si="258">IFERROR(Q227/P227-1,"--")</f>
        <v>--</v>
      </c>
      <c r="R228" s="264" t="str">
        <f t="shared" si="258"/>
        <v>--</v>
      </c>
      <c r="S228" s="264" t="str">
        <f t="shared" si="258"/>
        <v>--</v>
      </c>
      <c r="T228" s="252" t="str">
        <f>IFERROR(T227/O227-1,"--")</f>
        <v>--</v>
      </c>
      <c r="U228" s="264" t="str">
        <f>IFERROR(U227/S227-1,"--")</f>
        <v>--</v>
      </c>
      <c r="V228" s="264" t="str">
        <f t="shared" ref="V228:W228" si="259">IFERROR(V227/U227-1,"--")</f>
        <v>--</v>
      </c>
      <c r="W228" s="264" t="str">
        <f t="shared" si="259"/>
        <v>--</v>
      </c>
      <c r="X228" s="251">
        <f>IF(Case_Scenario="Bull",X229,IF(Case_Scenario="Base",X230,IF(Case_Scenario="bear",X231,"N/A")))</f>
        <v>0.05</v>
      </c>
      <c r="Y228" s="252"/>
      <c r="Z228" s="251">
        <f>IF(Case_Scenario="Bull",Z229,IF(Case_Scenario="Base",Z230,IF(Case_Scenario="bear",Z231,"N/A")))</f>
        <v>0.05</v>
      </c>
      <c r="AA228" s="251">
        <f>IF(Case_Scenario="Bull",AA229,IF(Case_Scenario="Base",AA230,IF(Case_Scenario="bear",AA231,"N/A")))</f>
        <v>0.05</v>
      </c>
      <c r="AB228" s="251">
        <f>IF(Case_Scenario="Bull",AB229,IF(Case_Scenario="Base",AB230,IF(Case_Scenario="bear",AB231,"N/A")))</f>
        <v>0.05</v>
      </c>
      <c r="AC228" s="251">
        <f>IF(Case_Scenario="Bull",AC229,IF(Case_Scenario="Base",AC230,IF(Case_Scenario="bear",AC231,"N/A")))</f>
        <v>0.05</v>
      </c>
      <c r="AD228" s="252"/>
      <c r="AE228" s="252">
        <f>IF(Case_Scenario="Bull",AE229,IF(Case_Scenario="Base",AE230,IF(Case_Scenario="bear",AE231,"N/A")))</f>
        <v>0.05</v>
      </c>
      <c r="AF228" s="252">
        <f>IF(Case_Scenario="Bull",AF229,IF(Case_Scenario="Base",AF230,IF(Case_Scenario="bear",AF231,"N/A")))</f>
        <v>0.05</v>
      </c>
      <c r="AG228" s="252">
        <f>IF(Case_Scenario="Bull",AG229,IF(Case_Scenario="Base",AG230,IF(Case_Scenario="bear",AG231,"N/A")))</f>
        <v>0.05</v>
      </c>
      <c r="AH228" s="12"/>
      <c r="AI228" s="12"/>
      <c r="AJ228" s="12"/>
    </row>
    <row r="229" spans="1:36" ht="12.75" hidden="1" customHeight="1" outlineLevel="1" collapsed="1">
      <c r="A229" s="12"/>
      <c r="B229" s="12"/>
      <c r="C229" s="108" t="s">
        <v>251</v>
      </c>
      <c r="D229" s="12"/>
      <c r="E229" s="12"/>
      <c r="F229" s="265"/>
      <c r="G229" s="265"/>
      <c r="H229" s="265"/>
      <c r="I229" s="265"/>
      <c r="J229" s="137"/>
      <c r="K229" s="265"/>
      <c r="L229" s="265"/>
      <c r="M229" s="265"/>
      <c r="N229" s="265"/>
      <c r="O229" s="137"/>
      <c r="P229" s="265"/>
      <c r="Q229" s="265"/>
      <c r="R229" s="265"/>
      <c r="S229" s="265"/>
      <c r="T229" s="137"/>
      <c r="U229" s="265"/>
      <c r="V229" s="265"/>
      <c r="W229" s="265"/>
      <c r="X229" s="266">
        <v>0.1</v>
      </c>
      <c r="Y229" s="267"/>
      <c r="Z229" s="266">
        <v>0.1</v>
      </c>
      <c r="AA229" s="266">
        <v>0.1</v>
      </c>
      <c r="AB229" s="266">
        <v>0.1</v>
      </c>
      <c r="AC229" s="266">
        <v>0.1</v>
      </c>
      <c r="AD229" s="267"/>
      <c r="AE229" s="267">
        <v>0.1</v>
      </c>
      <c r="AF229" s="267">
        <v>0.1</v>
      </c>
      <c r="AG229" s="267">
        <v>0.1</v>
      </c>
      <c r="AH229" s="12"/>
      <c r="AI229" s="12"/>
      <c r="AJ229" s="12"/>
    </row>
    <row r="230" spans="1:36" ht="12.75" hidden="1" customHeight="1" outlineLevel="1" collapsed="1">
      <c r="A230" s="12"/>
      <c r="B230" s="12"/>
      <c r="C230" s="108" t="s">
        <v>252</v>
      </c>
      <c r="D230" s="12"/>
      <c r="E230" s="12"/>
      <c r="F230" s="265"/>
      <c r="G230" s="265"/>
      <c r="H230" s="265"/>
      <c r="I230" s="265"/>
      <c r="J230" s="137"/>
      <c r="K230" s="265"/>
      <c r="L230" s="265"/>
      <c r="M230" s="265"/>
      <c r="N230" s="265"/>
      <c r="O230" s="137"/>
      <c r="P230" s="265"/>
      <c r="Q230" s="265"/>
      <c r="R230" s="265"/>
      <c r="S230" s="265"/>
      <c r="T230" s="137"/>
      <c r="U230" s="265"/>
      <c r="V230" s="265"/>
      <c r="W230" s="265"/>
      <c r="X230" s="266">
        <v>0.05</v>
      </c>
      <c r="Y230" s="267"/>
      <c r="Z230" s="266">
        <v>0.05</v>
      </c>
      <c r="AA230" s="266">
        <v>0.05</v>
      </c>
      <c r="AB230" s="266">
        <v>0.05</v>
      </c>
      <c r="AC230" s="266">
        <v>0.05</v>
      </c>
      <c r="AD230" s="267"/>
      <c r="AE230" s="267">
        <v>0.05</v>
      </c>
      <c r="AF230" s="267">
        <v>0.05</v>
      </c>
      <c r="AG230" s="267">
        <v>0.05</v>
      </c>
      <c r="AH230" s="12"/>
      <c r="AI230" s="12"/>
      <c r="AJ230" s="12"/>
    </row>
    <row r="231" spans="1:36" ht="12.75" hidden="1" customHeight="1" outlineLevel="1" collapsed="1">
      <c r="A231" s="12"/>
      <c r="B231" s="12"/>
      <c r="C231" s="108" t="s">
        <v>253</v>
      </c>
      <c r="D231" s="12"/>
      <c r="E231" s="12"/>
      <c r="F231" s="265"/>
      <c r="G231" s="265"/>
      <c r="H231" s="265"/>
      <c r="I231" s="265"/>
      <c r="J231" s="137"/>
      <c r="K231" s="265"/>
      <c r="L231" s="265"/>
      <c r="M231" s="265"/>
      <c r="N231" s="265"/>
      <c r="O231" s="137"/>
      <c r="P231" s="265"/>
      <c r="Q231" s="265"/>
      <c r="R231" s="265"/>
      <c r="S231" s="265"/>
      <c r="T231" s="137"/>
      <c r="U231" s="265"/>
      <c r="V231" s="265"/>
      <c r="W231" s="265"/>
      <c r="X231" s="266">
        <v>0</v>
      </c>
      <c r="Y231" s="267"/>
      <c r="Z231" s="266">
        <v>0</v>
      </c>
      <c r="AA231" s="266">
        <v>0</v>
      </c>
      <c r="AB231" s="266">
        <v>0</v>
      </c>
      <c r="AC231" s="266">
        <v>0</v>
      </c>
      <c r="AD231" s="267"/>
      <c r="AE231" s="267">
        <v>0</v>
      </c>
      <c r="AF231" s="267">
        <v>0</v>
      </c>
      <c r="AG231" s="267">
        <v>0</v>
      </c>
      <c r="AH231" s="12"/>
      <c r="AI231" s="12"/>
      <c r="AJ231" s="12"/>
    </row>
    <row r="232" spans="1:36" ht="12.75" hidden="1" customHeight="1" outlineLevel="1" collapsed="1">
      <c r="A232" s="12"/>
      <c r="B232" s="12"/>
      <c r="C232" s="108" t="s">
        <v>261</v>
      </c>
      <c r="D232" s="12"/>
      <c r="E232" s="12"/>
      <c r="F232" s="285" t="e">
        <f t="shared" ref="F232:W232" si="260">F227/F225</f>
        <v>#DIV/0!</v>
      </c>
      <c r="G232" s="285" t="e">
        <f t="shared" si="260"/>
        <v>#DIV/0!</v>
      </c>
      <c r="H232" s="285" t="e">
        <f t="shared" si="260"/>
        <v>#DIV/0!</v>
      </c>
      <c r="I232" s="285" t="e">
        <f t="shared" si="260"/>
        <v>#DIV/0!</v>
      </c>
      <c r="J232" s="286" t="e">
        <f t="shared" si="260"/>
        <v>#DIV/0!</v>
      </c>
      <c r="K232" s="285" t="e">
        <f t="shared" si="260"/>
        <v>#DIV/0!</v>
      </c>
      <c r="L232" s="285" t="e">
        <f t="shared" si="260"/>
        <v>#DIV/0!</v>
      </c>
      <c r="M232" s="285" t="e">
        <f t="shared" si="260"/>
        <v>#DIV/0!</v>
      </c>
      <c r="N232" s="285" t="e">
        <f t="shared" si="260"/>
        <v>#DIV/0!</v>
      </c>
      <c r="O232" s="286" t="e">
        <f t="shared" si="260"/>
        <v>#DIV/0!</v>
      </c>
      <c r="P232" s="285" t="e">
        <f t="shared" si="260"/>
        <v>#DIV/0!</v>
      </c>
      <c r="Q232" s="285" t="e">
        <f t="shared" si="260"/>
        <v>#DIV/0!</v>
      </c>
      <c r="R232" s="285" t="e">
        <f t="shared" si="260"/>
        <v>#DIV/0!</v>
      </c>
      <c r="S232" s="285" t="e">
        <f t="shared" si="260"/>
        <v>#DIV/0!</v>
      </c>
      <c r="T232" s="286" t="e">
        <f t="shared" si="260"/>
        <v>#DIV/0!</v>
      </c>
      <c r="U232" s="285" t="e">
        <f t="shared" si="260"/>
        <v>#DIV/0!</v>
      </c>
      <c r="V232" s="285" t="e">
        <f t="shared" si="260"/>
        <v>#DIV/0!</v>
      </c>
      <c r="W232" s="285" t="e">
        <f t="shared" si="260"/>
        <v>#DIV/0!</v>
      </c>
      <c r="X232" s="280">
        <f>IF(Case_Scenario="Bull",X233,IF(Case_Scenario="Base",X234,IF(Case_Scenario="bear",X235,"N/A")))</f>
        <v>1.25</v>
      </c>
      <c r="Y232" s="279" t="e">
        <f>AVERAGE(U232:X232)</f>
        <v>#DIV/0!</v>
      </c>
      <c r="Z232" s="280">
        <f>IF(Case_Scenario="Bull",Z233,IF(Case_Scenario="Base",Z234,IF(Case_Scenario="bear",Z235,"N/A")))</f>
        <v>1.25</v>
      </c>
      <c r="AA232" s="280">
        <f>IF(Case_Scenario="Bull",AA233,IF(Case_Scenario="Base",AA234,IF(Case_Scenario="bear",AA235,"N/A")))</f>
        <v>1.25</v>
      </c>
      <c r="AB232" s="280">
        <f>IF(Case_Scenario="Bull",AB233,IF(Case_Scenario="Base",AB234,IF(Case_Scenario="bear",AB235,"N/A")))</f>
        <v>1.25</v>
      </c>
      <c r="AC232" s="280">
        <f>IF(Case_Scenario="Bull",AC233,IF(Case_Scenario="Base",AC234,IF(Case_Scenario="bear",AC235,"N/A")))</f>
        <v>1.25</v>
      </c>
      <c r="AD232" s="279">
        <f>AVERAGE(Z232:AC232)</f>
        <v>1.25</v>
      </c>
      <c r="AE232" s="279">
        <f>IF(Case_Scenario="Bull",AE233,IF(Case_Scenario="Base",AE234,IF(Case_Scenario="bear",AE235,"N/A")))</f>
        <v>1.25</v>
      </c>
      <c r="AF232" s="279">
        <f>IF(Case_Scenario="Bull",AF233,IF(Case_Scenario="Base",AF234,IF(Case_Scenario="bear",AF235,"N/A")))</f>
        <v>1.25</v>
      </c>
      <c r="AG232" s="279">
        <f>IF(Case_Scenario="Bull",AG233,IF(Case_Scenario="Base",AG234,IF(Case_Scenario="bear",AG235,"N/A")))</f>
        <v>1.25</v>
      </c>
      <c r="AH232" s="12"/>
      <c r="AI232" s="12"/>
      <c r="AJ232" s="12"/>
    </row>
    <row r="233" spans="1:36" ht="12.75" hidden="1" customHeight="1" outlineLevel="1" collapsed="1">
      <c r="A233" s="12"/>
      <c r="B233" s="12"/>
      <c r="C233" s="108" t="s">
        <v>251</v>
      </c>
      <c r="D233" s="12"/>
      <c r="E233" s="12"/>
      <c r="F233" s="265"/>
      <c r="G233" s="264"/>
      <c r="H233" s="264"/>
      <c r="I233" s="264"/>
      <c r="J233" s="137"/>
      <c r="K233" s="264"/>
      <c r="L233" s="264"/>
      <c r="M233" s="264"/>
      <c r="N233" s="264"/>
      <c r="O233" s="252"/>
      <c r="P233" s="264"/>
      <c r="Q233" s="264"/>
      <c r="R233" s="264"/>
      <c r="S233" s="264"/>
      <c r="T233" s="252"/>
      <c r="U233" s="264"/>
      <c r="V233" s="264"/>
      <c r="W233" s="264"/>
      <c r="X233" s="283">
        <v>1</v>
      </c>
      <c r="Y233" s="284"/>
      <c r="Z233" s="283">
        <v>1</v>
      </c>
      <c r="AA233" s="283">
        <v>1</v>
      </c>
      <c r="AB233" s="283">
        <v>1</v>
      </c>
      <c r="AC233" s="283">
        <v>1</v>
      </c>
      <c r="AD233" s="284"/>
      <c r="AE233" s="284">
        <v>1</v>
      </c>
      <c r="AF233" s="284">
        <v>1</v>
      </c>
      <c r="AG233" s="284">
        <v>1</v>
      </c>
      <c r="AH233" s="12"/>
      <c r="AI233" s="12"/>
      <c r="AJ233" s="12"/>
    </row>
    <row r="234" spans="1:36" ht="12.75" hidden="1" customHeight="1" outlineLevel="1" collapsed="1">
      <c r="A234" s="12"/>
      <c r="B234" s="12"/>
      <c r="C234" s="108" t="s">
        <v>252</v>
      </c>
      <c r="D234" s="12"/>
      <c r="E234" s="12"/>
      <c r="F234" s="265"/>
      <c r="G234" s="265"/>
      <c r="H234" s="265"/>
      <c r="I234" s="265"/>
      <c r="J234" s="137"/>
      <c r="K234" s="265"/>
      <c r="L234" s="265"/>
      <c r="M234" s="265"/>
      <c r="N234" s="265"/>
      <c r="O234" s="137"/>
      <c r="P234" s="265"/>
      <c r="Q234" s="265"/>
      <c r="R234" s="265"/>
      <c r="S234" s="265"/>
      <c r="T234" s="137"/>
      <c r="U234" s="265"/>
      <c r="V234" s="265"/>
      <c r="W234" s="265"/>
      <c r="X234" s="283">
        <v>1.25</v>
      </c>
      <c r="Y234" s="284"/>
      <c r="Z234" s="283">
        <v>1.25</v>
      </c>
      <c r="AA234" s="283">
        <v>1.25</v>
      </c>
      <c r="AB234" s="283">
        <v>1.25</v>
      </c>
      <c r="AC234" s="283">
        <v>1.25</v>
      </c>
      <c r="AD234" s="284"/>
      <c r="AE234" s="284">
        <v>1.25</v>
      </c>
      <c r="AF234" s="284">
        <v>1.25</v>
      </c>
      <c r="AG234" s="284">
        <v>1.25</v>
      </c>
      <c r="AH234" s="12"/>
      <c r="AI234" s="12"/>
      <c r="AJ234" s="12"/>
    </row>
    <row r="235" spans="1:36" ht="12.75" hidden="1" customHeight="1" outlineLevel="1" collapsed="1">
      <c r="A235" s="12"/>
      <c r="B235" s="12"/>
      <c r="C235" s="108" t="s">
        <v>253</v>
      </c>
      <c r="D235" s="12"/>
      <c r="E235" s="12"/>
      <c r="F235" s="265"/>
      <c r="G235" s="265"/>
      <c r="H235" s="265"/>
      <c r="I235" s="265"/>
      <c r="J235" s="137"/>
      <c r="K235" s="265"/>
      <c r="L235" s="265"/>
      <c r="M235" s="265"/>
      <c r="N235" s="265"/>
      <c r="O235" s="137"/>
      <c r="P235" s="265"/>
      <c r="Q235" s="265"/>
      <c r="R235" s="265"/>
      <c r="S235" s="265"/>
      <c r="T235" s="137"/>
      <c r="U235" s="265"/>
      <c r="V235" s="265"/>
      <c r="W235" s="265"/>
      <c r="X235" s="283">
        <v>1.5</v>
      </c>
      <c r="Y235" s="284"/>
      <c r="Z235" s="283">
        <v>1.5</v>
      </c>
      <c r="AA235" s="283">
        <v>1.5</v>
      </c>
      <c r="AB235" s="283">
        <v>1.5</v>
      </c>
      <c r="AC235" s="283">
        <v>1.5</v>
      </c>
      <c r="AD235" s="284"/>
      <c r="AE235" s="284">
        <v>1.5</v>
      </c>
      <c r="AF235" s="284">
        <v>1.5</v>
      </c>
      <c r="AG235" s="284">
        <v>1.5</v>
      </c>
      <c r="AH235" s="12"/>
      <c r="AI235" s="12"/>
      <c r="AJ235" s="12"/>
    </row>
    <row r="236" spans="1:36" ht="12.75" customHeight="1">
      <c r="A236" s="12"/>
      <c r="B236" s="12"/>
      <c r="C236" s="12"/>
      <c r="D236" s="12"/>
      <c r="E236" s="12"/>
      <c r="F236" s="261"/>
      <c r="G236" s="261"/>
      <c r="H236" s="261"/>
      <c r="I236" s="261"/>
      <c r="J236" s="12"/>
      <c r="K236" s="261"/>
      <c r="L236" s="261"/>
      <c r="M236" s="261"/>
      <c r="N236" s="261"/>
      <c r="O236" s="12"/>
      <c r="P236" s="261"/>
      <c r="Q236" s="261"/>
      <c r="R236" s="261"/>
      <c r="S236" s="261"/>
      <c r="T236" s="12"/>
      <c r="U236" s="261"/>
      <c r="V236" s="261"/>
      <c r="W236" s="261"/>
      <c r="X236" s="287"/>
      <c r="Y236" s="288"/>
      <c r="Z236" s="287"/>
      <c r="AA236" s="287"/>
      <c r="AB236" s="287"/>
      <c r="AC236" s="287"/>
      <c r="AD236" s="288"/>
      <c r="AE236" s="288"/>
      <c r="AF236" s="288"/>
      <c r="AG236" s="288"/>
      <c r="AH236" s="12"/>
      <c r="AI236" s="12"/>
      <c r="AJ236" s="12"/>
    </row>
    <row r="237" spans="1:36" ht="12.75" customHeight="1">
      <c r="A237" s="211" t="s">
        <v>1</v>
      </c>
      <c r="B237" s="211" t="s">
        <v>1</v>
      </c>
      <c r="C237" s="55" t="s">
        <v>262</v>
      </c>
      <c r="D237" s="15"/>
      <c r="E237" s="15"/>
      <c r="F237" s="259"/>
      <c r="G237" s="259"/>
      <c r="H237" s="259"/>
      <c r="I237" s="259"/>
      <c r="J237" s="259"/>
      <c r="K237" s="259"/>
      <c r="L237" s="259"/>
      <c r="M237" s="259"/>
      <c r="N237" s="259"/>
      <c r="O237" s="259"/>
      <c r="P237" s="259"/>
      <c r="Q237" s="259"/>
      <c r="R237" s="259"/>
      <c r="S237" s="259"/>
      <c r="T237" s="259"/>
      <c r="U237" s="259"/>
      <c r="V237" s="259"/>
      <c r="W237" s="259"/>
      <c r="X237" s="259"/>
      <c r="Y237" s="259"/>
      <c r="Z237" s="259"/>
      <c r="AA237" s="259"/>
      <c r="AB237" s="259"/>
      <c r="AC237" s="259"/>
      <c r="AD237" s="259"/>
      <c r="AE237" s="259"/>
      <c r="AF237" s="259"/>
      <c r="AG237" s="260"/>
      <c r="AH237" s="223" t="s">
        <v>1</v>
      </c>
      <c r="AI237" s="12"/>
      <c r="AJ237" s="12"/>
    </row>
    <row r="238" spans="1:36" ht="12.75" customHeight="1">
      <c r="A238" s="12"/>
      <c r="B238" s="12"/>
      <c r="C238" s="108"/>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ht="12.75" customHeight="1">
      <c r="A239" s="12"/>
      <c r="B239" s="12"/>
      <c r="C239" s="89"/>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ht="12.75" customHeight="1">
      <c r="A240" s="211" t="s">
        <v>1</v>
      </c>
      <c r="B240" s="211" t="s">
        <v>1</v>
      </c>
      <c r="C240" s="108"/>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ht="12.75" customHeight="1">
      <c r="A241" s="12"/>
      <c r="B241" s="12"/>
      <c r="C241" s="108"/>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ht="12.75" customHeight="1">
      <c r="A242" s="12"/>
      <c r="B242" s="12"/>
      <c r="C242" s="108"/>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ht="12.75" customHeight="1">
      <c r="A243" s="12"/>
      <c r="B243" s="12"/>
      <c r="C243" s="108"/>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ht="12.75" customHeight="1">
      <c r="A244" s="12"/>
      <c r="B244" s="12"/>
      <c r="C244" s="108"/>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ht="12.75" customHeight="1">
      <c r="A245" s="12"/>
      <c r="B245" s="12"/>
      <c r="C245" s="108"/>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ht="12.75" customHeight="1">
      <c r="A246" s="12"/>
      <c r="B246" s="12"/>
      <c r="C246" s="108"/>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row>
    <row r="260" spans="1:36"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row>
    <row r="261" spans="1:36"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row>
    <row r="262" spans="1:36"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row>
    <row r="263" spans="1:36"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row>
    <row r="264" spans="1:36"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row>
    <row r="265" spans="1:36"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row>
    <row r="266" spans="1:36"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row>
    <row r="267" spans="1:36"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row>
    <row r="268" spans="1:36"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row>
    <row r="269" spans="1:36"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row>
    <row r="270" spans="1:36"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row>
    <row r="271" spans="1:36"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row>
    <row r="272" spans="1:36"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row>
    <row r="273" spans="1:36"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row>
    <row r="274" spans="1:36"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row>
    <row r="275" spans="1:36"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row>
    <row r="276" spans="1:36"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row>
    <row r="277" spans="1:36"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row>
    <row r="278" spans="1:36"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row>
    <row r="279" spans="1:36"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row>
    <row r="280" spans="1:36"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row>
    <row r="281" spans="1:36"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row>
    <row r="282" spans="1:36"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row>
    <row r="283" spans="1:36"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row>
    <row r="284" spans="1:36"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row>
    <row r="285" spans="1:36"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row>
    <row r="286" spans="1:36"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row>
    <row r="287" spans="1:36"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row>
    <row r="288" spans="1:36"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row>
    <row r="289" spans="1:36"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row>
    <row r="290" spans="1:36"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row>
    <row r="291" spans="1:36"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row>
    <row r="292" spans="1:36"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row>
    <row r="293" spans="1:36"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row>
    <row r="294" spans="1:36"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row>
    <row r="295" spans="1:36"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row>
    <row r="296" spans="1:36"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row>
    <row r="297" spans="1:36"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row>
    <row r="298" spans="1:36"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row>
    <row r="299" spans="1:36"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row>
    <row r="300" spans="1:36"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row>
    <row r="301" spans="1:36"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row>
    <row r="302" spans="1:36"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row>
    <row r="303" spans="1:36"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row>
    <row r="304" spans="1:36"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row>
    <row r="305" spans="1:36"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row>
    <row r="306" spans="1:36"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row>
    <row r="307" spans="1:36"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row>
    <row r="308" spans="1:36"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row>
    <row r="309" spans="1:36"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row>
    <row r="310" spans="1:36"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row>
    <row r="311" spans="1:36"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row>
    <row r="312" spans="1:36"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row>
    <row r="313" spans="1:36"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row>
    <row r="314" spans="1:36"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row>
    <row r="315" spans="1:36"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row>
    <row r="316" spans="1:36"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row>
    <row r="317" spans="1:36"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row>
    <row r="318" spans="1:36"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row>
    <row r="319" spans="1:36"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row>
    <row r="320" spans="1:36"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row>
    <row r="321" spans="1:36"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row>
    <row r="322" spans="1:36"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row>
    <row r="323" spans="1:36"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row>
    <row r="324" spans="1:36"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row>
    <row r="325" spans="1:36"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row>
    <row r="326" spans="1:36"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row>
    <row r="327" spans="1:36"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row>
    <row r="328" spans="1:36"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row>
    <row r="329" spans="1:36"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row>
    <row r="330" spans="1:36"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row>
    <row r="331" spans="1:36"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row>
    <row r="332" spans="1:36"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row>
    <row r="333" spans="1:36"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row>
    <row r="334" spans="1:36"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row>
    <row r="335" spans="1:36"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row>
    <row r="336" spans="1:36"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row>
    <row r="337" spans="1:36"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row>
    <row r="338" spans="1:36"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row>
    <row r="339" spans="1:36"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row>
    <row r="340" spans="1:36"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row>
    <row r="341" spans="1:36"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row>
    <row r="342" spans="1:36"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row>
    <row r="343" spans="1:36"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row>
    <row r="344" spans="1:36"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row>
    <row r="345" spans="1:36"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row>
    <row r="347" spans="1:36"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row>
    <row r="348" spans="1:36"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row>
    <row r="349" spans="1:36"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row>
    <row r="350" spans="1:36"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row>
    <row r="351" spans="1:36"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row>
    <row r="352" spans="1:36"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row>
    <row r="353" spans="1:36"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row>
    <row r="354" spans="1:36"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row>
    <row r="355" spans="1:36"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row>
    <row r="356" spans="1:36"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row>
    <row r="357" spans="1:36"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row>
    <row r="358" spans="1:36"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row>
    <row r="359" spans="1:36"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row>
    <row r="360" spans="1:36"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row>
    <row r="361" spans="1:36"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row>
    <row r="362" spans="1:36"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row>
    <row r="363" spans="1:36"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row>
    <row r="364" spans="1:36"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row>
    <row r="365" spans="1:36"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row>
    <row r="366" spans="1:36"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row>
    <row r="367" spans="1:36"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row>
    <row r="368" spans="1:36"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row>
    <row r="369" spans="1:36"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row>
    <row r="370" spans="1:36"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row>
    <row r="371" spans="1:36"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row>
    <row r="372" spans="1:36"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row>
    <row r="373" spans="1:36"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row>
    <row r="374" spans="1:36"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row>
    <row r="375" spans="1:36"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row>
    <row r="376" spans="1:36"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row>
    <row r="377" spans="1:36"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row>
    <row r="378" spans="1:36"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row>
    <row r="379" spans="1:36"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row>
    <row r="380" spans="1:36"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row>
    <row r="381" spans="1:36"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row>
    <row r="382" spans="1:36"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row>
    <row r="383" spans="1:36"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row>
    <row r="384" spans="1:36"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row>
    <row r="385" spans="1:36"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row>
    <row r="386" spans="1:36"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row>
    <row r="387" spans="1:36"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row>
    <row r="388" spans="1:36"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row>
    <row r="389" spans="1:36"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row>
    <row r="390" spans="1:36"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row>
    <row r="391" spans="1:36"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row>
    <row r="392" spans="1:36"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row>
    <row r="393" spans="1:36"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row>
    <row r="394" spans="1:36"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row>
    <row r="395" spans="1:36"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row>
    <row r="396" spans="1:36"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row>
    <row r="397" spans="1:36"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row>
    <row r="398" spans="1:36"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row>
    <row r="399" spans="1:36"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row>
    <row r="400" spans="1:36"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row>
    <row r="401" spans="1:36"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row>
    <row r="402" spans="1:36"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row>
    <row r="403" spans="1:36"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row>
    <row r="404" spans="1:36"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row>
    <row r="405" spans="1:36"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row>
    <row r="406" spans="1:36"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row>
    <row r="407" spans="1:36"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row>
    <row r="408" spans="1:36"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row>
    <row r="409" spans="1:36"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row>
    <row r="410" spans="1:36"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row>
    <row r="411" spans="1:36"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row>
    <row r="412" spans="1:36"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row>
    <row r="413" spans="1:36"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row>
    <row r="414" spans="1:36"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row>
    <row r="415" spans="1:36"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row>
    <row r="416" spans="1:36"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row>
    <row r="417" spans="1:36"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row>
    <row r="418" spans="1:36"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row>
    <row r="419" spans="1:36"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row>
    <row r="420" spans="1:36"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row>
    <row r="421" spans="1:36"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row>
    <row r="422" spans="1:36"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row>
    <row r="423" spans="1:36"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row>
    <row r="424" spans="1:36"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row>
    <row r="425" spans="1:36"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row>
    <row r="426" spans="1:36"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row>
    <row r="427" spans="1:36"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row>
    <row r="428" spans="1:36"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row>
    <row r="429" spans="1:36"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row>
    <row r="430" spans="1:36"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row>
    <row r="431" spans="1:36"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row>
    <row r="432" spans="1:36"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row>
    <row r="433" spans="1:36"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row>
    <row r="434" spans="1:36"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row>
    <row r="435" spans="1:36"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row>
    <row r="436" spans="1:36"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row>
    <row r="437" spans="1:36"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row>
    <row r="438" spans="1:36"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row>
    <row r="439" spans="1:36"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row>
    <row r="440" spans="1:36"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row>
    <row r="441" spans="1:36"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row>
    <row r="442" spans="1:36"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row>
    <row r="443" spans="1:36"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row>
    <row r="444" spans="1:36"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row>
    <row r="445" spans="1:36"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row>
    <row r="446" spans="1:36"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row>
    <row r="447" spans="1:36"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row>
    <row r="448" spans="1:36"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row>
    <row r="449" spans="1:36"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row>
    <row r="450" spans="1:36"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row>
    <row r="451" spans="1:36"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row>
    <row r="452" spans="1:36"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row>
    <row r="453" spans="1:36"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row>
    <row r="454" spans="1:36"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row>
    <row r="455" spans="1:36"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row>
    <row r="456" spans="1:36"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row>
    <row r="457" spans="1:36"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row>
    <row r="458" spans="1:36"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row>
    <row r="459" spans="1:36"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row>
    <row r="460" spans="1:36"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row>
    <row r="461" spans="1:36"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row>
    <row r="462" spans="1:36"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row>
    <row r="463" spans="1:36"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row>
    <row r="464" spans="1:36"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row>
    <row r="465" spans="1:36"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row>
    <row r="466" spans="1:36"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row>
    <row r="467" spans="1:36"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row>
    <row r="468" spans="1:36"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row>
    <row r="469" spans="1:36"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row>
    <row r="470" spans="1:36"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row>
    <row r="471" spans="1:36"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row>
    <row r="472" spans="1:36"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row>
    <row r="473" spans="1:36"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row>
    <row r="474" spans="1:36"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row>
    <row r="475" spans="1:36"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row>
    <row r="476" spans="1:36"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row>
    <row r="477" spans="1:36"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row>
    <row r="478" spans="1:36"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row>
    <row r="479" spans="1:36"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row>
    <row r="480" spans="1:36"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row>
    <row r="481" spans="1:36"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row>
    <row r="482" spans="1:36"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row>
    <row r="483" spans="1:36"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row>
    <row r="484" spans="1:36"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row>
    <row r="485" spans="1:36"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row>
    <row r="486" spans="1:36"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row>
    <row r="487" spans="1:36"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row>
    <row r="488" spans="1:36"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row>
    <row r="489" spans="1:36"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row>
    <row r="490" spans="1:36"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row>
    <row r="491" spans="1:36"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row>
    <row r="492" spans="1:36"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row>
    <row r="493" spans="1:36"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row>
    <row r="494" spans="1:36"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row>
    <row r="495" spans="1:36"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row>
    <row r="496" spans="1:36"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row>
    <row r="497" spans="1:36"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row>
    <row r="498" spans="1:36"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row>
    <row r="499" spans="1:36"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row>
    <row r="500" spans="1:36"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row>
    <row r="501" spans="1:36"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row>
    <row r="502" spans="1:36"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row>
    <row r="503" spans="1:36"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row>
    <row r="504" spans="1:36"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row>
    <row r="505" spans="1:36"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row>
    <row r="506" spans="1:36"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row>
    <row r="507" spans="1:36"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row>
    <row r="508" spans="1:36"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row>
    <row r="509" spans="1:36"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row>
    <row r="510" spans="1:36"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row>
    <row r="511" spans="1:36"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row>
    <row r="512" spans="1:36"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row>
    <row r="513" spans="1:36"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row>
    <row r="514" spans="1:36"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row>
    <row r="515" spans="1:36"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row>
    <row r="516" spans="1:36"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row>
    <row r="517" spans="1:36"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row>
    <row r="518" spans="1:36"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row>
    <row r="519" spans="1:36"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row>
    <row r="520" spans="1:36"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row>
    <row r="521" spans="1:36"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row>
    <row r="522" spans="1:36"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row>
    <row r="523" spans="1:36"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row>
    <row r="524" spans="1:36"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row>
    <row r="525" spans="1:36"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row>
    <row r="526" spans="1:36"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row>
    <row r="527" spans="1:36"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row>
    <row r="528" spans="1:36"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row>
    <row r="529" spans="1:36"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row>
    <row r="530" spans="1:36"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row>
    <row r="531" spans="1:36"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row>
    <row r="532" spans="1:36"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row>
    <row r="533" spans="1:36"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row>
    <row r="534" spans="1:36"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row>
    <row r="535" spans="1:36"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row>
    <row r="536" spans="1:36"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row>
    <row r="537" spans="1:36"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row>
    <row r="538" spans="1:36"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row>
    <row r="539" spans="1:36"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row>
    <row r="540" spans="1:36"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row>
    <row r="541" spans="1:36"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row>
    <row r="542" spans="1:36"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row>
    <row r="543" spans="1:36"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row>
    <row r="544" spans="1:36"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row>
    <row r="545" spans="1:36"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row>
    <row r="546" spans="1:36"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row>
    <row r="547" spans="1:36"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row>
    <row r="548" spans="1:36"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row>
    <row r="549" spans="1:36"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row>
    <row r="550" spans="1:36"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row>
    <row r="551" spans="1:36"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row>
    <row r="552" spans="1:36"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row>
    <row r="553" spans="1:36"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row>
    <row r="554" spans="1:36"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row>
    <row r="555" spans="1:36"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row>
    <row r="556" spans="1:36"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row>
    <row r="557" spans="1:36"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row>
    <row r="558" spans="1:36"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row>
    <row r="559" spans="1:36"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row>
    <row r="560" spans="1:36"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row>
    <row r="561" spans="1:36"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row>
    <row r="562" spans="1:36"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row>
    <row r="563" spans="1:36"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row>
    <row r="564" spans="1:36"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row>
    <row r="565" spans="1:36"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row>
    <row r="566" spans="1:36"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row>
    <row r="567" spans="1:36"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row>
    <row r="568" spans="1:36"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row>
    <row r="569" spans="1:36"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row>
    <row r="570" spans="1:36"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row>
    <row r="571" spans="1:36"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row>
    <row r="572" spans="1:36"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row>
    <row r="573" spans="1:36"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row>
    <row r="574" spans="1:36"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row>
    <row r="575" spans="1:36"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row>
    <row r="576" spans="1:36"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row>
    <row r="577" spans="1:36"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row>
    <row r="578" spans="1:36"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row>
    <row r="579" spans="1:36"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row>
    <row r="580" spans="1:36"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row>
    <row r="581" spans="1:36"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row>
    <row r="582" spans="1:36"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row>
    <row r="583" spans="1:36"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row>
    <row r="584" spans="1:36"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row>
    <row r="585" spans="1:36"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row>
    <row r="586" spans="1:36"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row>
    <row r="587" spans="1:36"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row>
    <row r="588" spans="1:36"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row>
    <row r="589" spans="1:36"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row>
    <row r="590" spans="1:36"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row>
    <row r="591" spans="1:36"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row>
    <row r="592" spans="1:36"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row>
    <row r="593" spans="1:36"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row>
    <row r="594" spans="1:36"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row>
    <row r="595" spans="1:36"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row>
    <row r="596" spans="1:36"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row>
    <row r="597" spans="1:36"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row>
    <row r="598" spans="1:36"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row>
    <row r="599" spans="1:36"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row>
    <row r="600" spans="1:36"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row>
    <row r="601" spans="1:36"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row>
    <row r="602" spans="1:36"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row>
    <row r="603" spans="1:36"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row>
    <row r="604" spans="1:36"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row>
    <row r="605" spans="1:36"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row>
    <row r="606" spans="1:36"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row>
    <row r="607" spans="1:36"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row>
    <row r="608" spans="1:36"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row>
    <row r="609" spans="1:36"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row>
    <row r="610" spans="1:36"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row>
    <row r="611" spans="1:36"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row>
    <row r="612" spans="1:36"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row>
    <row r="613" spans="1:36"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row>
    <row r="614" spans="1:36"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row>
    <row r="615" spans="1:36"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row>
    <row r="616" spans="1:36"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row>
    <row r="617" spans="1:36"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row>
    <row r="618" spans="1:36"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row>
    <row r="619" spans="1:36"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row>
    <row r="620" spans="1:36"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row>
    <row r="621" spans="1:36"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row>
    <row r="622" spans="1:36"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row>
    <row r="623" spans="1:36"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row>
    <row r="624" spans="1:36"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row>
    <row r="625" spans="1:36"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row>
    <row r="626" spans="1:36"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row>
    <row r="627" spans="1:36"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row>
    <row r="628" spans="1:36"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row>
    <row r="629" spans="1:36"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row>
    <row r="630" spans="1:36"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row>
    <row r="631" spans="1:36"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row>
    <row r="632" spans="1:36"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row>
    <row r="633" spans="1:36"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row>
    <row r="634" spans="1:36"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row>
    <row r="635" spans="1:36"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row>
    <row r="636" spans="1:36"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row>
    <row r="637" spans="1:36"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row>
    <row r="638" spans="1:36"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row>
    <row r="639" spans="1:36"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row>
    <row r="640" spans="1:36"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row>
    <row r="641" spans="1:36"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row>
    <row r="642" spans="1:36"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row>
    <row r="643" spans="1:36"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row>
    <row r="644" spans="1:36"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row>
    <row r="645" spans="1:36"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row>
    <row r="646" spans="1:36"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row>
    <row r="647" spans="1:36"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row>
    <row r="648" spans="1:36"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row>
    <row r="649" spans="1:36"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row>
    <row r="650" spans="1:36"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row>
    <row r="651" spans="1:36"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row>
    <row r="652" spans="1:36"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row>
    <row r="653" spans="1:36"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row>
    <row r="654" spans="1:36"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row>
    <row r="655" spans="1:36"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row>
    <row r="656" spans="1:36"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row>
    <row r="657" spans="1:36"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row>
    <row r="658" spans="1:36"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row>
    <row r="659" spans="1:36"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row>
    <row r="660" spans="1:36"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row>
    <row r="661" spans="1:36"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row>
    <row r="662" spans="1:36"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row>
    <row r="663" spans="1:36"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row>
    <row r="664" spans="1:36"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row>
    <row r="665" spans="1:36"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row>
    <row r="666" spans="1:36"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row>
    <row r="667" spans="1:36"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row>
    <row r="668" spans="1:36"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row>
    <row r="669" spans="1:36"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row>
    <row r="670" spans="1:36"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row>
    <row r="671" spans="1:36"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row>
    <row r="672" spans="1:36"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row>
    <row r="673" spans="1:36"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row>
    <row r="674" spans="1:36"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row>
    <row r="675" spans="1:36"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row>
    <row r="676" spans="1:36"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row>
    <row r="677" spans="1:36"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row>
    <row r="678" spans="1:36"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row>
    <row r="679" spans="1:36"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row>
    <row r="680" spans="1:36"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row>
    <row r="681" spans="1:36"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row>
    <row r="682" spans="1:36"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row>
    <row r="683" spans="1:36"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row>
    <row r="684" spans="1:36"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row>
    <row r="685" spans="1:36"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row>
    <row r="686" spans="1:36"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row>
    <row r="687" spans="1:36"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row>
    <row r="688" spans="1:36"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row>
    <row r="689" spans="1:36"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row>
    <row r="690" spans="1:36"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row>
    <row r="691" spans="1:36"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row>
    <row r="692" spans="1:36"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row>
    <row r="693" spans="1:36"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row>
    <row r="694" spans="1:36"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row>
    <row r="695" spans="1:36"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row>
    <row r="696" spans="1:36"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row>
    <row r="697" spans="1:36"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row>
    <row r="698" spans="1:36"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row>
    <row r="699" spans="1:36"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row>
    <row r="700" spans="1:36"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row>
    <row r="701" spans="1:36"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row>
    <row r="702" spans="1:36"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row>
    <row r="703" spans="1:36"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row>
    <row r="704" spans="1:36"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row>
    <row r="705" spans="1:36"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row>
    <row r="706" spans="1:36"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row>
    <row r="707" spans="1:36"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row>
    <row r="708" spans="1:36"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row>
    <row r="709" spans="1:36"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row>
    <row r="710" spans="1:36"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row>
    <row r="711" spans="1:36"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row>
    <row r="712" spans="1:36"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row>
    <row r="713" spans="1:36"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row>
    <row r="714" spans="1:36"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row>
    <row r="715" spans="1:36"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row>
    <row r="716" spans="1:36"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row>
    <row r="717" spans="1:36"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row>
    <row r="718" spans="1:36"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row>
    <row r="719" spans="1:36"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row>
    <row r="720" spans="1:36"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row>
    <row r="721" spans="1:36"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row>
    <row r="722" spans="1:36"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row>
    <row r="723" spans="1:36"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row>
    <row r="724" spans="1:36"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row>
    <row r="725" spans="1:36"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row>
    <row r="726" spans="1:36"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row>
    <row r="727" spans="1:36"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row>
    <row r="728" spans="1:36"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row>
    <row r="729" spans="1:36"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row>
    <row r="730" spans="1:36"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row>
    <row r="731" spans="1:36"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row>
    <row r="732" spans="1:36"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row>
    <row r="733" spans="1:36"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row>
    <row r="734" spans="1:36"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row>
    <row r="735" spans="1:36"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row>
    <row r="736" spans="1:36"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row>
    <row r="737" spans="1:36"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row>
    <row r="738" spans="1:36"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row>
    <row r="739" spans="1:36"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row>
    <row r="740" spans="1:36"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row>
    <row r="741" spans="1:36"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row>
    <row r="742" spans="1:36"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row>
    <row r="743" spans="1:36"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row>
    <row r="744" spans="1:36"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row>
    <row r="745" spans="1:36"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row>
    <row r="746" spans="1:36"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row>
    <row r="747" spans="1:36"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row>
    <row r="748" spans="1:36"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row>
    <row r="749" spans="1:36"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row>
    <row r="750" spans="1:36"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row>
    <row r="751" spans="1:36"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row>
    <row r="752" spans="1:36"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row>
    <row r="753" spans="1:36"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row>
    <row r="754" spans="1:36"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row>
    <row r="755" spans="1:36"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row>
    <row r="756" spans="1:36"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row>
    <row r="757" spans="1:36"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row>
    <row r="758" spans="1:36"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row>
    <row r="759" spans="1:36"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row>
    <row r="760" spans="1:36"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row>
    <row r="761" spans="1:36"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row>
    <row r="762" spans="1:36"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row>
    <row r="763" spans="1:36"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row>
    <row r="764" spans="1:36"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row>
    <row r="765" spans="1:36"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row>
    <row r="766" spans="1:36"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row>
    <row r="767" spans="1:36"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row>
    <row r="768" spans="1:36"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row>
    <row r="769" spans="1:36"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row>
    <row r="770" spans="1:36"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row>
    <row r="771" spans="1:36"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row>
    <row r="772" spans="1:36"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row>
    <row r="773" spans="1:36"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row>
    <row r="774" spans="1:36"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row>
    <row r="775" spans="1:36"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row>
    <row r="776" spans="1:36"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row>
    <row r="777" spans="1:36"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row>
    <row r="778" spans="1:36"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row>
    <row r="779" spans="1:36"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row>
    <row r="780" spans="1:36"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row>
    <row r="781" spans="1:36"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row>
    <row r="782" spans="1:36"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row>
    <row r="783" spans="1:36"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row>
    <row r="784" spans="1:36"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row>
    <row r="785" spans="1:36"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row>
    <row r="786" spans="1:36"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row>
    <row r="787" spans="1:36"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row>
    <row r="788" spans="1:36"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row>
    <row r="789" spans="1:36"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row>
    <row r="790" spans="1:36"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row>
    <row r="791" spans="1:36"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row>
    <row r="792" spans="1:36"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row>
    <row r="793" spans="1:36"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row>
    <row r="794" spans="1:36"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row>
    <row r="795" spans="1:36"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row>
    <row r="796" spans="1:36"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row>
    <row r="797" spans="1:36"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row>
    <row r="798" spans="1:36"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row>
    <row r="799" spans="1:36"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row>
    <row r="800" spans="1:36"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row>
    <row r="801" spans="1:36"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row>
    <row r="802" spans="1:36"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row>
    <row r="803" spans="1:36"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row>
    <row r="804" spans="1:36"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row>
    <row r="805" spans="1:36"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row>
    <row r="806" spans="1:36"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row>
    <row r="807" spans="1:36"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row>
    <row r="808" spans="1:36"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row>
    <row r="809" spans="1:36"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row>
    <row r="810" spans="1:36"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row>
    <row r="811" spans="1:36"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row>
    <row r="812" spans="1:36"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row>
    <row r="813" spans="1:36"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row>
    <row r="814" spans="1:36"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row>
    <row r="815" spans="1:36"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row>
    <row r="816" spans="1:36"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row>
    <row r="817" spans="1:36"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row>
    <row r="818" spans="1:36"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row>
    <row r="819" spans="1:36"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row>
    <row r="820" spans="1:36"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row>
    <row r="821" spans="1:36"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row>
    <row r="822" spans="1:36"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row>
    <row r="823" spans="1:36"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row>
    <row r="824" spans="1:36"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row>
    <row r="825" spans="1:36"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row>
    <row r="826" spans="1:36"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row>
    <row r="827" spans="1:36"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row>
    <row r="828" spans="1:36"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row>
    <row r="829" spans="1:36"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row>
    <row r="830" spans="1:36"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row>
    <row r="831" spans="1:36"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row>
    <row r="832" spans="1:36"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row>
    <row r="833" spans="1:36"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row>
    <row r="834" spans="1:36"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row>
    <row r="835" spans="1:36"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row>
    <row r="836" spans="1:36"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row>
    <row r="837" spans="1:36"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row>
    <row r="838" spans="1:36"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row>
    <row r="839" spans="1:36"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row>
    <row r="840" spans="1:36"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row>
    <row r="841" spans="1:36"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row>
    <row r="842" spans="1:36"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row>
    <row r="843" spans="1:36"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row>
    <row r="844" spans="1:36"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row>
    <row r="845" spans="1:36"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row>
    <row r="846" spans="1:36"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row>
    <row r="847" spans="1:36"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row>
    <row r="848" spans="1:36"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row>
    <row r="849" spans="1:36"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row>
    <row r="850" spans="1:36"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row>
    <row r="851" spans="1:36"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row>
    <row r="852" spans="1:36"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row>
    <row r="853" spans="1:36"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row>
    <row r="854" spans="1:36"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row>
    <row r="855" spans="1:36"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row>
    <row r="856" spans="1:36"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row>
    <row r="857" spans="1:36"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row>
    <row r="858" spans="1:36"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row>
    <row r="859" spans="1:36"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row>
    <row r="860" spans="1:36"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row>
    <row r="861" spans="1:36"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row>
    <row r="862" spans="1:36"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row>
    <row r="863" spans="1:36"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row>
    <row r="864" spans="1:36"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row>
    <row r="865" spans="1:36"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row>
    <row r="866" spans="1:36"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row>
    <row r="867" spans="1:36"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row>
    <row r="868" spans="1:36"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row>
    <row r="869" spans="1:36"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row>
    <row r="870" spans="1:36"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row>
    <row r="871" spans="1:36"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row>
    <row r="872" spans="1:36"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row>
    <row r="873" spans="1:36"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row>
    <row r="874" spans="1:36"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row>
    <row r="875" spans="1:36"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row>
    <row r="876" spans="1:36"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row>
    <row r="877" spans="1:36"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row>
    <row r="878" spans="1:36"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row>
    <row r="879" spans="1:36"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row>
    <row r="880" spans="1:36"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row>
    <row r="881" spans="1:36"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row>
    <row r="882" spans="1:36"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row>
    <row r="883" spans="1:36"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row>
    <row r="884" spans="1:36"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row>
    <row r="885" spans="1:36"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row>
    <row r="886" spans="1:36"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row>
    <row r="887" spans="1:36"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row>
    <row r="888" spans="1:36"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row>
    <row r="889" spans="1:36"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row>
    <row r="890" spans="1:36"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row>
    <row r="891" spans="1:36"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row>
    <row r="892" spans="1:36"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row>
    <row r="893" spans="1:36"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row>
    <row r="894" spans="1:36"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row>
    <row r="895" spans="1:36"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row>
    <row r="896" spans="1:36"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row>
    <row r="897" spans="1:36"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row>
    <row r="898" spans="1:36"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row>
    <row r="899" spans="1:36"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row>
    <row r="900" spans="1:36"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row>
    <row r="901" spans="1:36"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row>
    <row r="902" spans="1:36"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row>
    <row r="903" spans="1:36"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row>
    <row r="904" spans="1:36"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row>
    <row r="905" spans="1:36"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row>
    <row r="906" spans="1:36"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row>
    <row r="907" spans="1:36"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row>
    <row r="908" spans="1:36"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row>
    <row r="909" spans="1:36"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row>
    <row r="910" spans="1:36"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row>
    <row r="911" spans="1:36"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row>
    <row r="912" spans="1:36"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row>
    <row r="913" spans="1:36"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row>
    <row r="914" spans="1:36"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row>
    <row r="915" spans="1:36"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row>
    <row r="916" spans="1:36"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row>
    <row r="917" spans="1:36"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row>
    <row r="918" spans="1:36"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row>
    <row r="919" spans="1:36"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row>
    <row r="920" spans="1:36"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row>
    <row r="921" spans="1:36"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row>
    <row r="922" spans="1:36"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row>
    <row r="923" spans="1:36"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row>
    <row r="924" spans="1:36"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row>
    <row r="925" spans="1:36"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row>
    <row r="926" spans="1:36"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row>
    <row r="927" spans="1:36"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row>
    <row r="928" spans="1:36"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row>
    <row r="929" spans="1:36"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row>
    <row r="930" spans="1:36"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row>
    <row r="931" spans="1:36"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row>
    <row r="932" spans="1:36"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row>
    <row r="933" spans="1:36"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row>
    <row r="934" spans="1:36"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row>
    <row r="935" spans="1:36"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row>
    <row r="936" spans="1:36"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row>
    <row r="937" spans="1:36"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row>
    <row r="938" spans="1:36"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row>
    <row r="939" spans="1:36"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row>
    <row r="940" spans="1:36"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row>
    <row r="941" spans="1:36"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row>
    <row r="942" spans="1:36"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row>
    <row r="943" spans="1:36"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row>
    <row r="944" spans="1:36"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row>
    <row r="945" spans="1:36"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row>
    <row r="946" spans="1:36"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row>
    <row r="947" spans="1:36"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row>
    <row r="948" spans="1:36"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row>
    <row r="949" spans="1:36"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row>
    <row r="950" spans="1:36"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row>
    <row r="951" spans="1:36"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row>
    <row r="952" spans="1:36"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row>
    <row r="953" spans="1:36"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row>
    <row r="954" spans="1:36"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row>
    <row r="955" spans="1:36"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row>
    <row r="956" spans="1:36"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row>
    <row r="957" spans="1:36"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row>
    <row r="958" spans="1:36"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row>
    <row r="959" spans="1:36"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row>
    <row r="960" spans="1:36"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row>
    <row r="961" spans="1:36"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row>
    <row r="962" spans="1:36"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row>
    <row r="963" spans="1:36"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row>
    <row r="964" spans="1:36"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row>
    <row r="965" spans="1:36"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row>
    <row r="966" spans="1:36"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row>
    <row r="967" spans="1:36"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row>
    <row r="968" spans="1:36"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row>
    <row r="969" spans="1:36"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row>
    <row r="970" spans="1:36"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row>
    <row r="971" spans="1:36"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row>
    <row r="972" spans="1:36"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row>
    <row r="973" spans="1:36"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row>
    <row r="974" spans="1:36"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row>
    <row r="975" spans="1:36"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row>
    <row r="976" spans="1:36"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row>
    <row r="977" spans="1:36"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row>
    <row r="978" spans="1:36"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row>
    <row r="979" spans="1:36"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row>
    <row r="980" spans="1:36"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row>
    <row r="981" spans="1:36"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row>
    <row r="982" spans="1:36"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row>
    <row r="983" spans="1:36"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row>
    <row r="984" spans="1:36"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row>
    <row r="985" spans="1:36"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row>
    <row r="986" spans="1:36"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row>
    <row r="987" spans="1:36"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row>
    <row r="988" spans="1:36"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row>
    <row r="989" spans="1:36"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row>
    <row r="990" spans="1:36"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row>
    <row r="991" spans="1:36"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row>
    <row r="992" spans="1:36"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row>
    <row r="993" spans="1:36"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row>
    <row r="994" spans="1:36"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row>
    <row r="995" spans="1:36"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row>
    <row r="996" spans="1:36"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row>
    <row r="997" spans="1:36"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row>
    <row r="998" spans="1:36"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row>
    <row r="999" spans="1:36"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row>
    <row r="1000" spans="1:36"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row>
  </sheetData>
  <mergeCells count="1">
    <mergeCell ref="AI27:AJ27"/>
  </mergeCells>
  <conditionalFormatting sqref="F30:AG49">
    <cfRule type="expression" dxfId="127" priority="1">
      <formula>$C$22="Report"</formula>
    </cfRule>
  </conditionalFormatting>
  <dataValidations count="4">
    <dataValidation type="list" allowBlank="1" showErrorMessage="1" sqref="C22" xr:uid="{00000000-0002-0000-0600-000000000000}">
      <formula1>"Working,Report"</formula1>
    </dataValidation>
    <dataValidation type="list" allowBlank="1" showErrorMessage="1" sqref="C25" xr:uid="{00000000-0002-0000-0600-000001000000}">
      <formula1>"Quarterly,Annual"</formula1>
    </dataValidation>
    <dataValidation type="list" allowBlank="1" showErrorMessage="1" sqref="C7" xr:uid="{00000000-0002-0000-0600-000002000000}">
      <formula1>"Segment,Activity-Based,Backlog,Mixed"</formula1>
    </dataValidation>
    <dataValidation type="list" allowBlank="1" showErrorMessage="1" sqref="D11 D9 D19:D20 D17 D15 D13" xr:uid="{00000000-0002-0000-06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K1000"/>
  <sheetViews>
    <sheetView showGridLines="0" tabSelected="1" zoomScaleNormal="100" workbookViewId="0">
      <pane xSplit="4" ySplit="2" topLeftCell="E105" activePane="bottomRight" state="frozen"/>
      <selection pane="topRight"/>
      <selection pane="bottomLeft"/>
      <selection pane="bottomRight" activeCell="F122" sqref="F122"/>
    </sheetView>
  </sheetViews>
  <sheetFormatPr baseColWidth="10" defaultColWidth="14.5" defaultRowHeight="15" outlineLevelRow="1"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8" width="12.6640625" customWidth="1" outlineLevel="1" collapsed="1"/>
    <col min="19" max="19" width="13.1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 min="34" max="34" width="1.6640625" customWidth="1"/>
    <col min="35" max="37" width="12.6640625" customWidth="1"/>
  </cols>
  <sheetData>
    <row r="1" spans="1:37" ht="13.5" customHeight="1">
      <c r="A1" s="289"/>
      <c r="B1" s="7"/>
      <c r="C1" s="8" t="str">
        <f ca="1">Company_Name&amp;" - "&amp;MID(CELL("filename",A1),FIND("]",CELL("filename",A1))+1,255)&amp;": "&amp;Case_Scenario&amp;" Case"</f>
        <v>NETFLIX INC - Model: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ht="13.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3.5" customHeight="1">
      <c r="A3" s="291"/>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ht="13.5" customHeight="1">
      <c r="A4" s="290"/>
      <c r="B4" s="4"/>
      <c r="C4" s="213"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ht="13.5" customHeight="1">
      <c r="A5" s="290"/>
      <c r="B5" s="4"/>
      <c r="C5" s="214"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ht="13.5" customHeight="1">
      <c r="A6" s="290"/>
      <c r="B6" s="4"/>
      <c r="C6" s="12"/>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ht="13.5" customHeight="1">
      <c r="A7" s="290"/>
      <c r="B7" s="4"/>
      <c r="C7" s="213"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ht="13.5" customHeight="1">
      <c r="A8" s="211"/>
      <c r="B8" s="12"/>
      <c r="C8" s="214" t="s">
        <v>264</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37" ht="13.5" customHeight="1">
      <c r="A9" s="211"/>
      <c r="B9" s="12"/>
      <c r="C9" s="29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37" ht="13.5" customHeight="1">
      <c r="A10" s="211" t="s">
        <v>1</v>
      </c>
      <c r="B10" s="40"/>
      <c r="C10" s="147" t="s">
        <v>265</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37" ht="13.5" hidden="1" customHeight="1" outlineLevel="1" collapsed="1">
      <c r="A11" s="211"/>
      <c r="B11" s="12"/>
      <c r="C11" s="293" t="str">
        <f>$C$25</f>
        <v>Income Statement</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37" ht="13.5" hidden="1" customHeight="1" outlineLevel="1" collapsed="1">
      <c r="A12" s="211"/>
      <c r="B12" s="12"/>
      <c r="C12" s="294" t="str">
        <f>$C$73</f>
        <v>Cash Flow Statement</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37" ht="13.5" hidden="1" customHeight="1" outlineLevel="1" collapsed="1">
      <c r="A13" s="211"/>
      <c r="B13" s="12"/>
      <c r="C13" s="294" t="str">
        <f>$C$118</f>
        <v>Balance Sheet</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37" ht="13.5" hidden="1" customHeight="1" outlineLevel="1" collapsed="1">
      <c r="A14" s="211"/>
      <c r="B14" s="12"/>
      <c r="C14" s="294" t="str">
        <f>$C$160</f>
        <v>Working Capital Schedule</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37" ht="13.5" hidden="1" customHeight="1" outlineLevel="1" collapsed="1">
      <c r="A15" s="211"/>
      <c r="B15" s="12"/>
      <c r="C15" s="294" t="str">
        <f>$C$190</f>
        <v>PP&amp;E / Depreciation Schedule</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37" ht="13.5" hidden="1" customHeight="1" outlineLevel="1" collapsed="1">
      <c r="A16" s="211"/>
      <c r="B16" s="12"/>
      <c r="C16" s="294" t="str">
        <f>$C$204</f>
        <v>Amortization Schedule</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1:37" ht="13.5" hidden="1" customHeight="1" outlineLevel="1" collapsed="1">
      <c r="A17" s="211"/>
      <c r="B17" s="12"/>
      <c r="C17" s="294" t="str">
        <f>$C$216</f>
        <v>Other Long-Term Items Schedule</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spans="1:37" ht="13.5" hidden="1" customHeight="1" outlineLevel="1" collapsed="1">
      <c r="A18" s="211"/>
      <c r="B18" s="12"/>
      <c r="C18" s="294" t="str">
        <f>$C$234</f>
        <v>Shareholder's Equity Schedule</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spans="1:37" ht="13.5" hidden="1" customHeight="1" outlineLevel="1" collapsed="1">
      <c r="A19" s="211"/>
      <c r="B19" s="12"/>
      <c r="C19" s="294" t="str">
        <f>$C$275</f>
        <v>Shares Outstanding Schedule</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spans="1:37" ht="13.5" hidden="1" customHeight="1" outlineLevel="1" collapsed="1">
      <c r="A20" s="211"/>
      <c r="B20" s="12"/>
      <c r="C20" s="295" t="str">
        <f>$C$286</f>
        <v>Debt and Interest Schedule</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spans="1:37" ht="13.5" customHeight="1" collapsed="1">
      <c r="A21" s="211"/>
      <c r="B21" s="12"/>
      <c r="C21" s="108"/>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3.5" customHeight="1">
      <c r="A22" s="2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3.5" customHeight="1" outlineLevel="1" collapsed="1">
      <c r="A23" s="211"/>
      <c r="B23" s="12"/>
      <c r="C23" s="12"/>
      <c r="D23" s="12"/>
      <c r="E23" s="12"/>
      <c r="F23" s="12"/>
      <c r="G23" s="12"/>
      <c r="H23" s="12"/>
      <c r="I23" s="12"/>
      <c r="J23" s="12">
        <v>1</v>
      </c>
      <c r="K23" s="12"/>
      <c r="L23" s="12"/>
      <c r="M23" s="12"/>
      <c r="N23" s="12"/>
      <c r="O23" s="12">
        <v>2</v>
      </c>
      <c r="P23" s="12"/>
      <c r="Q23" s="12"/>
      <c r="R23" s="12"/>
      <c r="S23" s="12"/>
      <c r="T23" s="12">
        <v>3</v>
      </c>
      <c r="U23" s="12"/>
      <c r="V23" s="12"/>
      <c r="W23" s="12"/>
      <c r="X23" s="12"/>
      <c r="Y23" s="12">
        <v>4</v>
      </c>
      <c r="Z23" s="12"/>
      <c r="AA23" s="12"/>
      <c r="AB23" s="12"/>
      <c r="AC23" s="12"/>
      <c r="AD23" s="12">
        <v>5</v>
      </c>
      <c r="AE23" s="12">
        <v>6</v>
      </c>
      <c r="AF23" s="12">
        <v>7</v>
      </c>
      <c r="AG23" s="12">
        <v>8</v>
      </c>
      <c r="AH23" s="12"/>
      <c r="AI23" s="12"/>
      <c r="AJ23" s="12"/>
      <c r="AK23" s="12"/>
    </row>
    <row r="24" spans="1:37" ht="13.5" customHeight="1" outlineLevel="1" collapsed="1">
      <c r="A24" s="211"/>
      <c r="B24" s="12"/>
      <c r="C24" s="12"/>
      <c r="D24" s="12"/>
      <c r="E24" s="12"/>
      <c r="F24" s="12">
        <f t="shared" ref="F24:I24" si="0">G24</f>
        <v>2023</v>
      </c>
      <c r="G24" s="12">
        <f t="shared" si="0"/>
        <v>2023</v>
      </c>
      <c r="H24" s="12">
        <f t="shared" si="0"/>
        <v>2023</v>
      </c>
      <c r="I24" s="12">
        <f t="shared" si="0"/>
        <v>2023</v>
      </c>
      <c r="J24" s="12">
        <f>O24-1</f>
        <v>2023</v>
      </c>
      <c r="K24" s="12">
        <f t="shared" ref="K24:N24" si="1">L24</f>
        <v>2024</v>
      </c>
      <c r="L24" s="12">
        <f t="shared" si="1"/>
        <v>2024</v>
      </c>
      <c r="M24" s="12">
        <f t="shared" si="1"/>
        <v>2024</v>
      </c>
      <c r="N24" s="12">
        <f t="shared" si="1"/>
        <v>2024</v>
      </c>
      <c r="O24" s="12">
        <f>T24-1</f>
        <v>2024</v>
      </c>
      <c r="P24" s="12">
        <f t="shared" ref="P24:S24" si="2">Q24</f>
        <v>2025</v>
      </c>
      <c r="Q24" s="12">
        <f t="shared" si="2"/>
        <v>2025</v>
      </c>
      <c r="R24" s="12">
        <f t="shared" si="2"/>
        <v>2025</v>
      </c>
      <c r="S24" s="12">
        <f t="shared" si="2"/>
        <v>2025</v>
      </c>
      <c r="T24" s="12">
        <f>YEAR(Last_FYE)</f>
        <v>2025</v>
      </c>
      <c r="U24" s="12">
        <f t="shared" ref="U24:X24" si="3">V24</f>
        <v>2026</v>
      </c>
      <c r="V24" s="12">
        <f t="shared" si="3"/>
        <v>2026</v>
      </c>
      <c r="W24" s="12">
        <f t="shared" si="3"/>
        <v>2026</v>
      </c>
      <c r="X24" s="12">
        <f t="shared" si="3"/>
        <v>2026</v>
      </c>
      <c r="Y24" s="12">
        <f>T24+1</f>
        <v>2026</v>
      </c>
      <c r="Z24" s="12">
        <f t="shared" ref="Z24:AC24" si="4">AA24</f>
        <v>2027</v>
      </c>
      <c r="AA24" s="12">
        <f t="shared" si="4"/>
        <v>2027</v>
      </c>
      <c r="AB24" s="12">
        <f t="shared" si="4"/>
        <v>2027</v>
      </c>
      <c r="AC24" s="12">
        <f t="shared" si="4"/>
        <v>2027</v>
      </c>
      <c r="AD24" s="12">
        <f>Y24+1</f>
        <v>2027</v>
      </c>
      <c r="AE24" s="12">
        <f t="shared" ref="AE24:AG24" si="5">AD24+1</f>
        <v>2028</v>
      </c>
      <c r="AF24" s="12">
        <f t="shared" si="5"/>
        <v>2029</v>
      </c>
      <c r="AG24" s="12">
        <f t="shared" si="5"/>
        <v>2030</v>
      </c>
      <c r="AH24" s="12"/>
      <c r="AI24" s="12"/>
      <c r="AJ24" s="12"/>
      <c r="AK24" s="12"/>
    </row>
    <row r="25" spans="1:37" ht="13.5" customHeight="1">
      <c r="A25" s="211" t="s">
        <v>1</v>
      </c>
      <c r="B25" s="12"/>
      <c r="C25" s="296" t="s">
        <v>266</v>
      </c>
      <c r="D25" s="147"/>
      <c r="E25" s="147"/>
      <c r="F25" s="147" t="str">
        <f>"1Q"&amp;RIGHT(F24,2)</f>
        <v>1Q23</v>
      </c>
      <c r="G25" s="147" t="str">
        <f>"2Q"&amp;RIGHT(G24,2)</f>
        <v>2Q23</v>
      </c>
      <c r="H25" s="147" t="str">
        <f>"3Q"&amp;RIGHT(H24,2)</f>
        <v>3Q23</v>
      </c>
      <c r="I25" s="147" t="str">
        <f>"4Q"&amp;RIGHT(I24,2)</f>
        <v>4Q23</v>
      </c>
      <c r="J25" s="147">
        <f>J24</f>
        <v>2023</v>
      </c>
      <c r="K25" s="147" t="str">
        <f>"1Q"&amp;RIGHT(K24,2)</f>
        <v>1Q24</v>
      </c>
      <c r="L25" s="147" t="str">
        <f>"2Q"&amp;RIGHT(L24,2)</f>
        <v>2Q24</v>
      </c>
      <c r="M25" s="147" t="str">
        <f>"3Q"&amp;RIGHT(M24,2)</f>
        <v>3Q24</v>
      </c>
      <c r="N25" s="147" t="str">
        <f>"4Q"&amp;RIGHT(N24,2)</f>
        <v>4Q24</v>
      </c>
      <c r="O25" s="147">
        <f>O24</f>
        <v>2024</v>
      </c>
      <c r="P25" s="147" t="str">
        <f>"1Q"&amp;RIGHT(P24,2)</f>
        <v>1Q25</v>
      </c>
      <c r="Q25" s="147" t="str">
        <f>"2Q"&amp;RIGHT(Q24,2)</f>
        <v>2Q25</v>
      </c>
      <c r="R25" s="147" t="str">
        <f>"3Q"&amp;RIGHT(R24,2)</f>
        <v>3Q25</v>
      </c>
      <c r="S25" s="147" t="str">
        <f>"4Q"&amp;RIGHT(S24,2)</f>
        <v>4Q25</v>
      </c>
      <c r="T25" s="147">
        <f>T24</f>
        <v>2025</v>
      </c>
      <c r="U25" s="297" t="str">
        <f>IF(Last_FQR="4Q","1Q"&amp;RIGHT(U24,2)&amp;"e","1Q"&amp;RIGHT(U24,2))</f>
        <v>1Q26</v>
      </c>
      <c r="V25" s="297" t="str">
        <f>IF(Last_FQR="4Q","2Q"&amp;RIGHT(W24,2)&amp;"e",IF(Last_FQR="1Q","2Q"&amp;RIGHT(W24,2)&amp;"e","2Q"&amp;RIGHT(W24,2)))</f>
        <v>2Q26</v>
      </c>
      <c r="W25" s="297" t="str">
        <f>IF(Last_FQR="4Q","3Q"&amp;RIGHT(W24,2)&amp;"e",IF(Last_FQR="1Q","3Q"&amp;RIGHT(W24,2)&amp;"e",IF(Last_FQR="2Q","3Q"&amp;RIGHT(W24,2)&amp;"e","3Q"&amp;RIGHT(W24,2))))</f>
        <v>3Q26e</v>
      </c>
      <c r="X25" s="297" t="str">
        <f>"4Q"&amp;RIGHT(U24,2)&amp;"e"</f>
        <v>4Q26e</v>
      </c>
      <c r="Y25" s="147" t="str">
        <f>Y24&amp;"e"</f>
        <v>2026e</v>
      </c>
      <c r="Z25" s="147" t="str">
        <f>"1Q"&amp;RIGHT(Z24,2)&amp;"e"</f>
        <v>1Q27e</v>
      </c>
      <c r="AA25" s="147" t="str">
        <f>"2Q"&amp;RIGHT(AA24,2)&amp;"e"</f>
        <v>2Q27e</v>
      </c>
      <c r="AB25" s="147" t="str">
        <f>"3Q"&amp;RIGHT(AB24,2)&amp;"e"</f>
        <v>3Q27e</v>
      </c>
      <c r="AC25" s="147" t="str">
        <f>"4Q"&amp;RIGHT(AC24,2)&amp;"e"</f>
        <v>4Q27e</v>
      </c>
      <c r="AD25" s="147" t="str">
        <f t="shared" ref="AD25:AG25" si="6">AD24&amp;"e"</f>
        <v>2027e</v>
      </c>
      <c r="AE25" s="147" t="str">
        <f t="shared" si="6"/>
        <v>2028e</v>
      </c>
      <c r="AF25" s="147" t="str">
        <f t="shared" si="6"/>
        <v>2029e</v>
      </c>
      <c r="AG25" s="298" t="str">
        <f t="shared" si="6"/>
        <v>2030e</v>
      </c>
      <c r="AH25" s="211" t="s">
        <v>1</v>
      </c>
      <c r="AI25" s="12"/>
      <c r="AJ25" s="12"/>
      <c r="AK25" s="12"/>
    </row>
    <row r="26" spans="1:37" ht="13.5" customHeight="1">
      <c r="A26" s="211"/>
      <c r="B26" s="12"/>
      <c r="C26" s="220" t="s">
        <v>267</v>
      </c>
      <c r="D26" s="151"/>
      <c r="E26" s="151"/>
      <c r="F26" s="151">
        <v>91</v>
      </c>
      <c r="G26" s="151">
        <v>91</v>
      </c>
      <c r="H26" s="151">
        <v>92</v>
      </c>
      <c r="I26" s="151">
        <v>92</v>
      </c>
      <c r="J26" s="151">
        <f>SUM(F26:I26)</f>
        <v>366</v>
      </c>
      <c r="K26" s="151">
        <v>90</v>
      </c>
      <c r="L26" s="151">
        <v>91</v>
      </c>
      <c r="M26" s="151">
        <v>92</v>
      </c>
      <c r="N26" s="151">
        <v>92</v>
      </c>
      <c r="O26" s="151">
        <f>SUM(K26:N26)</f>
        <v>365</v>
      </c>
      <c r="P26" s="151">
        <v>90</v>
      </c>
      <c r="Q26" s="151">
        <v>91</v>
      </c>
      <c r="R26" s="151">
        <v>92</v>
      </c>
      <c r="S26" s="151">
        <v>92</v>
      </c>
      <c r="T26" s="151">
        <f>SUM(P26:S26)</f>
        <v>365</v>
      </c>
      <c r="U26" s="151">
        <v>90</v>
      </c>
      <c r="V26" s="151">
        <v>91</v>
      </c>
      <c r="W26" s="151">
        <v>92</v>
      </c>
      <c r="X26" s="151">
        <v>92</v>
      </c>
      <c r="Y26" s="151">
        <f>SUM(U26:X26)</f>
        <v>365</v>
      </c>
      <c r="Z26" s="151">
        <v>91</v>
      </c>
      <c r="AA26" s="151">
        <v>91</v>
      </c>
      <c r="AB26" s="151">
        <v>92</v>
      </c>
      <c r="AC26" s="151">
        <v>92</v>
      </c>
      <c r="AD26" s="151">
        <f>SUM(Z26:AC26)</f>
        <v>366</v>
      </c>
      <c r="AE26" s="151">
        <v>365</v>
      </c>
      <c r="AF26" s="151">
        <v>365</v>
      </c>
      <c r="AG26" s="152">
        <v>365</v>
      </c>
      <c r="AH26" s="12"/>
      <c r="AI26" s="12"/>
      <c r="AJ26" s="12"/>
      <c r="AK26" s="12"/>
    </row>
    <row r="27" spans="1:37" ht="13.5" customHeight="1">
      <c r="A27" s="211"/>
      <c r="B27" s="12"/>
      <c r="C27" s="108"/>
      <c r="D27" s="12"/>
      <c r="E27" s="12"/>
      <c r="F27" s="261"/>
      <c r="G27" s="261"/>
      <c r="H27" s="261"/>
      <c r="I27" s="261"/>
      <c r="J27" s="12"/>
      <c r="K27" s="261"/>
      <c r="L27" s="261"/>
      <c r="M27" s="261"/>
      <c r="N27" s="261"/>
      <c r="O27" s="12"/>
      <c r="P27" s="261"/>
      <c r="Q27" s="261"/>
      <c r="R27" s="261"/>
      <c r="S27" s="261"/>
      <c r="T27" s="12"/>
      <c r="U27" s="261"/>
      <c r="V27" s="261"/>
      <c r="W27" s="261"/>
      <c r="X27" s="262"/>
      <c r="Y27" s="12"/>
      <c r="Z27" s="262"/>
      <c r="AA27" s="262"/>
      <c r="AB27" s="262"/>
      <c r="AC27" s="262"/>
      <c r="AD27" s="12"/>
      <c r="AE27" s="12"/>
      <c r="AF27" s="12"/>
      <c r="AG27" s="12"/>
      <c r="AH27" s="12"/>
      <c r="AI27" s="12"/>
      <c r="AJ27" s="12"/>
      <c r="AK27" s="12"/>
    </row>
    <row r="28" spans="1:37" ht="13.5" customHeight="1">
      <c r="A28" s="211"/>
      <c r="B28" s="12"/>
      <c r="C28" s="108" t="s">
        <v>268</v>
      </c>
      <c r="D28" s="12"/>
      <c r="E28" s="12"/>
      <c r="F28" s="299">
        <f>'Segment Analysis'!F7</f>
        <v>8161.5029999999997</v>
      </c>
      <c r="G28" s="299">
        <f>'Segment Analysis'!G7</f>
        <v>8187.3010000000004</v>
      </c>
      <c r="H28" s="299">
        <f>'Segment Analysis'!H7</f>
        <v>8541.6679999999997</v>
      </c>
      <c r="I28" s="299">
        <f>'Segment Analysis'!I7</f>
        <v>8832.8250000000007</v>
      </c>
      <c r="J28" s="228">
        <f t="shared" ref="J28:J30" si="7">SUM(F28:I28)</f>
        <v>33723.297000000006</v>
      </c>
      <c r="K28" s="299">
        <f>'Segment Analysis'!K7</f>
        <v>9370.44</v>
      </c>
      <c r="L28" s="299">
        <f>'Segment Analysis'!L7</f>
        <v>9559.31</v>
      </c>
      <c r="M28" s="299">
        <f>'Segment Analysis'!M7</f>
        <v>9824.7029999999995</v>
      </c>
      <c r="N28" s="299">
        <f>'Segment Analysis'!N7</f>
        <v>10246.513000000001</v>
      </c>
      <c r="O28" s="228">
        <f t="shared" ref="O28:O30" si="8">SUM(K28:N28)</f>
        <v>39000.966</v>
      </c>
      <c r="P28" s="299">
        <f>'Segment Analysis'!P7</f>
        <v>10542.800999999999</v>
      </c>
      <c r="Q28" s="299">
        <f>'Segment Analysis'!Q7</f>
        <v>11079.165999999999</v>
      </c>
      <c r="R28" s="299">
        <f>'Segment Analysis'!R7</f>
        <v>11510.307000000001</v>
      </c>
      <c r="S28" s="299">
        <f>'Segment Analysis'!S7</f>
        <v>12050.762000000001</v>
      </c>
      <c r="T28" s="228">
        <f t="shared" ref="T28:T30" si="9">SUM(P28:S28)</f>
        <v>45183.036</v>
      </c>
      <c r="U28" s="299">
        <f>'Segment Analysis'!U7</f>
        <v>12249.757</v>
      </c>
      <c r="V28" s="299">
        <f>'Segment Analysis'!V7</f>
        <v>27570</v>
      </c>
      <c r="W28" s="299">
        <f>'Segment Analysis'!W7</f>
        <v>22918</v>
      </c>
      <c r="X28" s="227">
        <f>'Segment Analysis'!X7</f>
        <v>21772.1</v>
      </c>
      <c r="Y28" s="228">
        <f t="shared" ref="Y28:Y30" si="10">SUM(U28:X28)</f>
        <v>84509.856999999989</v>
      </c>
      <c r="Z28" s="227">
        <f>'Segment Analysis'!Z7</f>
        <v>25691.077999999998</v>
      </c>
      <c r="AA28" s="227">
        <f>'Segment Analysis'!AA7</f>
        <v>29287.82892</v>
      </c>
      <c r="AB28" s="227">
        <f>'Segment Analysis'!AB7</f>
        <v>25773.289449600001</v>
      </c>
      <c r="AC28" s="227">
        <f>'Segment Analysis'!AC7</f>
        <v>24484.624977119998</v>
      </c>
      <c r="AD28" s="228">
        <f t="shared" ref="AD28:AD30" si="11">SUM(Z28:AC28)</f>
        <v>105236.82134671998</v>
      </c>
      <c r="AE28" s="228">
        <f>'Segment Analysis'!AE7</f>
        <v>107341.55777365438</v>
      </c>
      <c r="AF28" s="228">
        <f>'Segment Analysis'!AF7</f>
        <v>109488.38892912747</v>
      </c>
      <c r="AG28" s="228">
        <f>'Segment Analysis'!AG7</f>
        <v>111678.15670771002</v>
      </c>
      <c r="AH28" s="12"/>
      <c r="AI28" s="12"/>
      <c r="AJ28" s="12"/>
      <c r="AK28" s="12"/>
    </row>
    <row r="29" spans="1:37" ht="13.5" customHeight="1">
      <c r="A29" s="211"/>
      <c r="B29" s="12"/>
      <c r="C29" s="108" t="s">
        <v>269</v>
      </c>
      <c r="D29" s="12"/>
      <c r="E29" s="12"/>
      <c r="F29" s="300">
        <v>-4803.625</v>
      </c>
      <c r="G29" s="300">
        <v>-4673.47</v>
      </c>
      <c r="H29" s="300">
        <v>-4930.7879999999996</v>
      </c>
      <c r="I29" s="300">
        <f>-19715.4-SUM(F29:H29)</f>
        <v>-5307.5169999999998</v>
      </c>
      <c r="J29" s="301">
        <f t="shared" si="7"/>
        <v>-19715.400000000001</v>
      </c>
      <c r="K29" s="300">
        <v>-4977.0730000000003</v>
      </c>
      <c r="L29" s="300">
        <v>-5174.143</v>
      </c>
      <c r="M29" s="300">
        <v>-5119.884</v>
      </c>
      <c r="N29" s="300">
        <v>-5767.3639999999996</v>
      </c>
      <c r="O29" s="301">
        <f t="shared" si="8"/>
        <v>-21038.464</v>
      </c>
      <c r="P29" s="300">
        <v>-5263.1469999999999</v>
      </c>
      <c r="Q29" s="300">
        <v>-5325.3109999999997</v>
      </c>
      <c r="R29" s="300">
        <v>-6164.25</v>
      </c>
      <c r="S29" s="300">
        <v>-6522.6210000000001</v>
      </c>
      <c r="T29" s="301">
        <f t="shared" si="9"/>
        <v>-23275.328999999998</v>
      </c>
      <c r="U29" s="300">
        <v>-5888.2380000000003</v>
      </c>
      <c r="V29" s="300">
        <f>-18258</f>
        <v>-18258</v>
      </c>
      <c r="W29" s="300">
        <v>-15331</v>
      </c>
      <c r="X29" s="302">
        <f>IF(Cover!$F$37="Bottom Up",(X30-X28),(-X28*(1-X66)))</f>
        <v>-18941.726999999999</v>
      </c>
      <c r="Y29" s="301">
        <f t="shared" si="10"/>
        <v>-58418.964999999997</v>
      </c>
      <c r="Z29" s="302">
        <f>IF(Cover!$F$37="Bottom Up",(Z30-Z28),(-Z28*(1-Z66)))</f>
        <v>-22094.327079999999</v>
      </c>
      <c r="AA29" s="302">
        <f>IF(Cover!$F$37="Bottom Up",(AA30-AA28),(-AA28*(1-AA66)))</f>
        <v>-25041.0937266</v>
      </c>
      <c r="AB29" s="302">
        <f>IF(Cover!$F$37="Bottom Up",(AB30-AB28),(-AB28*(1-AB66)))</f>
        <v>-22680.494715648001</v>
      </c>
      <c r="AC29" s="302">
        <f>IF(Cover!$F$37="Bottom Up",(AC30-AC28),(-AC28*(1-AC66)))</f>
        <v>-21179.2006052088</v>
      </c>
      <c r="AD29" s="301">
        <f t="shared" si="11"/>
        <v>-90995.1161274568</v>
      </c>
      <c r="AE29" s="301">
        <f>IF(Cover!$F$37="Bottom Up",(AE30-AE28),(-AE28*(1-AE66)))</f>
        <v>-92421.081243116423</v>
      </c>
      <c r="AF29" s="301">
        <f>IF(Cover!$F$37="Bottom Up",(AF30-AF28),(-AF28*(1-AF66)))</f>
        <v>-94160.014479049627</v>
      </c>
      <c r="AG29" s="301">
        <f>IF(Cover!$F$37="Bottom Up",(AG30-AG28),(-AG28*(1-AG66)))</f>
        <v>-95819.858455215188</v>
      </c>
      <c r="AH29" s="12"/>
      <c r="AI29" s="12"/>
      <c r="AJ29" s="12"/>
      <c r="AK29" s="12"/>
    </row>
    <row r="30" spans="1:37" ht="13.5" customHeight="1">
      <c r="A30" s="211"/>
      <c r="B30" s="12"/>
      <c r="C30" s="108" t="s">
        <v>270</v>
      </c>
      <c r="D30" s="12"/>
      <c r="E30" s="12"/>
      <c r="F30" s="299">
        <f t="shared" ref="F30:I30" si="12">SUM(F28:F29)</f>
        <v>3357.8779999999997</v>
      </c>
      <c r="G30" s="299">
        <f t="shared" si="12"/>
        <v>3513.8310000000001</v>
      </c>
      <c r="H30" s="299">
        <f t="shared" si="12"/>
        <v>3610.88</v>
      </c>
      <c r="I30" s="299">
        <f t="shared" si="12"/>
        <v>3525.3080000000009</v>
      </c>
      <c r="J30" s="228">
        <f t="shared" si="7"/>
        <v>14007.897000000001</v>
      </c>
      <c r="K30" s="299">
        <f t="shared" ref="K30:N30" si="13">SUM(K28:K29)</f>
        <v>4393.3670000000002</v>
      </c>
      <c r="L30" s="299">
        <f t="shared" si="13"/>
        <v>4385.1669999999995</v>
      </c>
      <c r="M30" s="299">
        <f t="shared" si="13"/>
        <v>4704.8189999999995</v>
      </c>
      <c r="N30" s="299">
        <f t="shared" si="13"/>
        <v>4479.1490000000013</v>
      </c>
      <c r="O30" s="228">
        <f t="shared" si="8"/>
        <v>17962.502</v>
      </c>
      <c r="P30" s="299">
        <f t="shared" ref="P30:S30" si="14">SUM(P28:P29)</f>
        <v>5279.6539999999995</v>
      </c>
      <c r="Q30" s="299">
        <f t="shared" si="14"/>
        <v>5753.8549999999996</v>
      </c>
      <c r="R30" s="299">
        <f t="shared" si="14"/>
        <v>5346.0570000000007</v>
      </c>
      <c r="S30" s="299">
        <f t="shared" si="14"/>
        <v>5528.1410000000005</v>
      </c>
      <c r="T30" s="228">
        <f t="shared" si="9"/>
        <v>21907.706999999999</v>
      </c>
      <c r="U30" s="299">
        <f t="shared" ref="U30:W30" si="15">SUM(U28:U29)</f>
        <v>6361.5189999999993</v>
      </c>
      <c r="V30" s="299">
        <f t="shared" si="15"/>
        <v>9312</v>
      </c>
      <c r="W30" s="299">
        <f t="shared" si="15"/>
        <v>7587</v>
      </c>
      <c r="X30" s="227">
        <f>IF(Cover!$F$37="Bottom Up",(X36-SUM(X32:X33,X35)),X28+X29)</f>
        <v>2830.3729999999996</v>
      </c>
      <c r="Y30" s="228">
        <f t="shared" si="10"/>
        <v>26090.892</v>
      </c>
      <c r="Z30" s="227">
        <f>IF(Cover!$F$37="Bottom Up",(Z36-SUM(Z32:Z33,Z35)),Z28+Z29)</f>
        <v>3596.7509199999986</v>
      </c>
      <c r="AA30" s="227">
        <f>IF(Cover!$F$37="Bottom Up",(AA36-SUM(AA32:AA33,AA35)),AA28+AA29)</f>
        <v>4246.7351933999998</v>
      </c>
      <c r="AB30" s="227">
        <f>IF(Cover!$F$37="Bottom Up",(AB36-SUM(AB32:AB33,AB35)),AB28+AB29)</f>
        <v>3092.7947339519997</v>
      </c>
      <c r="AC30" s="227">
        <f>IF(Cover!$F$37="Bottom Up",(AC36-SUM(AC32:AC33,AC35)),AC28+AC29)</f>
        <v>3305.4243719111983</v>
      </c>
      <c r="AD30" s="228">
        <f t="shared" si="11"/>
        <v>14241.705219263196</v>
      </c>
      <c r="AE30" s="228">
        <f>IF(Cover!$F$37="Bottom Up",(AE36-SUM(AE32:AE33,AE35)),AE28+AE29)</f>
        <v>14920.476530537955</v>
      </c>
      <c r="AF30" s="228">
        <f>IF(Cover!$F$37="Bottom Up",(AF36-SUM(AF32:AF33,AF35)),AF28+AF29)</f>
        <v>15328.374450077841</v>
      </c>
      <c r="AG30" s="228">
        <f>IF(Cover!$F$37="Bottom Up",(AG36-SUM(AG32:AG33,AG35)),AG28+AG29)</f>
        <v>15858.298252494831</v>
      </c>
      <c r="AH30" s="12"/>
      <c r="AI30" s="12"/>
      <c r="AJ30" s="12"/>
      <c r="AK30" s="12"/>
    </row>
    <row r="31" spans="1:37" ht="13.5" customHeight="1">
      <c r="A31" s="211"/>
      <c r="B31" s="12"/>
      <c r="C31" s="108"/>
      <c r="D31" s="12"/>
      <c r="E31" s="12"/>
      <c r="F31" s="303"/>
      <c r="G31" s="261"/>
      <c r="H31" s="261"/>
      <c r="I31" s="261"/>
      <c r="J31" s="12"/>
      <c r="K31" s="303"/>
      <c r="L31" s="261"/>
      <c r="M31" s="261"/>
      <c r="N31" s="261"/>
      <c r="O31" s="12"/>
      <c r="P31" s="303"/>
      <c r="Q31" s="261"/>
      <c r="R31" s="261"/>
      <c r="S31" s="261"/>
      <c r="T31" s="12"/>
      <c r="U31" s="303"/>
      <c r="V31" s="261"/>
      <c r="W31" s="261"/>
      <c r="X31" s="262"/>
      <c r="Y31" s="12"/>
      <c r="Z31" s="262"/>
      <c r="AA31" s="262"/>
      <c r="AB31" s="262"/>
      <c r="AC31" s="262"/>
      <c r="AD31" s="12"/>
      <c r="AE31" s="12"/>
      <c r="AF31" s="12"/>
      <c r="AG31" s="12"/>
      <c r="AH31" s="12"/>
      <c r="AI31" s="12"/>
      <c r="AJ31" s="12"/>
      <c r="AK31" s="12"/>
    </row>
    <row r="32" spans="1:37" ht="13.5" customHeight="1">
      <c r="A32" s="211"/>
      <c r="B32" s="12"/>
      <c r="C32" s="108" t="s">
        <v>271</v>
      </c>
      <c r="D32" s="12"/>
      <c r="E32" s="12"/>
      <c r="F32" s="304">
        <v>-400.92399999999998</v>
      </c>
      <c r="G32" s="304">
        <v>-401.49700000000001</v>
      </c>
      <c r="H32" s="304">
        <v>-478.59100000000001</v>
      </c>
      <c r="I32" s="304">
        <f>-17413-SUM(F32:H32)</f>
        <v>-16131.987999999999</v>
      </c>
      <c r="J32" s="131">
        <f t="shared" ref="J32:J36" si="16">SUM(F32:I32)</f>
        <v>-17413</v>
      </c>
      <c r="K32" s="304">
        <v>-654.34</v>
      </c>
      <c r="L32" s="304">
        <v>-644.08399999999995</v>
      </c>
      <c r="M32" s="304">
        <v>-642.92600000000004</v>
      </c>
      <c r="N32" s="304">
        <v>-976.20399999999995</v>
      </c>
      <c r="O32" s="131">
        <f t="shared" ref="O32:O36" si="17">SUM(K32:N32)</f>
        <v>-2917.5540000000001</v>
      </c>
      <c r="P32" s="304">
        <v>-688.37</v>
      </c>
      <c r="Q32" s="304">
        <v>-713.26499999999999</v>
      </c>
      <c r="R32" s="304">
        <v>-786.29499999999996</v>
      </c>
      <c r="S32" s="304">
        <v>-1113.376</v>
      </c>
      <c r="T32" s="131">
        <f t="shared" ref="T32:T36" si="18">SUM(P32:S32)</f>
        <v>-3301.3059999999996</v>
      </c>
      <c r="U32" s="304">
        <v>-842.21699999999998</v>
      </c>
      <c r="V32" s="304">
        <f>-4693</f>
        <v>-4693</v>
      </c>
      <c r="W32" s="304">
        <v>-4373</v>
      </c>
      <c r="X32" s="305">
        <f t="shared" ref="X32:X33" si="19">X67*X$28</f>
        <v>-4789.8620000000001</v>
      </c>
      <c r="Y32" s="131">
        <f t="shared" ref="Y32:Y36" si="20">SUM(U32:X32)</f>
        <v>-14698.079000000002</v>
      </c>
      <c r="Z32" s="305">
        <f t="shared" ref="Z32:AC32" si="21">Z67*Z$28</f>
        <v>-5780.4925499999999</v>
      </c>
      <c r="AA32" s="305">
        <f t="shared" si="21"/>
        <v>-6589.7615070000002</v>
      </c>
      <c r="AB32" s="305">
        <f t="shared" si="21"/>
        <v>-5670.1236789120003</v>
      </c>
      <c r="AC32" s="305">
        <f t="shared" si="21"/>
        <v>-5386.6174949664</v>
      </c>
      <c r="AD32" s="131">
        <f t="shared" ref="AD32:AD36" si="22">SUM(Z32:AC32)</f>
        <v>-23426.995230878398</v>
      </c>
      <c r="AE32" s="131">
        <f t="shared" ref="AE32:AG32" si="23">AE67*AE$28</f>
        <v>-23078.434921335691</v>
      </c>
      <c r="AF32" s="131">
        <f t="shared" si="23"/>
        <v>-23102.050064045896</v>
      </c>
      <c r="AG32" s="131">
        <f t="shared" si="23"/>
        <v>-23005.700281788264</v>
      </c>
      <c r="AH32" s="12"/>
      <c r="AI32" s="12"/>
      <c r="AJ32" s="12"/>
      <c r="AK32" s="12"/>
    </row>
    <row r="33" spans="1:37" ht="13.5" customHeight="1">
      <c r="A33" s="211"/>
      <c r="B33" s="12"/>
      <c r="C33" s="108" t="s">
        <v>272</v>
      </c>
      <c r="D33" s="12"/>
      <c r="E33" s="12"/>
      <c r="F33" s="304">
        <v>-687.27499999999998</v>
      </c>
      <c r="G33" s="304">
        <v>-657.98299999999995</v>
      </c>
      <c r="H33" s="304">
        <v>-657.15899999999999</v>
      </c>
      <c r="I33" s="304">
        <v>-673.34100000000001</v>
      </c>
      <c r="J33" s="131">
        <f t="shared" si="16"/>
        <v>-2675.7579999999998</v>
      </c>
      <c r="K33" s="304">
        <v>-702.47299999999996</v>
      </c>
      <c r="L33" s="304">
        <v>-711.25400000000002</v>
      </c>
      <c r="M33" s="304">
        <v>-735.06299999999999</v>
      </c>
      <c r="N33" s="304">
        <v>-776.505</v>
      </c>
      <c r="O33" s="131">
        <f t="shared" si="17"/>
        <v>-2925.2950000000001</v>
      </c>
      <c r="P33" s="304">
        <v>-822.82299999999998</v>
      </c>
      <c r="Q33" s="304">
        <v>-824.68299999999999</v>
      </c>
      <c r="R33" s="304">
        <v>-853.58399999999995</v>
      </c>
      <c r="S33" s="304">
        <v>-890.3</v>
      </c>
      <c r="T33" s="131">
        <f t="shared" si="18"/>
        <v>-3391.3899999999994</v>
      </c>
      <c r="U33" s="304">
        <v>-959.69600000000003</v>
      </c>
      <c r="V33" s="304">
        <v>0</v>
      </c>
      <c r="W33" s="304">
        <v>0</v>
      </c>
      <c r="X33" s="305">
        <f t="shared" si="19"/>
        <v>0</v>
      </c>
      <c r="Y33" s="131">
        <f t="shared" si="20"/>
        <v>-959.69600000000003</v>
      </c>
      <c r="Z33" s="305">
        <f t="shared" ref="Z33:AC33" si="24">Z68*Z$28</f>
        <v>0</v>
      </c>
      <c r="AA33" s="305">
        <f t="shared" si="24"/>
        <v>0</v>
      </c>
      <c r="AB33" s="305">
        <f t="shared" si="24"/>
        <v>0</v>
      </c>
      <c r="AC33" s="305">
        <f t="shared" si="24"/>
        <v>0</v>
      </c>
      <c r="AD33" s="131">
        <f t="shared" si="22"/>
        <v>0</v>
      </c>
      <c r="AE33" s="131">
        <f t="shared" ref="AE33:AG33" si="25">AE68*AE$28</f>
        <v>0</v>
      </c>
      <c r="AF33" s="131">
        <f t="shared" si="25"/>
        <v>0</v>
      </c>
      <c r="AG33" s="131">
        <f t="shared" si="25"/>
        <v>0</v>
      </c>
      <c r="AH33" s="12"/>
      <c r="AI33" s="12"/>
      <c r="AJ33" s="12"/>
      <c r="AK33" s="12"/>
    </row>
    <row r="34" spans="1:37" ht="13.5" customHeight="1">
      <c r="A34" s="211"/>
      <c r="B34" s="12"/>
      <c r="C34" s="108" t="s">
        <v>273</v>
      </c>
      <c r="D34" s="12"/>
      <c r="E34" s="12"/>
      <c r="F34" s="304">
        <v>-90.334999999999994</v>
      </c>
      <c r="G34" s="304">
        <v>-89.385000000000005</v>
      </c>
      <c r="H34" s="304">
        <v>-90.66</v>
      </c>
      <c r="I34" s="304">
        <f>-356.9-SUM(F34:H34)</f>
        <v>-86.519999999999982</v>
      </c>
      <c r="J34" s="131">
        <f t="shared" si="16"/>
        <v>-356.9</v>
      </c>
      <c r="K34" s="304">
        <v>-87.233999999999995</v>
      </c>
      <c r="L34" s="304">
        <v>-81.227000000000004</v>
      </c>
      <c r="M34" s="304">
        <v>-80.914000000000001</v>
      </c>
      <c r="N34" s="304">
        <v>-79.539000000000001</v>
      </c>
      <c r="O34" s="131">
        <f t="shared" si="17"/>
        <v>-328.91399999999999</v>
      </c>
      <c r="P34" s="304">
        <v>-80.066999999999993</v>
      </c>
      <c r="Q34" s="304">
        <v>-80.013000000000005</v>
      </c>
      <c r="R34" s="304">
        <v>-87.325999999999993</v>
      </c>
      <c r="S34" s="304">
        <v>-85.983000000000004</v>
      </c>
      <c r="T34" s="131">
        <f t="shared" si="18"/>
        <v>-333.38900000000001</v>
      </c>
      <c r="U34" s="304">
        <v>-98.575000000000003</v>
      </c>
      <c r="V34" s="304">
        <v>-409</v>
      </c>
      <c r="W34" s="304">
        <v>-425</v>
      </c>
      <c r="X34" s="305">
        <f>-X76</f>
        <v>-331.18750000000006</v>
      </c>
      <c r="Y34" s="131">
        <f t="shared" si="20"/>
        <v>-1263.7625</v>
      </c>
      <c r="Z34" s="305">
        <f t="shared" ref="Z34:AC34" si="26">-Z76</f>
        <v>-331.86891850000006</v>
      </c>
      <c r="AA34" s="305">
        <f t="shared" si="26"/>
        <v>-336.85146518625004</v>
      </c>
      <c r="AB34" s="305">
        <f t="shared" si="26"/>
        <v>-342.23237867969067</v>
      </c>
      <c r="AC34" s="305">
        <f t="shared" si="26"/>
        <v>-343.91086566405204</v>
      </c>
      <c r="AD34" s="131">
        <f t="shared" si="22"/>
        <v>-1354.8636280299929</v>
      </c>
      <c r="AE34" s="131">
        <f t="shared" ref="AE34:AG34" si="27">-AE76</f>
        <v>-1420.1551602334257</v>
      </c>
      <c r="AF34" s="131">
        <f t="shared" si="27"/>
        <v>-1472.4758318906811</v>
      </c>
      <c r="AG34" s="131">
        <f t="shared" si="27"/>
        <v>-1524.1208520524956</v>
      </c>
      <c r="AH34" s="12"/>
      <c r="AI34" s="12"/>
      <c r="AJ34" s="12"/>
      <c r="AK34" s="12"/>
    </row>
    <row r="35" spans="1:37" ht="13.5" customHeight="1">
      <c r="A35" s="211"/>
      <c r="B35" s="12"/>
      <c r="C35" s="108" t="s">
        <v>274</v>
      </c>
      <c r="D35" s="12"/>
      <c r="E35" s="12"/>
      <c r="F35" s="300">
        <v>-465.02699999999936</v>
      </c>
      <c r="G35" s="300">
        <v>-537.78300000000013</v>
      </c>
      <c r="H35" s="300">
        <v>-468.07600000000002</v>
      </c>
      <c r="I35" s="300">
        <v>2995.6769999999997</v>
      </c>
      <c r="J35" s="301">
        <f t="shared" si="16"/>
        <v>1524.7910000000002</v>
      </c>
      <c r="K35" s="300">
        <v>-316.78600000000006</v>
      </c>
      <c r="L35" s="300">
        <v>-345.76499999999942</v>
      </c>
      <c r="M35" s="300">
        <v>-336.43899999999985</v>
      </c>
      <c r="N35" s="300">
        <v>-374.13500000000113</v>
      </c>
      <c r="O35" s="301">
        <f t="shared" si="17"/>
        <v>-1373.1250000000005</v>
      </c>
      <c r="P35" s="300">
        <v>-341.39499999999953</v>
      </c>
      <c r="Q35" s="300">
        <v>-361.19999999999936</v>
      </c>
      <c r="R35" s="300">
        <v>-370.60500000000047</v>
      </c>
      <c r="S35" s="300">
        <v>-481.81900000000041</v>
      </c>
      <c r="T35" s="301">
        <f t="shared" si="18"/>
        <v>-1555.0189999999998</v>
      </c>
      <c r="U35" s="300">
        <v>-504.0339999999992</v>
      </c>
      <c r="V35" s="300">
        <v>0</v>
      </c>
      <c r="W35" s="300">
        <v>0</v>
      </c>
      <c r="X35" s="302">
        <f>X69*X$28</f>
        <v>0</v>
      </c>
      <c r="Y35" s="301">
        <f t="shared" si="20"/>
        <v>-504.0339999999992</v>
      </c>
      <c r="Z35" s="302">
        <f t="shared" ref="Z35:AC35" si="28">Z69*Z$28</f>
        <v>0</v>
      </c>
      <c r="AA35" s="302">
        <f t="shared" si="28"/>
        <v>0</v>
      </c>
      <c r="AB35" s="302">
        <f t="shared" si="28"/>
        <v>0</v>
      </c>
      <c r="AC35" s="302">
        <f t="shared" si="28"/>
        <v>0</v>
      </c>
      <c r="AD35" s="301">
        <f t="shared" si="22"/>
        <v>0</v>
      </c>
      <c r="AE35" s="301">
        <f t="shared" ref="AE35:AG35" si="29">AE69*AE$28</f>
        <v>0</v>
      </c>
      <c r="AF35" s="301">
        <f t="shared" si="29"/>
        <v>0</v>
      </c>
      <c r="AG35" s="301">
        <f t="shared" si="29"/>
        <v>0</v>
      </c>
      <c r="AH35" s="12"/>
      <c r="AI35" s="12"/>
      <c r="AJ35" s="12"/>
      <c r="AK35" s="12"/>
    </row>
    <row r="36" spans="1:37" ht="13.5" customHeight="1">
      <c r="A36" s="211"/>
      <c r="B36" s="12"/>
      <c r="C36" s="108" t="s">
        <v>275</v>
      </c>
      <c r="D36" s="12"/>
      <c r="E36" s="12"/>
      <c r="F36" s="299">
        <f t="shared" ref="F36:I36" si="30">IF($C$34="Depreciation &amp; Amortization (incl. in SG&amp;A)",F30+SUM(F32:F33,F35),F30+SUM(F32:F35))</f>
        <v>1714.3170000000002</v>
      </c>
      <c r="G36" s="299">
        <f t="shared" si="30"/>
        <v>1827.183</v>
      </c>
      <c r="H36" s="299">
        <f t="shared" si="30"/>
        <v>1916.394</v>
      </c>
      <c r="I36" s="299">
        <f t="shared" si="30"/>
        <v>-10370.863999999998</v>
      </c>
      <c r="J36" s="228">
        <f t="shared" si="16"/>
        <v>-4912.9699999999975</v>
      </c>
      <c r="K36" s="299">
        <f t="shared" ref="K36:N36" si="31">IF($C$34="Depreciation &amp; Amortization (incl. in SG&amp;A)",K30+SUM(K32:K33,K35),K30+SUM(K32:K35))</f>
        <v>2632.5340000000001</v>
      </c>
      <c r="L36" s="299">
        <f t="shared" si="31"/>
        <v>2602.837</v>
      </c>
      <c r="M36" s="299">
        <f t="shared" si="31"/>
        <v>2909.4769999999999</v>
      </c>
      <c r="N36" s="299">
        <f t="shared" si="31"/>
        <v>2272.7660000000005</v>
      </c>
      <c r="O36" s="228">
        <f t="shared" si="17"/>
        <v>10417.614000000001</v>
      </c>
      <c r="P36" s="299">
        <f t="shared" ref="P36:S36" si="32">IF($C$34="Depreciation &amp; Amortization (incl. in SG&amp;A)",P30+SUM(P32:P33,P35),P30+SUM(P32:P35))</f>
        <v>3346.9989999999998</v>
      </c>
      <c r="Q36" s="299">
        <f t="shared" si="32"/>
        <v>3774.6940000000004</v>
      </c>
      <c r="R36" s="299">
        <f t="shared" si="32"/>
        <v>3248.2470000000003</v>
      </c>
      <c r="S36" s="299">
        <f t="shared" si="32"/>
        <v>2956.663</v>
      </c>
      <c r="T36" s="228">
        <f t="shared" si="18"/>
        <v>13326.603000000001</v>
      </c>
      <c r="U36" s="299">
        <f t="shared" ref="U36:W36" si="33">IF($C$34="Depreciation &amp; Amortization (incl. in SG&amp;A)",U30+SUM(U32:U33,U35),U30+SUM(U32:U35))</f>
        <v>3956.9970000000003</v>
      </c>
      <c r="V36" s="299">
        <f t="shared" si="33"/>
        <v>4210</v>
      </c>
      <c r="W36" s="299">
        <f t="shared" si="33"/>
        <v>2789</v>
      </c>
      <c r="X36" s="227">
        <f>IF(Cover!$F$37="Bottom Up",'Segment Analysis'!X33,IF($C$34="Depreciation &amp; Amortization (incl. in SG&amp;A)",X30+SUM(X32:X33,X35),X30+SUM(X32:X35)))</f>
        <v>-2290.6765000000005</v>
      </c>
      <c r="Y36" s="228">
        <f t="shared" si="20"/>
        <v>8665.320499999998</v>
      </c>
      <c r="Z36" s="227">
        <f>IF(Cover!$F$37="Bottom Up",'Segment Analysis'!Z33,IF($C$34="Depreciation &amp; Amortization (incl. in SG&amp;A)",Z30+SUM(Z32:Z33,Z35),Z30+SUM(Z32:Z35)))</f>
        <v>-2515.6105485000016</v>
      </c>
      <c r="AA36" s="227">
        <f>IF(Cover!$F$37="Bottom Up",'Segment Analysis'!AA33,IF($C$34="Depreciation &amp; Amortization (incl. in SG&amp;A)",AA30+SUM(AA32:AA33,AA35),AA30+SUM(AA32:AA35)))</f>
        <v>-2679.87777878625</v>
      </c>
      <c r="AB36" s="227">
        <f>IF(Cover!$F$37="Bottom Up",'Segment Analysis'!AB33,IF($C$34="Depreciation &amp; Amortization (incl. in SG&amp;A)",AB30+SUM(AB32:AB33,AB35),AB30+SUM(AB32:AB35)))</f>
        <v>-2919.5613236396912</v>
      </c>
      <c r="AC36" s="227">
        <f>IF(Cover!$F$37="Bottom Up",'Segment Analysis'!AC33,IF($C$34="Depreciation &amp; Amortization (incl. in SG&amp;A)",AC30+SUM(AC32:AC33,AC35),AC30+SUM(AC32:AC35)))</f>
        <v>-2425.1039887192537</v>
      </c>
      <c r="AD36" s="228">
        <f t="shared" si="22"/>
        <v>-10540.153639645196</v>
      </c>
      <c r="AE36" s="228">
        <f>IF(Cover!$F$37="Bottom Up",'Segment Analysis'!AE33,IF($C$34="Depreciation &amp; Amortization (incl. in SG&amp;A)",AE30+SUM(AE32:AE33,AE35),AE30+SUM(AE32:AE35)))</f>
        <v>-9578.1135510311615</v>
      </c>
      <c r="AF36" s="228">
        <f>IF(Cover!$F$37="Bottom Up",'Segment Analysis'!AF33,IF($C$34="Depreciation &amp; Amortization (incl. in SG&amp;A)",AF30+SUM(AF32:AF33,AF35),AF30+SUM(AF32:AF35)))</f>
        <v>-9246.1514458587371</v>
      </c>
      <c r="AG36" s="228">
        <f>IF(Cover!$F$37="Bottom Up",'Segment Analysis'!AG33,IF($C$34="Depreciation &amp; Amortization (incl. in SG&amp;A)",AG30+SUM(AG32:AG33,AG35),AG30+SUM(AG32:AG35)))</f>
        <v>-8671.5228813459289</v>
      </c>
      <c r="AH36" s="12"/>
      <c r="AI36" s="12"/>
      <c r="AJ36" s="12"/>
      <c r="AK36" s="12"/>
    </row>
    <row r="37" spans="1:37" ht="13.5" customHeight="1">
      <c r="A37" s="211"/>
      <c r="B37" s="12"/>
      <c r="C37" s="108"/>
      <c r="D37" s="12"/>
      <c r="E37" s="12"/>
      <c r="F37" s="303"/>
      <c r="G37" s="303"/>
      <c r="H37" s="303"/>
      <c r="I37" s="303"/>
      <c r="J37" s="12"/>
      <c r="K37" s="303"/>
      <c r="L37" s="303"/>
      <c r="M37" s="303"/>
      <c r="N37" s="303"/>
      <c r="O37" s="12"/>
      <c r="P37" s="303"/>
      <c r="Q37" s="303"/>
      <c r="R37" s="303"/>
      <c r="S37" s="303"/>
      <c r="T37" s="12"/>
      <c r="U37" s="303"/>
      <c r="V37" s="303"/>
      <c r="W37" s="303"/>
      <c r="X37" s="306"/>
      <c r="Y37" s="12"/>
      <c r="Z37" s="306"/>
      <c r="AA37" s="306"/>
      <c r="AB37" s="306"/>
      <c r="AC37" s="306"/>
      <c r="AD37" s="12"/>
      <c r="AE37" s="12"/>
      <c r="AF37" s="12"/>
      <c r="AG37" s="12"/>
      <c r="AH37" s="12"/>
      <c r="AI37" s="12"/>
      <c r="AJ37" s="12"/>
      <c r="AK37" s="12"/>
    </row>
    <row r="38" spans="1:37" ht="13.5" customHeight="1">
      <c r="A38" s="211"/>
      <c r="B38" s="12"/>
      <c r="C38" s="108" t="s">
        <v>276</v>
      </c>
      <c r="D38" s="12"/>
      <c r="E38" s="12"/>
      <c r="F38" s="304">
        <v>0</v>
      </c>
      <c r="G38" s="304">
        <v>0</v>
      </c>
      <c r="H38" s="304">
        <v>0</v>
      </c>
      <c r="I38" s="304">
        <v>281</v>
      </c>
      <c r="J38" s="131">
        <f t="shared" ref="J38:J42" si="34">SUM(F38:I38)</f>
        <v>281</v>
      </c>
      <c r="K38" s="304">
        <v>0</v>
      </c>
      <c r="L38" s="304">
        <v>0</v>
      </c>
      <c r="M38" s="304">
        <v>0</v>
      </c>
      <c r="N38" s="304">
        <v>294</v>
      </c>
      <c r="O38" s="131">
        <f t="shared" ref="O38:O42" si="35">SUM(K38:N38)</f>
        <v>294</v>
      </c>
      <c r="P38" s="304">
        <v>0</v>
      </c>
      <c r="Q38" s="304">
        <v>0</v>
      </c>
      <c r="R38" s="304">
        <v>0</v>
      </c>
      <c r="S38" s="304">
        <v>0</v>
      </c>
      <c r="T38" s="131">
        <f t="shared" ref="T38:T42" si="36">SUM(P38:S38)</f>
        <v>0</v>
      </c>
      <c r="U38" s="304">
        <v>0</v>
      </c>
      <c r="V38" s="304">
        <v>0</v>
      </c>
      <c r="W38" s="304">
        <v>0</v>
      </c>
      <c r="X38" s="305" t="str">
        <f ca="1">X329</f>
        <v/>
      </c>
      <c r="Y38" s="131" t="str">
        <f t="shared" ref="Y38:Y42" ca="1" si="37">SUM(U38:X38)</f>
        <v/>
      </c>
      <c r="Z38" s="305" t="str">
        <f t="shared" ref="Z38:AC38" ca="1" si="38">Z329</f>
        <v/>
      </c>
      <c r="AA38" s="305" t="str">
        <f t="shared" ca="1" si="38"/>
        <v>#REF!</v>
      </c>
      <c r="AB38" s="305" t="str">
        <f t="shared" ca="1" si="38"/>
        <v>#REF!</v>
      </c>
      <c r="AC38" s="305" t="str">
        <f t="shared" ca="1" si="38"/>
        <v>#REF!</v>
      </c>
      <c r="AD38" s="131" t="str">
        <f t="shared" ref="AD38:AD42" ca="1" si="39">SUM(Z38:AC38)</f>
        <v/>
      </c>
      <c r="AE38" s="131" t="str">
        <f t="shared" ref="AE38:AG38" ca="1" si="40">AE329</f>
        <v/>
      </c>
      <c r="AF38" s="131" t="str">
        <f t="shared" ca="1" si="40"/>
        <v>#REF!</v>
      </c>
      <c r="AG38" s="131" t="str">
        <f t="shared" ca="1" si="40"/>
        <v>#REF!</v>
      </c>
      <c r="AH38" s="12"/>
      <c r="AI38" s="12"/>
      <c r="AJ38" s="12"/>
      <c r="AK38" s="12"/>
    </row>
    <row r="39" spans="1:37" ht="13.5" customHeight="1">
      <c r="A39" s="211"/>
      <c r="B39" s="12"/>
      <c r="C39" s="108" t="s">
        <v>277</v>
      </c>
      <c r="D39" s="12"/>
      <c r="E39" s="12"/>
      <c r="F39" s="304">
        <v>-174.239</v>
      </c>
      <c r="G39" s="304">
        <v>-174.81200000000001</v>
      </c>
      <c r="H39" s="304">
        <v>-175.56299999999999</v>
      </c>
      <c r="I39" s="304">
        <f>-699.8-SUM(F39:H39)</f>
        <v>-175.18599999999992</v>
      </c>
      <c r="J39" s="131">
        <f t="shared" si="34"/>
        <v>-699.8</v>
      </c>
      <c r="K39" s="304">
        <v>-173.31399999999999</v>
      </c>
      <c r="L39" s="304">
        <v>-167.98599999999999</v>
      </c>
      <c r="M39" s="304">
        <v>-184.83</v>
      </c>
      <c r="N39" s="304">
        <v>-183</v>
      </c>
      <c r="O39" s="131">
        <f t="shared" si="35"/>
        <v>-709.13</v>
      </c>
      <c r="P39" s="304">
        <v>-205</v>
      </c>
      <c r="Q39" s="304">
        <f>-219</f>
        <v>-219</v>
      </c>
      <c r="R39" s="304">
        <v>-221</v>
      </c>
      <c r="S39" s="304">
        <v>-204</v>
      </c>
      <c r="T39" s="131">
        <f t="shared" si="36"/>
        <v>-849</v>
      </c>
      <c r="U39" s="304">
        <v>-211</v>
      </c>
      <c r="V39" s="304">
        <f>-216</f>
        <v>-216</v>
      </c>
      <c r="W39" s="304">
        <v>-223</v>
      </c>
      <c r="X39" s="305" t="str">
        <f ca="1">X322</f>
        <v/>
      </c>
      <c r="Y39" s="131" t="str">
        <f t="shared" ca="1" si="37"/>
        <v>#REF!</v>
      </c>
      <c r="Z39" s="305" t="str">
        <f t="shared" ref="Z39:AC39" ca="1" si="41">Z322</f>
        <v/>
      </c>
      <c r="AA39" s="305" t="str">
        <f t="shared" ca="1" si="41"/>
        <v>#REF!</v>
      </c>
      <c r="AB39" s="305" t="str">
        <f t="shared" ca="1" si="41"/>
        <v>#REF!</v>
      </c>
      <c r="AC39" s="305" t="str">
        <f t="shared" ca="1" si="41"/>
        <v>#REF!</v>
      </c>
      <c r="AD39" s="131" t="str">
        <f t="shared" ca="1" si="39"/>
        <v>#REF!</v>
      </c>
      <c r="AE39" s="131" t="str">
        <f t="shared" ref="AE39:AG39" ca="1" si="42">AE322</f>
        <v/>
      </c>
      <c r="AF39" s="131" t="str">
        <f t="shared" ca="1" si="42"/>
        <v>#REF!</v>
      </c>
      <c r="AG39" s="131" t="str">
        <f t="shared" ca="1" si="42"/>
        <v>#REF!</v>
      </c>
      <c r="AH39" s="12"/>
      <c r="AI39" s="12"/>
      <c r="AJ39" s="12"/>
      <c r="AK39" s="12"/>
    </row>
    <row r="40" spans="1:37" ht="13.5" customHeight="1">
      <c r="A40" s="211"/>
      <c r="B40" s="12"/>
      <c r="C40" s="108" t="s">
        <v>278</v>
      </c>
      <c r="D40" s="12"/>
      <c r="E40" s="12"/>
      <c r="F40" s="304">
        <v>0</v>
      </c>
      <c r="G40" s="304">
        <v>0</v>
      </c>
      <c r="H40" s="304">
        <v>0</v>
      </c>
      <c r="I40" s="304">
        <v>0</v>
      </c>
      <c r="J40" s="131">
        <f t="shared" si="34"/>
        <v>0</v>
      </c>
      <c r="K40" s="304">
        <v>0</v>
      </c>
      <c r="L40" s="304">
        <v>0</v>
      </c>
      <c r="M40" s="304">
        <v>0</v>
      </c>
      <c r="N40" s="304">
        <v>0</v>
      </c>
      <c r="O40" s="131">
        <f t="shared" si="35"/>
        <v>0</v>
      </c>
      <c r="P40" s="304">
        <v>0</v>
      </c>
      <c r="Q40" s="304">
        <v>0</v>
      </c>
      <c r="R40" s="304">
        <v>0</v>
      </c>
      <c r="S40" s="304">
        <v>0</v>
      </c>
      <c r="T40" s="131">
        <f t="shared" si="36"/>
        <v>0</v>
      </c>
      <c r="U40" s="304">
        <v>0</v>
      </c>
      <c r="V40" s="304">
        <v>0</v>
      </c>
      <c r="W40" s="304">
        <v>0</v>
      </c>
      <c r="X40" s="307">
        <f>Drivers!X62</f>
        <v>0</v>
      </c>
      <c r="Y40" s="131">
        <f t="shared" si="37"/>
        <v>0</v>
      </c>
      <c r="Z40" s="307">
        <f>Drivers!Z62</f>
        <v>0</v>
      </c>
      <c r="AA40" s="307">
        <f>Drivers!AA62</f>
        <v>0</v>
      </c>
      <c r="AB40" s="307">
        <f>Drivers!AB62</f>
        <v>0</v>
      </c>
      <c r="AC40" s="307">
        <f>Drivers!AC62</f>
        <v>0</v>
      </c>
      <c r="AD40" s="131">
        <f t="shared" si="39"/>
        <v>0</v>
      </c>
      <c r="AE40" s="308">
        <f>Drivers!AE62</f>
        <v>0</v>
      </c>
      <c r="AF40" s="308">
        <f>Drivers!AF62</f>
        <v>0</v>
      </c>
      <c r="AG40" s="308">
        <f>Drivers!AG62</f>
        <v>0</v>
      </c>
      <c r="AH40" s="12"/>
      <c r="AI40" s="12"/>
      <c r="AJ40" s="12"/>
      <c r="AK40" s="12"/>
    </row>
    <row r="41" spans="1:37" ht="13.5" customHeight="1">
      <c r="A41" s="211"/>
      <c r="B41" s="12"/>
      <c r="C41" s="108" t="s">
        <v>279</v>
      </c>
      <c r="D41" s="12"/>
      <c r="E41" s="12"/>
      <c r="F41" s="300">
        <v>-71.203999999999994</v>
      </c>
      <c r="G41" s="300">
        <v>26.960999999999999</v>
      </c>
      <c r="H41" s="300">
        <v>168.21799999999999</v>
      </c>
      <c r="I41" s="300">
        <v>-172.74700000000001</v>
      </c>
      <c r="J41" s="301">
        <f t="shared" si="34"/>
        <v>-48.77200000000002</v>
      </c>
      <c r="K41" s="300">
        <v>155.35900000000001</v>
      </c>
      <c r="L41" s="300">
        <v>79.004999999999995</v>
      </c>
      <c r="M41" s="300">
        <v>-21.693000000000001</v>
      </c>
      <c r="N41" s="300">
        <v>54.104999999999997</v>
      </c>
      <c r="O41" s="301">
        <f t="shared" si="35"/>
        <v>266.77600000000001</v>
      </c>
      <c r="P41" s="300">
        <v>50.899000000000001</v>
      </c>
      <c r="Q41" s="300">
        <v>39.630000000000003</v>
      </c>
      <c r="R41" s="300">
        <v>36.457000000000001</v>
      </c>
      <c r="S41" s="300">
        <f>-1200-45</f>
        <v>-1245</v>
      </c>
      <c r="T41" s="301">
        <f t="shared" si="36"/>
        <v>-1118.0140000000001</v>
      </c>
      <c r="U41" s="300">
        <v>2852.1660000000002</v>
      </c>
      <c r="V41" s="300">
        <v>0</v>
      </c>
      <c r="W41" s="300">
        <v>0</v>
      </c>
      <c r="X41" s="302">
        <f>X70*X28</f>
        <v>0</v>
      </c>
      <c r="Y41" s="301">
        <f t="shared" si="37"/>
        <v>2852.1660000000002</v>
      </c>
      <c r="Z41" s="302">
        <f t="shared" ref="Z41:AC41" si="43">Z70*Z28</f>
        <v>0</v>
      </c>
      <c r="AA41" s="302">
        <f t="shared" si="43"/>
        <v>0</v>
      </c>
      <c r="AB41" s="302">
        <f t="shared" si="43"/>
        <v>0</v>
      </c>
      <c r="AC41" s="302">
        <f t="shared" si="43"/>
        <v>0</v>
      </c>
      <c r="AD41" s="301">
        <f t="shared" si="39"/>
        <v>0</v>
      </c>
      <c r="AE41" s="301">
        <f t="shared" ref="AE41:AG41" si="44">AE70*AE28</f>
        <v>0</v>
      </c>
      <c r="AF41" s="301">
        <f t="shared" si="44"/>
        <v>0</v>
      </c>
      <c r="AG41" s="301">
        <f t="shared" si="44"/>
        <v>0</v>
      </c>
      <c r="AH41" s="12"/>
      <c r="AI41" s="12"/>
      <c r="AJ41" s="12"/>
      <c r="AK41" s="12"/>
    </row>
    <row r="42" spans="1:37" ht="13.5" customHeight="1">
      <c r="A42" s="211"/>
      <c r="B42" s="12"/>
      <c r="C42" s="108" t="s">
        <v>280</v>
      </c>
      <c r="D42" s="12"/>
      <c r="E42" s="12"/>
      <c r="F42" s="299">
        <f t="shared" ref="F42:I42" si="45">F36+SUM(F38:F41)</f>
        <v>1468.8740000000003</v>
      </c>
      <c r="G42" s="299">
        <f t="shared" si="45"/>
        <v>1679.3319999999999</v>
      </c>
      <c r="H42" s="299">
        <f t="shared" si="45"/>
        <v>1909.049</v>
      </c>
      <c r="I42" s="299">
        <f t="shared" si="45"/>
        <v>-10437.796999999997</v>
      </c>
      <c r="J42" s="228">
        <f t="shared" si="34"/>
        <v>-5380.5419999999967</v>
      </c>
      <c r="K42" s="299">
        <f t="shared" ref="K42:N42" si="46">K36+SUM(K38:K41)</f>
        <v>2614.5790000000002</v>
      </c>
      <c r="L42" s="299">
        <f t="shared" si="46"/>
        <v>2513.8559999999998</v>
      </c>
      <c r="M42" s="299">
        <f t="shared" si="46"/>
        <v>2702.9539999999997</v>
      </c>
      <c r="N42" s="299">
        <f t="shared" si="46"/>
        <v>2437.8710000000005</v>
      </c>
      <c r="O42" s="228">
        <f t="shared" si="35"/>
        <v>10269.26</v>
      </c>
      <c r="P42" s="299">
        <f t="shared" ref="P42:Q42" si="47">P36+SUM(P38:P41)</f>
        <v>3192.8979999999997</v>
      </c>
      <c r="Q42" s="299">
        <f t="shared" si="47"/>
        <v>3595.3240000000005</v>
      </c>
      <c r="R42" s="299">
        <f t="shared" ref="R42:S42" si="48">IF($C$8="On",R36+SUM(R38:R41),IF($C$8="off",R36+SUM(R40:R41),"N/A"))</f>
        <v>3063.7040000000002</v>
      </c>
      <c r="S42" s="299">
        <f t="shared" si="48"/>
        <v>1507.663</v>
      </c>
      <c r="T42" s="228">
        <f t="shared" si="36"/>
        <v>11359.589</v>
      </c>
      <c r="U42" s="299">
        <f t="shared" ref="U42:V42" si="49">U36+SUM(U38:U41)</f>
        <v>6598.1630000000005</v>
      </c>
      <c r="V42" s="299">
        <f t="shared" si="49"/>
        <v>3994</v>
      </c>
      <c r="W42" s="299">
        <f t="shared" ref="W42:X42" si="50">IF($C$8="On",W36+SUM(W38:W41),IF($C$8="off",W36+SUM(W40:W41),"N/A"))</f>
        <v>2566</v>
      </c>
      <c r="X42" s="227" t="str">
        <f t="shared" ca="1" si="50"/>
        <v>#REF!</v>
      </c>
      <c r="Y42" s="228" t="str">
        <f t="shared" ca="1" si="37"/>
        <v>#REF!</v>
      </c>
      <c r="Z42" s="227" t="str">
        <f t="shared" ref="Z42:AC42" ca="1" si="51">IF($C$8="On",Z36+SUM(Z38:Z41),IF($C$8="off",Z36+SUM(Z40:Z41),"N/A"))</f>
        <v/>
      </c>
      <c r="AA42" s="227" t="str">
        <f t="shared" ca="1" si="51"/>
        <v>#REF!</v>
      </c>
      <c r="AB42" s="227" t="str">
        <f t="shared" ca="1" si="51"/>
        <v>#REF!</v>
      </c>
      <c r="AC42" s="227" t="str">
        <f t="shared" ca="1" si="51"/>
        <v>#REF!</v>
      </c>
      <c r="AD42" s="228" t="str">
        <f t="shared" ca="1" si="39"/>
        <v>#REF!</v>
      </c>
      <c r="AE42" s="228" t="str">
        <f t="shared" ref="AE42:AG42" ca="1" si="52">IF($C$8="On",AE36+SUM(AE38:AE41),IF($C$8="off",AE36+SUM(AE40:AE41),"N/A"))</f>
        <v/>
      </c>
      <c r="AF42" s="228" t="str">
        <f t="shared" ca="1" si="52"/>
        <v>#REF!</v>
      </c>
      <c r="AG42" s="228" t="str">
        <f t="shared" ca="1" si="52"/>
        <v>#REF!</v>
      </c>
      <c r="AH42" s="12"/>
      <c r="AI42" s="12"/>
      <c r="AJ42" s="12"/>
      <c r="AK42" s="12"/>
    </row>
    <row r="43" spans="1:37" ht="13.5" customHeight="1">
      <c r="A43" s="211"/>
      <c r="B43" s="12"/>
      <c r="C43" s="108"/>
      <c r="D43" s="12"/>
      <c r="E43" s="12"/>
      <c r="F43" s="303"/>
      <c r="G43" s="303"/>
      <c r="H43" s="303"/>
      <c r="I43" s="303"/>
      <c r="J43" s="12"/>
      <c r="K43" s="303"/>
      <c r="L43" s="303"/>
      <c r="M43" s="303"/>
      <c r="N43" s="303"/>
      <c r="O43" s="12"/>
      <c r="P43" s="303"/>
      <c r="Q43" s="303"/>
      <c r="R43" s="303"/>
      <c r="S43" s="303"/>
      <c r="T43" s="12"/>
      <c r="U43" s="303"/>
      <c r="V43" s="303"/>
      <c r="W43" s="303"/>
      <c r="X43" s="306"/>
      <c r="Y43" s="12"/>
      <c r="Z43" s="306"/>
      <c r="AA43" s="306"/>
      <c r="AB43" s="306"/>
      <c r="AC43" s="306"/>
      <c r="AD43" s="12"/>
      <c r="AE43" s="12"/>
      <c r="AF43" s="12"/>
      <c r="AG43" s="12"/>
      <c r="AH43" s="12"/>
      <c r="AI43" s="12"/>
      <c r="AJ43" s="12"/>
      <c r="AK43" s="12"/>
    </row>
    <row r="44" spans="1:37" ht="13.5" customHeight="1">
      <c r="A44" s="211"/>
      <c r="B44" s="12"/>
      <c r="C44" s="108" t="s">
        <v>281</v>
      </c>
      <c r="D44" s="12"/>
      <c r="E44" s="12"/>
      <c r="F44" s="300">
        <v>-163.75399999999999</v>
      </c>
      <c r="G44" s="300">
        <v>-191.72200000000001</v>
      </c>
      <c r="H44" s="300">
        <v>-231.62700000000001</v>
      </c>
      <c r="I44" s="300">
        <f>-1078.4-SUM(F44:H44)</f>
        <v>-491.29700000000003</v>
      </c>
      <c r="J44" s="301">
        <f t="shared" ref="J44:J45" si="53">SUM(F44:I44)</f>
        <v>-1078.4000000000001</v>
      </c>
      <c r="K44" s="300">
        <v>-282.37</v>
      </c>
      <c r="L44" s="300">
        <v>-366.55</v>
      </c>
      <c r="M44" s="300">
        <v>-339.44499999999999</v>
      </c>
      <c r="N44" s="300">
        <v>-569.26400000000058</v>
      </c>
      <c r="O44" s="301">
        <f t="shared" ref="O44:O45" si="54">SUM(K44:N44)</f>
        <v>-1557.6290000000006</v>
      </c>
      <c r="P44" s="300">
        <v>-302.54699999999957</v>
      </c>
      <c r="Q44" s="300">
        <v>-469.91100000000051</v>
      </c>
      <c r="R44" s="300">
        <v>-516.78800000000001</v>
      </c>
      <c r="S44" s="300">
        <v>910.8580000000004</v>
      </c>
      <c r="T44" s="301">
        <f t="shared" ref="T44:T45" si="55">SUM(P44:S44)</f>
        <v>-378.38799999999969</v>
      </c>
      <c r="U44" s="300">
        <v>-1315.3720000000003</v>
      </c>
      <c r="V44" s="300">
        <f>-976</f>
        <v>-976</v>
      </c>
      <c r="W44" s="300">
        <v>-670</v>
      </c>
      <c r="X44" s="302" t="str">
        <f ca="1">-X71*X42</f>
        <v/>
      </c>
      <c r="Y44" s="301" t="str">
        <f t="shared" ref="Y44:Y45" ca="1" si="56">SUM(U44:X44)</f>
        <v/>
      </c>
      <c r="Z44" s="302" t="str">
        <f t="shared" ref="Z44:AC44" ca="1" si="57">-Z71*Z42</f>
        <v/>
      </c>
      <c r="AA44" s="302" t="str">
        <f t="shared" ca="1" si="57"/>
        <v>#REF!</v>
      </c>
      <c r="AB44" s="302" t="str">
        <f t="shared" ca="1" si="57"/>
        <v>#REF!</v>
      </c>
      <c r="AC44" s="302" t="str">
        <f t="shared" ca="1" si="57"/>
        <v>#REF!</v>
      </c>
      <c r="AD44" s="301" t="str">
        <f t="shared" ref="AD44:AD45" ca="1" si="58">SUM(Z44:AC44)</f>
        <v/>
      </c>
      <c r="AE44" s="301" t="str">
        <f t="shared" ref="AE44:AG44" ca="1" si="59">-AE71*AE42</f>
        <v/>
      </c>
      <c r="AF44" s="301" t="str">
        <f t="shared" ca="1" si="59"/>
        <v>#REF!</v>
      </c>
      <c r="AG44" s="301" t="str">
        <f t="shared" ca="1" si="59"/>
        <v>#REF!</v>
      </c>
      <c r="AH44" s="12"/>
      <c r="AI44" s="12"/>
      <c r="AJ44" s="12"/>
      <c r="AK44" s="12"/>
    </row>
    <row r="45" spans="1:37" ht="13.5" customHeight="1">
      <c r="A45" s="211"/>
      <c r="B45" s="12"/>
      <c r="C45" s="108" t="s">
        <v>282</v>
      </c>
      <c r="D45" s="12"/>
      <c r="E45" s="12"/>
      <c r="F45" s="299">
        <f t="shared" ref="F45:I45" si="60">F42+F44</f>
        <v>1305.1200000000003</v>
      </c>
      <c r="G45" s="299">
        <f t="shared" si="60"/>
        <v>1487.61</v>
      </c>
      <c r="H45" s="299">
        <f t="shared" si="60"/>
        <v>1677.422</v>
      </c>
      <c r="I45" s="299">
        <f t="shared" si="60"/>
        <v>-10929.093999999997</v>
      </c>
      <c r="J45" s="228">
        <f t="shared" si="53"/>
        <v>-6458.9419999999973</v>
      </c>
      <c r="K45" s="299">
        <f t="shared" ref="K45:N45" si="61">K42+K44</f>
        <v>2332.2090000000003</v>
      </c>
      <c r="L45" s="299">
        <f t="shared" si="61"/>
        <v>2147.3059999999996</v>
      </c>
      <c r="M45" s="299">
        <f t="shared" si="61"/>
        <v>2363.5089999999996</v>
      </c>
      <c r="N45" s="299">
        <f t="shared" si="61"/>
        <v>1868.607</v>
      </c>
      <c r="O45" s="228">
        <f t="shared" si="54"/>
        <v>8711.6309999999994</v>
      </c>
      <c r="P45" s="299">
        <f t="shared" ref="P45:S45" si="62">P42+P44</f>
        <v>2890.3510000000001</v>
      </c>
      <c r="Q45" s="299">
        <f t="shared" si="62"/>
        <v>3125.413</v>
      </c>
      <c r="R45" s="299">
        <f t="shared" si="62"/>
        <v>2546.9160000000002</v>
      </c>
      <c r="S45" s="299">
        <f t="shared" si="62"/>
        <v>2418.5210000000006</v>
      </c>
      <c r="T45" s="228">
        <f t="shared" si="55"/>
        <v>10981.201000000001</v>
      </c>
      <c r="U45" s="299">
        <f t="shared" ref="U45:X45" si="63">U42+U44</f>
        <v>5282.7910000000002</v>
      </c>
      <c r="V45" s="299">
        <f t="shared" si="63"/>
        <v>3018</v>
      </c>
      <c r="W45" s="299">
        <f t="shared" si="63"/>
        <v>1896</v>
      </c>
      <c r="X45" s="227" t="str">
        <f t="shared" ca="1" si="63"/>
        <v>#REF!</v>
      </c>
      <c r="Y45" s="228" t="str">
        <f t="shared" ca="1" si="56"/>
        <v>#REF!</v>
      </c>
      <c r="Z45" s="227" t="str">
        <f t="shared" ref="Z45:AC45" ca="1" si="64">Z42+Z44</f>
        <v/>
      </c>
      <c r="AA45" s="227" t="str">
        <f t="shared" ca="1" si="64"/>
        <v>#REF!</v>
      </c>
      <c r="AB45" s="227" t="str">
        <f t="shared" ca="1" si="64"/>
        <v>#REF!</v>
      </c>
      <c r="AC45" s="227" t="str">
        <f t="shared" ca="1" si="64"/>
        <v>#REF!</v>
      </c>
      <c r="AD45" s="228" t="str">
        <f t="shared" ca="1" si="58"/>
        <v>#REF!</v>
      </c>
      <c r="AE45" s="228" t="str">
        <f t="shared" ref="AE45:AG45" ca="1" si="65">AE42+AE44</f>
        <v/>
      </c>
      <c r="AF45" s="228" t="str">
        <f t="shared" ca="1" si="65"/>
        <v>#REF!</v>
      </c>
      <c r="AG45" s="228" t="str">
        <f t="shared" ca="1" si="65"/>
        <v>#REF!</v>
      </c>
      <c r="AH45" s="12"/>
      <c r="AI45" s="12"/>
      <c r="AJ45" s="12"/>
      <c r="AK45" s="12"/>
    </row>
    <row r="46" spans="1:37" ht="13.5" customHeight="1">
      <c r="A46" s="211"/>
      <c r="B46" s="12"/>
      <c r="C46" s="108"/>
      <c r="D46" s="12"/>
      <c r="E46" s="12"/>
      <c r="F46" s="309"/>
      <c r="G46" s="309"/>
      <c r="H46" s="309"/>
      <c r="I46" s="309"/>
      <c r="J46" s="12"/>
      <c r="K46" s="309"/>
      <c r="L46" s="309"/>
      <c r="M46" s="309"/>
      <c r="N46" s="309"/>
      <c r="O46" s="12"/>
      <c r="P46" s="309"/>
      <c r="Q46" s="309"/>
      <c r="R46" s="309"/>
      <c r="S46" s="309"/>
      <c r="T46" s="12"/>
      <c r="U46" s="309"/>
      <c r="V46" s="309"/>
      <c r="W46" s="309"/>
      <c r="X46" s="310"/>
      <c r="Y46" s="12"/>
      <c r="Z46" s="310"/>
      <c r="AA46" s="310"/>
      <c r="AB46" s="310"/>
      <c r="AC46" s="310"/>
      <c r="AD46" s="12"/>
      <c r="AE46" s="12"/>
      <c r="AF46" s="12"/>
      <c r="AG46" s="12"/>
      <c r="AH46" s="12"/>
      <c r="AI46" s="12"/>
      <c r="AJ46" s="12"/>
      <c r="AK46" s="12"/>
    </row>
    <row r="47" spans="1:37" ht="13.5" customHeight="1">
      <c r="A47" s="211"/>
      <c r="B47" s="12"/>
      <c r="C47" s="108" t="s">
        <v>283</v>
      </c>
      <c r="D47" s="12"/>
      <c r="E47" s="12"/>
      <c r="F47" s="304">
        <v>0</v>
      </c>
      <c r="G47" s="304">
        <v>0</v>
      </c>
      <c r="H47" s="304">
        <v>0</v>
      </c>
      <c r="I47" s="304">
        <v>0</v>
      </c>
      <c r="J47" s="131">
        <f t="shared" ref="J47:J51" si="66">SUM(F47:I47)</f>
        <v>0</v>
      </c>
      <c r="K47" s="304">
        <v>0</v>
      </c>
      <c r="L47" s="304">
        <v>0</v>
      </c>
      <c r="M47" s="304">
        <v>0</v>
      </c>
      <c r="N47" s="304">
        <v>0</v>
      </c>
      <c r="O47" s="131">
        <f t="shared" ref="O47:O51" si="67">SUM(K47:N47)</f>
        <v>0</v>
      </c>
      <c r="P47" s="304">
        <v>0</v>
      </c>
      <c r="Q47" s="304">
        <v>0</v>
      </c>
      <c r="R47" s="304">
        <v>0</v>
      </c>
      <c r="S47" s="304">
        <v>0</v>
      </c>
      <c r="T47" s="131">
        <f t="shared" ref="T47:T51" si="68">SUM(P47:S47)</f>
        <v>0</v>
      </c>
      <c r="U47" s="304">
        <v>0</v>
      </c>
      <c r="V47" s="304">
        <v>0</v>
      </c>
      <c r="W47" s="304">
        <v>0</v>
      </c>
      <c r="X47" s="311">
        <v>0</v>
      </c>
      <c r="Y47" s="131">
        <f t="shared" ref="Y47:Y51" si="69">SUM(U47:X47)</f>
        <v>0</v>
      </c>
      <c r="Z47" s="311">
        <v>0</v>
      </c>
      <c r="AA47" s="311">
        <v>0</v>
      </c>
      <c r="AB47" s="311">
        <v>0</v>
      </c>
      <c r="AC47" s="311">
        <v>0</v>
      </c>
      <c r="AD47" s="131">
        <f t="shared" ref="AD47:AD51" si="70">SUM(Z47:AC47)</f>
        <v>0</v>
      </c>
      <c r="AE47" s="312">
        <v>0</v>
      </c>
      <c r="AF47" s="312">
        <v>0</v>
      </c>
      <c r="AG47" s="312">
        <v>0</v>
      </c>
      <c r="AH47" s="12"/>
      <c r="AI47" s="12"/>
      <c r="AJ47" s="12"/>
      <c r="AK47" s="12"/>
    </row>
    <row r="48" spans="1:37" ht="13.5" customHeight="1">
      <c r="A48" s="211"/>
      <c r="B48" s="12"/>
      <c r="C48" s="108" t="s">
        <v>284</v>
      </c>
      <c r="D48" s="12"/>
      <c r="E48" s="12"/>
      <c r="F48" s="304">
        <v>0</v>
      </c>
      <c r="G48" s="304">
        <v>170.94</v>
      </c>
      <c r="H48" s="304">
        <f>0.26*H284</f>
        <v>209.82</v>
      </c>
      <c r="I48" s="304">
        <v>1465.8300000000002</v>
      </c>
      <c r="J48" s="131">
        <f t="shared" si="66"/>
        <v>1846.5900000000001</v>
      </c>
      <c r="K48" s="304">
        <v>-71.73</v>
      </c>
      <c r="L48" s="304">
        <v>7.8100000000000005</v>
      </c>
      <c r="M48" s="304">
        <v>38.5</v>
      </c>
      <c r="N48" s="304">
        <v>213.92000000000002</v>
      </c>
      <c r="O48" s="131">
        <f t="shared" si="67"/>
        <v>188.5</v>
      </c>
      <c r="P48" s="304">
        <v>7.5600000000000005</v>
      </c>
      <c r="Q48" s="304">
        <v>7.53</v>
      </c>
      <c r="R48" s="304">
        <v>806.78000000000009</v>
      </c>
      <c r="S48" s="304">
        <v>0</v>
      </c>
      <c r="T48" s="131">
        <f t="shared" si="68"/>
        <v>821.87000000000012</v>
      </c>
      <c r="U48" s="304">
        <v>0</v>
      </c>
      <c r="V48" s="304">
        <v>0</v>
      </c>
      <c r="W48" s="304">
        <v>0</v>
      </c>
      <c r="X48" s="311">
        <v>0</v>
      </c>
      <c r="Y48" s="131">
        <f t="shared" si="69"/>
        <v>0</v>
      </c>
      <c r="Z48" s="311">
        <v>0</v>
      </c>
      <c r="AA48" s="311">
        <v>0</v>
      </c>
      <c r="AB48" s="311">
        <v>0</v>
      </c>
      <c r="AC48" s="311">
        <v>0</v>
      </c>
      <c r="AD48" s="131">
        <f t="shared" si="70"/>
        <v>0</v>
      </c>
      <c r="AE48" s="312">
        <v>0</v>
      </c>
      <c r="AF48" s="312">
        <v>0</v>
      </c>
      <c r="AG48" s="312">
        <v>0</v>
      </c>
      <c r="AH48" s="12"/>
      <c r="AI48" s="12"/>
      <c r="AJ48" s="12"/>
      <c r="AK48" s="12"/>
    </row>
    <row r="49" spans="1:37" ht="13.5" customHeight="1">
      <c r="A49" s="211"/>
      <c r="B49" s="12"/>
      <c r="C49" s="108" t="s">
        <v>285</v>
      </c>
      <c r="D49" s="12"/>
      <c r="E49" s="12"/>
      <c r="F49" s="304">
        <v>0</v>
      </c>
      <c r="G49" s="304">
        <v>0</v>
      </c>
      <c r="H49" s="304">
        <v>0</v>
      </c>
      <c r="I49" s="304">
        <v>0</v>
      </c>
      <c r="J49" s="131">
        <f t="shared" si="66"/>
        <v>0</v>
      </c>
      <c r="K49" s="304">
        <v>0</v>
      </c>
      <c r="L49" s="304">
        <v>0</v>
      </c>
      <c r="M49" s="304">
        <v>0</v>
      </c>
      <c r="N49" s="304">
        <v>0</v>
      </c>
      <c r="O49" s="131">
        <f t="shared" si="67"/>
        <v>0</v>
      </c>
      <c r="P49" s="304">
        <v>0</v>
      </c>
      <c r="Q49" s="304">
        <v>0</v>
      </c>
      <c r="R49" s="304">
        <v>0</v>
      </c>
      <c r="S49" s="304">
        <v>0</v>
      </c>
      <c r="T49" s="131">
        <f t="shared" si="68"/>
        <v>0</v>
      </c>
      <c r="U49" s="304">
        <v>0</v>
      </c>
      <c r="V49" s="304">
        <v>0</v>
      </c>
      <c r="W49" s="304">
        <v>0</v>
      </c>
      <c r="X49" s="311">
        <v>0</v>
      </c>
      <c r="Y49" s="131">
        <f t="shared" si="69"/>
        <v>0</v>
      </c>
      <c r="Z49" s="311">
        <v>0</v>
      </c>
      <c r="AA49" s="311">
        <v>0</v>
      </c>
      <c r="AB49" s="311">
        <v>0</v>
      </c>
      <c r="AC49" s="311">
        <v>0</v>
      </c>
      <c r="AD49" s="131">
        <f t="shared" si="70"/>
        <v>0</v>
      </c>
      <c r="AE49" s="312">
        <v>0</v>
      </c>
      <c r="AF49" s="312">
        <v>0</v>
      </c>
      <c r="AG49" s="312">
        <v>0</v>
      </c>
      <c r="AH49" s="12"/>
      <c r="AI49" s="12"/>
      <c r="AJ49" s="12"/>
      <c r="AK49" s="12"/>
    </row>
    <row r="50" spans="1:37" ht="13.5" customHeight="1">
      <c r="A50" s="211"/>
      <c r="B50" s="12"/>
      <c r="C50" s="108" t="s">
        <v>286</v>
      </c>
      <c r="D50" s="12"/>
      <c r="E50" s="12"/>
      <c r="F50" s="300">
        <v>0</v>
      </c>
      <c r="G50" s="313">
        <v>0</v>
      </c>
      <c r="H50" s="300">
        <v>0</v>
      </c>
      <c r="I50" s="300">
        <v>0</v>
      </c>
      <c r="J50" s="301">
        <f t="shared" si="66"/>
        <v>0</v>
      </c>
      <c r="K50" s="300">
        <v>0</v>
      </c>
      <c r="L50" s="300">
        <v>0</v>
      </c>
      <c r="M50" s="300">
        <v>0</v>
      </c>
      <c r="N50" s="300">
        <v>0</v>
      </c>
      <c r="O50" s="301">
        <f t="shared" si="67"/>
        <v>0</v>
      </c>
      <c r="P50" s="300">
        <v>0</v>
      </c>
      <c r="Q50" s="300">
        <v>0</v>
      </c>
      <c r="R50" s="300">
        <v>0</v>
      </c>
      <c r="S50" s="300">
        <v>0</v>
      </c>
      <c r="T50" s="301">
        <f t="shared" si="68"/>
        <v>0</v>
      </c>
      <c r="U50" s="300">
        <v>0</v>
      </c>
      <c r="V50" s="300">
        <v>0</v>
      </c>
      <c r="W50" s="300">
        <v>-7</v>
      </c>
      <c r="X50" s="314">
        <v>0</v>
      </c>
      <c r="Y50" s="301">
        <f t="shared" si="69"/>
        <v>-7</v>
      </c>
      <c r="Z50" s="314">
        <v>0</v>
      </c>
      <c r="AA50" s="314">
        <v>0</v>
      </c>
      <c r="AB50" s="314">
        <v>0</v>
      </c>
      <c r="AC50" s="314">
        <v>0</v>
      </c>
      <c r="AD50" s="301">
        <f t="shared" si="70"/>
        <v>0</v>
      </c>
      <c r="AE50" s="315">
        <v>0</v>
      </c>
      <c r="AF50" s="315">
        <v>0</v>
      </c>
      <c r="AG50" s="315">
        <v>0</v>
      </c>
      <c r="AH50" s="12"/>
      <c r="AI50" s="12"/>
      <c r="AJ50" s="12"/>
      <c r="AK50" s="12"/>
    </row>
    <row r="51" spans="1:37" ht="13.5" customHeight="1">
      <c r="A51" s="211"/>
      <c r="B51" s="12"/>
      <c r="C51" s="108" t="s">
        <v>287</v>
      </c>
      <c r="D51" s="12"/>
      <c r="E51" s="12"/>
      <c r="F51" s="299">
        <f t="shared" ref="F51:I51" si="71">SUM(F45:F50)</f>
        <v>1305.1200000000003</v>
      </c>
      <c r="G51" s="299">
        <f t="shared" si="71"/>
        <v>1658.55</v>
      </c>
      <c r="H51" s="299">
        <f t="shared" si="71"/>
        <v>1887.242</v>
      </c>
      <c r="I51" s="299">
        <f t="shared" si="71"/>
        <v>-9463.2639999999974</v>
      </c>
      <c r="J51" s="228">
        <f t="shared" si="66"/>
        <v>-4612.3519999999971</v>
      </c>
      <c r="K51" s="299">
        <f t="shared" ref="K51:N51" si="72">SUM(K45:K50)</f>
        <v>2260.4790000000003</v>
      </c>
      <c r="L51" s="299">
        <f t="shared" si="72"/>
        <v>2155.1159999999995</v>
      </c>
      <c r="M51" s="299">
        <f t="shared" si="72"/>
        <v>2402.0089999999996</v>
      </c>
      <c r="N51" s="299">
        <f t="shared" si="72"/>
        <v>2082.527</v>
      </c>
      <c r="O51" s="228">
        <f t="shared" si="67"/>
        <v>8900.1309999999994</v>
      </c>
      <c r="P51" s="299">
        <f t="shared" ref="P51:S51" si="73">SUM(P45:P50)</f>
        <v>2897.9110000000001</v>
      </c>
      <c r="Q51" s="299">
        <f t="shared" si="73"/>
        <v>3132.9430000000002</v>
      </c>
      <c r="R51" s="299">
        <f t="shared" si="73"/>
        <v>3353.6960000000004</v>
      </c>
      <c r="S51" s="299">
        <f t="shared" si="73"/>
        <v>2418.5210000000006</v>
      </c>
      <c r="T51" s="228">
        <f t="shared" si="68"/>
        <v>11803.071000000002</v>
      </c>
      <c r="U51" s="299">
        <f t="shared" ref="U51:X51" si="74">SUM(U45:U50)</f>
        <v>5282.7910000000002</v>
      </c>
      <c r="V51" s="299">
        <f t="shared" si="74"/>
        <v>3018</v>
      </c>
      <c r="W51" s="299">
        <f t="shared" si="74"/>
        <v>1889</v>
      </c>
      <c r="X51" s="227" t="str">
        <f t="shared" ca="1" si="74"/>
        <v>#REF!</v>
      </c>
      <c r="Y51" s="228" t="str">
        <f t="shared" ca="1" si="69"/>
        <v>#REF!</v>
      </c>
      <c r="Z51" s="227" t="str">
        <f t="shared" ref="Z51:AC51" ca="1" si="75">SUM(Z45:Z50)</f>
        <v/>
      </c>
      <c r="AA51" s="227" t="str">
        <f t="shared" ca="1" si="75"/>
        <v>#REF!</v>
      </c>
      <c r="AB51" s="227" t="str">
        <f t="shared" ca="1" si="75"/>
        <v>#REF!</v>
      </c>
      <c r="AC51" s="227" t="str">
        <f t="shared" ca="1" si="75"/>
        <v>#REF!</v>
      </c>
      <c r="AD51" s="228" t="str">
        <f t="shared" ca="1" si="70"/>
        <v>#REF!</v>
      </c>
      <c r="AE51" s="228" t="str">
        <f t="shared" ref="AE51:AG51" ca="1" si="76">SUM(AE45:AE50)</f>
        <v/>
      </c>
      <c r="AF51" s="228" t="str">
        <f t="shared" ca="1" si="76"/>
        <v>#REF!</v>
      </c>
      <c r="AG51" s="228" t="str">
        <f t="shared" ca="1" si="76"/>
        <v>#REF!</v>
      </c>
      <c r="AH51" s="12"/>
      <c r="AI51" s="12"/>
      <c r="AJ51" s="12"/>
      <c r="AK51" s="12"/>
    </row>
    <row r="52" spans="1:37" ht="13.5" customHeight="1">
      <c r="A52" s="211"/>
      <c r="B52" s="12"/>
      <c r="C52" s="108"/>
      <c r="D52" s="12"/>
      <c r="E52" s="12"/>
      <c r="F52" s="261"/>
      <c r="G52" s="261"/>
      <c r="H52" s="261"/>
      <c r="I52" s="261"/>
      <c r="J52" s="12"/>
      <c r="K52" s="316"/>
      <c r="L52" s="261"/>
      <c r="M52" s="261"/>
      <c r="N52" s="261"/>
      <c r="O52" s="12"/>
      <c r="P52" s="261"/>
      <c r="Q52" s="261"/>
      <c r="R52" s="261"/>
      <c r="S52" s="261"/>
      <c r="T52" s="12"/>
      <c r="U52" s="261"/>
      <c r="V52" s="261"/>
      <c r="W52" s="261"/>
      <c r="X52" s="262"/>
      <c r="Y52" s="12"/>
      <c r="Z52" s="262"/>
      <c r="AA52" s="262"/>
      <c r="AB52" s="262"/>
      <c r="AC52" s="262"/>
      <c r="AD52" s="12"/>
      <c r="AE52" s="12"/>
      <c r="AF52" s="12"/>
      <c r="AG52" s="12"/>
      <c r="AH52" s="12"/>
      <c r="AI52" s="12"/>
      <c r="AJ52" s="12"/>
      <c r="AK52" s="12"/>
    </row>
    <row r="53" spans="1:37" ht="13.5" customHeight="1">
      <c r="A53" s="211"/>
      <c r="B53" s="12"/>
      <c r="C53" s="108" t="s">
        <v>288</v>
      </c>
      <c r="D53" s="12"/>
      <c r="E53" s="12"/>
      <c r="F53" s="316">
        <f t="shared" ref="F53:I53" si="77">(F45)/F282</f>
        <v>1.5819636363636367</v>
      </c>
      <c r="G53" s="316">
        <f t="shared" si="77"/>
        <v>1.8297785977859777</v>
      </c>
      <c r="H53" s="316">
        <f t="shared" si="77"/>
        <v>2.0811687344913152</v>
      </c>
      <c r="I53" s="316">
        <f t="shared" si="77"/>
        <v>-13.644312109862668</v>
      </c>
      <c r="J53" s="96">
        <f>J45/J282</f>
        <v>-8.0635980024968763</v>
      </c>
      <c r="K53" s="316">
        <f t="shared" ref="K53:N53" si="78">(K45)/K282</f>
        <v>2.8269200000000003</v>
      </c>
      <c r="L53" s="316">
        <f t="shared" si="78"/>
        <v>2.6412127921279209</v>
      </c>
      <c r="M53" s="316">
        <f t="shared" si="78"/>
        <v>2.9323933002481386</v>
      </c>
      <c r="N53" s="316">
        <f t="shared" si="78"/>
        <v>2.3328426966292133</v>
      </c>
      <c r="O53" s="96">
        <f>O45/O282</f>
        <v>10.875943820224718</v>
      </c>
      <c r="P53" s="316">
        <f t="shared" ref="P53:S53" si="79">(P45)/P282</f>
        <v>3.8282794701986758</v>
      </c>
      <c r="Q53" s="316">
        <f t="shared" si="79"/>
        <v>4.1561343085106381</v>
      </c>
      <c r="R53" s="316">
        <f t="shared" si="79"/>
        <v>3.3868563829787237</v>
      </c>
      <c r="S53" s="316">
        <f t="shared" si="79"/>
        <v>3.2333168449197869</v>
      </c>
      <c r="T53" s="96">
        <f>T45/T282</f>
        <v>14.680750000000002</v>
      </c>
      <c r="U53" s="316">
        <f t="shared" ref="U53:W53" si="80">(U45)/U282</f>
        <v>7.3576476323119779</v>
      </c>
      <c r="V53" s="316">
        <f t="shared" si="80"/>
        <v>4.280851063829787</v>
      </c>
      <c r="W53" s="316">
        <f t="shared" si="80"/>
        <v>2.7478260869565219</v>
      </c>
      <c r="X53" s="317" t="str">
        <f t="shared" ref="X53:AG53" ca="1" si="81">X45/X282</f>
        <v/>
      </c>
      <c r="Y53" s="96" t="str">
        <f t="shared" ca="1" si="81"/>
        <v>#REF!</v>
      </c>
      <c r="Z53" s="317" t="str">
        <f t="shared" ca="1" si="81"/>
        <v>#REF!</v>
      </c>
      <c r="AA53" s="317" t="str">
        <f t="shared" ca="1" si="81"/>
        <v>#REF!</v>
      </c>
      <c r="AB53" s="317" t="str">
        <f t="shared" ca="1" si="81"/>
        <v>#REF!</v>
      </c>
      <c r="AC53" s="317" t="str">
        <f t="shared" ca="1" si="81"/>
        <v>#REF!</v>
      </c>
      <c r="AD53" s="96" t="str">
        <f t="shared" ca="1" si="81"/>
        <v>#REF!</v>
      </c>
      <c r="AE53" s="96" t="str">
        <f t="shared" ca="1" si="81"/>
        <v>#REF!</v>
      </c>
      <c r="AF53" s="96" t="str">
        <f t="shared" ca="1" si="81"/>
        <v>#REF!</v>
      </c>
      <c r="AG53" s="96" t="str">
        <f t="shared" ca="1" si="81"/>
        <v>#REF!</v>
      </c>
      <c r="AH53" s="12"/>
      <c r="AI53" s="12"/>
      <c r="AJ53" s="12"/>
      <c r="AK53" s="12"/>
    </row>
    <row r="54" spans="1:37" ht="13.5" customHeight="1">
      <c r="A54" s="211"/>
      <c r="B54" s="12"/>
      <c r="C54" s="108" t="s">
        <v>289</v>
      </c>
      <c r="D54" s="12"/>
      <c r="E54" s="12"/>
      <c r="F54" s="316">
        <f t="shared" ref="F54:I54" si="82">(F45)/F284</f>
        <v>1.5800484261501215</v>
      </c>
      <c r="G54" s="316">
        <f t="shared" si="82"/>
        <v>1.8275307125307123</v>
      </c>
      <c r="H54" s="316">
        <f t="shared" si="82"/>
        <v>2.0785898389095414</v>
      </c>
      <c r="I54" s="316">
        <f t="shared" si="82"/>
        <v>-13.644312109862668</v>
      </c>
      <c r="J54" s="96">
        <f>J45/J284</f>
        <v>-8.0635980024968763</v>
      </c>
      <c r="K54" s="316">
        <f t="shared" ref="K54:N54" si="83">(K45)/K284</f>
        <v>2.8234975786924945</v>
      </c>
      <c r="L54" s="316">
        <f t="shared" si="83"/>
        <v>2.6379680589680583</v>
      </c>
      <c r="M54" s="316">
        <f t="shared" si="83"/>
        <v>2.9287596034696399</v>
      </c>
      <c r="N54" s="316">
        <f t="shared" si="83"/>
        <v>2.3328426966292133</v>
      </c>
      <c r="O54" s="96">
        <f>O45/O284</f>
        <v>10.875943820224718</v>
      </c>
      <c r="P54" s="316">
        <f t="shared" ref="P54:S54" si="84">(P45)/P284</f>
        <v>3.8232156084656088</v>
      </c>
      <c r="Q54" s="316">
        <f t="shared" si="84"/>
        <v>4.1506148738379816</v>
      </c>
      <c r="R54" s="316">
        <f t="shared" si="84"/>
        <v>3.377872679045093</v>
      </c>
      <c r="S54" s="316">
        <f t="shared" si="84"/>
        <v>3.2246946666666676</v>
      </c>
      <c r="T54" s="96">
        <f>T45/T284</f>
        <v>14.641601333333334</v>
      </c>
      <c r="U54" s="316">
        <f t="shared" ref="U54:W54" si="85">(U45)/U284</f>
        <v>7.3372097222222221</v>
      </c>
      <c r="V54" s="316">
        <f t="shared" si="85"/>
        <v>4.2687411598302685</v>
      </c>
      <c r="W54" s="316">
        <f t="shared" si="85"/>
        <v>2.7398843930635839</v>
      </c>
      <c r="X54" s="317" t="str">
        <f t="shared" ref="X54:AG54" ca="1" si="86">X45/X284</f>
        <v/>
      </c>
      <c r="Y54" s="96" t="str">
        <f t="shared" ca="1" si="86"/>
        <v>#REF!</v>
      </c>
      <c r="Z54" s="317" t="str">
        <f t="shared" ca="1" si="86"/>
        <v>#REF!</v>
      </c>
      <c r="AA54" s="317" t="str">
        <f t="shared" ca="1" si="86"/>
        <v>#REF!</v>
      </c>
      <c r="AB54" s="317" t="str">
        <f t="shared" ca="1" si="86"/>
        <v>#REF!</v>
      </c>
      <c r="AC54" s="317" t="str">
        <f t="shared" ca="1" si="86"/>
        <v>#REF!</v>
      </c>
      <c r="AD54" s="96" t="str">
        <f t="shared" ca="1" si="86"/>
        <v>#REF!</v>
      </c>
      <c r="AE54" s="96" t="str">
        <f t="shared" ca="1" si="86"/>
        <v>#REF!</v>
      </c>
      <c r="AF54" s="96" t="str">
        <f t="shared" ca="1" si="86"/>
        <v>#REF!</v>
      </c>
      <c r="AG54" s="96" t="str">
        <f t="shared" ca="1" si="86"/>
        <v>#REF!</v>
      </c>
      <c r="AH54" s="12"/>
      <c r="AI54" s="12"/>
      <c r="AJ54" s="12"/>
      <c r="AK54" s="12"/>
    </row>
    <row r="55" spans="1:37" ht="13.5" customHeight="1">
      <c r="A55" s="211"/>
      <c r="B55" s="12"/>
      <c r="C55" s="108"/>
      <c r="D55" s="12"/>
      <c r="E55" s="12"/>
      <c r="F55" s="316"/>
      <c r="G55" s="316"/>
      <c r="H55" s="316"/>
      <c r="I55" s="316"/>
      <c r="J55" s="96"/>
      <c r="K55" s="316"/>
      <c r="L55" s="316"/>
      <c r="M55" s="316"/>
      <c r="N55" s="316"/>
      <c r="O55" s="96"/>
      <c r="P55" s="316"/>
      <c r="Q55" s="316"/>
      <c r="R55" s="316"/>
      <c r="S55" s="316"/>
      <c r="T55" s="96"/>
      <c r="U55" s="316"/>
      <c r="V55" s="316"/>
      <c r="W55" s="316"/>
      <c r="X55" s="317"/>
      <c r="Y55" s="96"/>
      <c r="Z55" s="317"/>
      <c r="AA55" s="317"/>
      <c r="AB55" s="317"/>
      <c r="AC55" s="317"/>
      <c r="AD55" s="96"/>
      <c r="AE55" s="96"/>
      <c r="AF55" s="96"/>
      <c r="AG55" s="96"/>
      <c r="AH55" s="12"/>
      <c r="AI55" s="12"/>
      <c r="AJ55" s="12"/>
      <c r="AK55" s="12"/>
    </row>
    <row r="56" spans="1:37" ht="13.5" customHeight="1">
      <c r="A56" s="211"/>
      <c r="B56" s="12"/>
      <c r="C56" s="108" t="s">
        <v>290</v>
      </c>
      <c r="D56" s="12"/>
      <c r="E56" s="12"/>
      <c r="F56" s="316">
        <f t="shared" ref="F56:AG56" si="87">F51/F282</f>
        <v>1.5819636363636367</v>
      </c>
      <c r="G56" s="316">
        <f t="shared" si="87"/>
        <v>2.0400369003690035</v>
      </c>
      <c r="H56" s="316">
        <f t="shared" si="87"/>
        <v>2.3414913151364765</v>
      </c>
      <c r="I56" s="316">
        <f t="shared" si="87"/>
        <v>-11.814312109862668</v>
      </c>
      <c r="J56" s="96">
        <f t="shared" si="87"/>
        <v>-5.7582421972534297</v>
      </c>
      <c r="K56" s="316">
        <f t="shared" si="87"/>
        <v>2.7399745454545457</v>
      </c>
      <c r="L56" s="316">
        <f t="shared" si="87"/>
        <v>2.6508191881918814</v>
      </c>
      <c r="M56" s="316">
        <f t="shared" si="87"/>
        <v>2.9801600496277909</v>
      </c>
      <c r="N56" s="316">
        <f t="shared" si="87"/>
        <v>2.5999088639201</v>
      </c>
      <c r="O56" s="96">
        <f t="shared" si="87"/>
        <v>11.11127465667915</v>
      </c>
      <c r="P56" s="316">
        <f t="shared" si="87"/>
        <v>3.8382927152317881</v>
      </c>
      <c r="Q56" s="316">
        <f t="shared" si="87"/>
        <v>4.166147606382979</v>
      </c>
      <c r="R56" s="316">
        <f t="shared" si="87"/>
        <v>4.4597021276595745</v>
      </c>
      <c r="S56" s="316">
        <f t="shared" si="87"/>
        <v>3.2333168449197869</v>
      </c>
      <c r="T56" s="96">
        <f t="shared" si="87"/>
        <v>15.779506684491981</v>
      </c>
      <c r="U56" s="316">
        <f t="shared" si="87"/>
        <v>7.3576476323119779</v>
      </c>
      <c r="V56" s="316">
        <f t="shared" si="87"/>
        <v>4.280851063829787</v>
      </c>
      <c r="W56" s="316">
        <f t="shared" si="87"/>
        <v>2.7376811594202897</v>
      </c>
      <c r="X56" s="317" t="str">
        <f t="shared" ca="1" si="87"/>
        <v>#REF!</v>
      </c>
      <c r="Y56" s="96" t="str">
        <f t="shared" ca="1" si="87"/>
        <v>#REF!</v>
      </c>
      <c r="Z56" s="317" t="str">
        <f t="shared" ca="1" si="87"/>
        <v>#REF!</v>
      </c>
      <c r="AA56" s="317" t="str">
        <f t="shared" ca="1" si="87"/>
        <v>#REF!</v>
      </c>
      <c r="AB56" s="317" t="str">
        <f t="shared" ca="1" si="87"/>
        <v>#REF!</v>
      </c>
      <c r="AC56" s="317" t="str">
        <f t="shared" ca="1" si="87"/>
        <v>#REF!</v>
      </c>
      <c r="AD56" s="96" t="str">
        <f t="shared" ca="1" si="87"/>
        <v>#REF!</v>
      </c>
      <c r="AE56" s="96" t="str">
        <f t="shared" ca="1" si="87"/>
        <v>#REF!</v>
      </c>
      <c r="AF56" s="96" t="str">
        <f t="shared" ca="1" si="87"/>
        <v>#REF!</v>
      </c>
      <c r="AG56" s="96" t="str">
        <f t="shared" ca="1" si="87"/>
        <v>#REF!</v>
      </c>
      <c r="AH56" s="12"/>
      <c r="AI56" s="12"/>
      <c r="AJ56" s="12"/>
      <c r="AK56" s="12"/>
    </row>
    <row r="57" spans="1:37" ht="13.5" customHeight="1">
      <c r="A57" s="211"/>
      <c r="B57" s="12"/>
      <c r="C57" s="108" t="s">
        <v>291</v>
      </c>
      <c r="D57" s="12"/>
      <c r="E57" s="12"/>
      <c r="F57" s="316">
        <f t="shared" ref="F57:AG57" si="88">F51/F284</f>
        <v>1.5800484261501215</v>
      </c>
      <c r="G57" s="316">
        <f t="shared" si="88"/>
        <v>2.0375307125307125</v>
      </c>
      <c r="H57" s="316">
        <f t="shared" si="88"/>
        <v>2.3385898389095416</v>
      </c>
      <c r="I57" s="316">
        <f t="shared" si="88"/>
        <v>-11.814312109862668</v>
      </c>
      <c r="J57" s="96">
        <f t="shared" si="88"/>
        <v>-5.7582421972534297</v>
      </c>
      <c r="K57" s="316">
        <f t="shared" si="88"/>
        <v>2.7366573849878937</v>
      </c>
      <c r="L57" s="316">
        <f t="shared" si="88"/>
        <v>2.6475626535626531</v>
      </c>
      <c r="M57" s="316">
        <f t="shared" si="88"/>
        <v>2.9764671623296155</v>
      </c>
      <c r="N57" s="316">
        <f t="shared" si="88"/>
        <v>2.5999088639201</v>
      </c>
      <c r="O57" s="96">
        <f t="shared" si="88"/>
        <v>11.11127465667915</v>
      </c>
      <c r="P57" s="316">
        <f t="shared" si="88"/>
        <v>3.8332156084656086</v>
      </c>
      <c r="Q57" s="316">
        <f t="shared" si="88"/>
        <v>4.1606148738379813</v>
      </c>
      <c r="R57" s="316">
        <f t="shared" si="88"/>
        <v>4.4478726790450933</v>
      </c>
      <c r="S57" s="316">
        <f t="shared" si="88"/>
        <v>3.2246946666666676</v>
      </c>
      <c r="T57" s="96">
        <f t="shared" si="88"/>
        <v>15.737428000000003</v>
      </c>
      <c r="U57" s="316">
        <f t="shared" si="88"/>
        <v>7.3372097222222221</v>
      </c>
      <c r="V57" s="316">
        <f t="shared" si="88"/>
        <v>4.2687411598302685</v>
      </c>
      <c r="W57" s="316">
        <f t="shared" si="88"/>
        <v>2.7297687861271678</v>
      </c>
      <c r="X57" s="317" t="str">
        <f t="shared" ca="1" si="88"/>
        <v>#REF!</v>
      </c>
      <c r="Y57" s="96" t="str">
        <f t="shared" ca="1" si="88"/>
        <v>#REF!</v>
      </c>
      <c r="Z57" s="317" t="str">
        <f t="shared" ca="1" si="88"/>
        <v>#REF!</v>
      </c>
      <c r="AA57" s="317" t="str">
        <f t="shared" ca="1" si="88"/>
        <v>#REF!</v>
      </c>
      <c r="AB57" s="317" t="str">
        <f t="shared" ca="1" si="88"/>
        <v>#REF!</v>
      </c>
      <c r="AC57" s="317" t="str">
        <f t="shared" ca="1" si="88"/>
        <v>#REF!</v>
      </c>
      <c r="AD57" s="96" t="str">
        <f t="shared" ca="1" si="88"/>
        <v>#REF!</v>
      </c>
      <c r="AE57" s="96" t="str">
        <f t="shared" ca="1" si="88"/>
        <v>#REF!</v>
      </c>
      <c r="AF57" s="96" t="str">
        <f t="shared" ca="1" si="88"/>
        <v>#REF!</v>
      </c>
      <c r="AG57" s="96" t="str">
        <f t="shared" ca="1" si="88"/>
        <v>#REF!</v>
      </c>
      <c r="AH57" s="12"/>
      <c r="AI57" s="12"/>
      <c r="AJ57" s="12"/>
      <c r="AK57" s="12"/>
    </row>
    <row r="58" spans="1:37" ht="13.5" customHeight="1">
      <c r="A58" s="211"/>
      <c r="B58" s="12"/>
      <c r="C58" s="108"/>
      <c r="D58" s="12"/>
      <c r="E58" s="12"/>
      <c r="F58" s="261"/>
      <c r="G58" s="261"/>
      <c r="H58" s="261"/>
      <c r="I58" s="261"/>
      <c r="J58" s="12"/>
      <c r="K58" s="261"/>
      <c r="L58" s="261"/>
      <c r="M58" s="261"/>
      <c r="N58" s="261"/>
      <c r="O58" s="12"/>
      <c r="P58" s="261"/>
      <c r="Q58" s="261"/>
      <c r="R58" s="261"/>
      <c r="S58" s="261"/>
      <c r="T58" s="12"/>
      <c r="U58" s="261"/>
      <c r="V58" s="261"/>
      <c r="W58" s="261"/>
      <c r="X58" s="262"/>
      <c r="Y58" s="12"/>
      <c r="Z58" s="262"/>
      <c r="AA58" s="262"/>
      <c r="AB58" s="262"/>
      <c r="AC58" s="262"/>
      <c r="AD58" s="12"/>
      <c r="AE58" s="12"/>
      <c r="AF58" s="12"/>
      <c r="AG58" s="12"/>
      <c r="AH58" s="12"/>
      <c r="AI58" s="12"/>
      <c r="AJ58" s="12"/>
      <c r="AK58" s="12"/>
    </row>
    <row r="59" spans="1:37" ht="13.5" customHeight="1">
      <c r="A59" s="211"/>
      <c r="B59" s="12"/>
      <c r="C59" s="108" t="s">
        <v>275</v>
      </c>
      <c r="D59" s="12"/>
      <c r="E59" s="12"/>
      <c r="F59" s="299">
        <f t="shared" ref="F59:I59" si="89">F51-F44-F41-F40-F39-F38</f>
        <v>1714.3170000000002</v>
      </c>
      <c r="G59" s="299">
        <f t="shared" si="89"/>
        <v>1998.123</v>
      </c>
      <c r="H59" s="299">
        <f t="shared" si="89"/>
        <v>2126.2139999999999</v>
      </c>
      <c r="I59" s="299">
        <f t="shared" si="89"/>
        <v>-8905.0339999999978</v>
      </c>
      <c r="J59" s="228">
        <f t="shared" ref="J59:J61" si="90">SUM(F59:I59)</f>
        <v>-3066.3799999999974</v>
      </c>
      <c r="K59" s="299">
        <f t="shared" ref="K59:N59" si="91">K51-K44-K41-K40-K39-K38</f>
        <v>2560.8040000000001</v>
      </c>
      <c r="L59" s="299">
        <f t="shared" si="91"/>
        <v>2610.6469999999995</v>
      </c>
      <c r="M59" s="299">
        <f t="shared" si="91"/>
        <v>2947.9769999999999</v>
      </c>
      <c r="N59" s="299">
        <f t="shared" si="91"/>
        <v>2486.6860000000006</v>
      </c>
      <c r="O59" s="228">
        <f t="shared" ref="O59:O61" si="92">SUM(K59:N59)</f>
        <v>10606.114</v>
      </c>
      <c r="P59" s="299">
        <f t="shared" ref="P59:S59" si="93">P51-P44-P41-P40-P39-P38</f>
        <v>3354.5589999999997</v>
      </c>
      <c r="Q59" s="299">
        <f t="shared" si="93"/>
        <v>3782.2240000000006</v>
      </c>
      <c r="R59" s="299">
        <f t="shared" si="93"/>
        <v>4055.0270000000005</v>
      </c>
      <c r="S59" s="299">
        <f t="shared" si="93"/>
        <v>2956.6630000000005</v>
      </c>
      <c r="T59" s="228">
        <f t="shared" ref="T59:T61" si="94">SUM(P59:S59)</f>
        <v>14148.473000000002</v>
      </c>
      <c r="U59" s="299">
        <f t="shared" ref="U59:X59" si="95">U51-U44-U41-U40-U39-U38</f>
        <v>3956.9970000000003</v>
      </c>
      <c r="V59" s="299">
        <f t="shared" si="95"/>
        <v>4210</v>
      </c>
      <c r="W59" s="299">
        <f t="shared" si="95"/>
        <v>2782</v>
      </c>
      <c r="X59" s="227" t="str">
        <f t="shared" ca="1" si="95"/>
        <v>#REF!</v>
      </c>
      <c r="Y59" s="228" t="str">
        <f t="shared" ref="Y59:Y61" ca="1" si="96">SUM(U59:X59)</f>
        <v/>
      </c>
      <c r="Z59" s="227" t="str">
        <f t="shared" ref="Z59:AC59" ca="1" si="97">Z51-Z44-Z41-Z40-Z39-Z38</f>
        <v/>
      </c>
      <c r="AA59" s="227" t="str">
        <f t="shared" ca="1" si="97"/>
        <v>#REF!</v>
      </c>
      <c r="AB59" s="227" t="str">
        <f t="shared" ca="1" si="97"/>
        <v>#REF!</v>
      </c>
      <c r="AC59" s="227" t="str">
        <f t="shared" ca="1" si="97"/>
        <v>#REF!</v>
      </c>
      <c r="AD59" s="228" t="str">
        <f t="shared" ref="AD59:AD61" ca="1" si="98">SUM(Z59:AC59)</f>
        <v/>
      </c>
      <c r="AE59" s="228" t="str">
        <f t="shared" ref="AE59:AG59" ca="1" si="99">AE51-AE44-AE41-AE40-AE39-AE38</f>
        <v/>
      </c>
      <c r="AF59" s="228" t="str">
        <f t="shared" ca="1" si="99"/>
        <v>#REF!</v>
      </c>
      <c r="AG59" s="228" t="str">
        <f t="shared" ca="1" si="99"/>
        <v>#REF!</v>
      </c>
      <c r="AH59" s="12"/>
      <c r="AI59" s="12"/>
      <c r="AJ59" s="12"/>
      <c r="AK59" s="12"/>
    </row>
    <row r="60" spans="1:37" ht="13.5" customHeight="1">
      <c r="A60" s="211"/>
      <c r="B60" s="12"/>
      <c r="C60" s="108" t="s">
        <v>273</v>
      </c>
      <c r="D60" s="12"/>
      <c r="E60" s="12"/>
      <c r="F60" s="318">
        <f t="shared" ref="F60:I60" si="100">-F34</f>
        <v>90.334999999999994</v>
      </c>
      <c r="G60" s="318">
        <f t="shared" si="100"/>
        <v>89.385000000000005</v>
      </c>
      <c r="H60" s="318">
        <f t="shared" si="100"/>
        <v>90.66</v>
      </c>
      <c r="I60" s="318">
        <f t="shared" si="100"/>
        <v>86.519999999999982</v>
      </c>
      <c r="J60" s="301">
        <f t="shared" si="90"/>
        <v>356.9</v>
      </c>
      <c r="K60" s="318">
        <f t="shared" ref="K60:N60" si="101">-K34</f>
        <v>87.233999999999995</v>
      </c>
      <c r="L60" s="318">
        <f t="shared" si="101"/>
        <v>81.227000000000004</v>
      </c>
      <c r="M60" s="318">
        <f t="shared" si="101"/>
        <v>80.914000000000001</v>
      </c>
      <c r="N60" s="318">
        <f t="shared" si="101"/>
        <v>79.539000000000001</v>
      </c>
      <c r="O60" s="301">
        <f t="shared" si="92"/>
        <v>328.91399999999999</v>
      </c>
      <c r="P60" s="318">
        <f t="shared" ref="P60:S60" si="102">-P34</f>
        <v>80.066999999999993</v>
      </c>
      <c r="Q60" s="318">
        <f t="shared" si="102"/>
        <v>80.013000000000005</v>
      </c>
      <c r="R60" s="318">
        <f t="shared" si="102"/>
        <v>87.325999999999993</v>
      </c>
      <c r="S60" s="318">
        <f t="shared" si="102"/>
        <v>85.983000000000004</v>
      </c>
      <c r="T60" s="301">
        <f t="shared" si="94"/>
        <v>333.38900000000001</v>
      </c>
      <c r="U60" s="318">
        <f t="shared" ref="U60:X60" si="103">-U34</f>
        <v>98.575000000000003</v>
      </c>
      <c r="V60" s="318">
        <f t="shared" si="103"/>
        <v>409</v>
      </c>
      <c r="W60" s="318">
        <f t="shared" si="103"/>
        <v>425</v>
      </c>
      <c r="X60" s="302">
        <f t="shared" si="103"/>
        <v>331.18750000000006</v>
      </c>
      <c r="Y60" s="301">
        <f t="shared" si="96"/>
        <v>1263.7625</v>
      </c>
      <c r="Z60" s="302">
        <f t="shared" ref="Z60:AC60" si="104">-Z34</f>
        <v>331.86891850000006</v>
      </c>
      <c r="AA60" s="302">
        <f t="shared" si="104"/>
        <v>336.85146518625004</v>
      </c>
      <c r="AB60" s="302">
        <f t="shared" si="104"/>
        <v>342.23237867969067</v>
      </c>
      <c r="AC60" s="302">
        <f t="shared" si="104"/>
        <v>343.91086566405204</v>
      </c>
      <c r="AD60" s="301">
        <f t="shared" si="98"/>
        <v>1354.8636280299929</v>
      </c>
      <c r="AE60" s="301">
        <f t="shared" ref="AE60:AG60" si="105">-AE34</f>
        <v>1420.1551602334257</v>
      </c>
      <c r="AF60" s="301">
        <f t="shared" si="105"/>
        <v>1472.4758318906811</v>
      </c>
      <c r="AG60" s="301">
        <f t="shared" si="105"/>
        <v>1524.1208520524956</v>
      </c>
      <c r="AH60" s="12"/>
      <c r="AI60" s="12"/>
      <c r="AJ60" s="12"/>
      <c r="AK60" s="12"/>
    </row>
    <row r="61" spans="1:37" ht="13.5" customHeight="1">
      <c r="A61" s="211"/>
      <c r="B61" s="12"/>
      <c r="C61" s="108" t="s">
        <v>292</v>
      </c>
      <c r="D61" s="12"/>
      <c r="E61" s="12"/>
      <c r="F61" s="299">
        <f t="shared" ref="F61:I61" si="106">SUM(F59:F60)</f>
        <v>1804.6520000000003</v>
      </c>
      <c r="G61" s="299">
        <f t="shared" si="106"/>
        <v>2087.5080000000003</v>
      </c>
      <c r="H61" s="299">
        <f t="shared" si="106"/>
        <v>2216.8739999999998</v>
      </c>
      <c r="I61" s="299">
        <f t="shared" si="106"/>
        <v>-8818.5139999999974</v>
      </c>
      <c r="J61" s="228">
        <f t="shared" si="90"/>
        <v>-2709.4799999999968</v>
      </c>
      <c r="K61" s="299">
        <f t="shared" ref="K61:N61" si="107">SUM(K59:K60)</f>
        <v>2648.038</v>
      </c>
      <c r="L61" s="299">
        <f t="shared" si="107"/>
        <v>2691.8739999999993</v>
      </c>
      <c r="M61" s="299">
        <f t="shared" si="107"/>
        <v>3028.8910000000001</v>
      </c>
      <c r="N61" s="299">
        <f t="shared" si="107"/>
        <v>2566.2250000000008</v>
      </c>
      <c r="O61" s="228">
        <f t="shared" si="92"/>
        <v>10935.028</v>
      </c>
      <c r="P61" s="299">
        <f t="shared" ref="P61:S61" si="108">SUM(P59:P60)</f>
        <v>3434.6259999999997</v>
      </c>
      <c r="Q61" s="299">
        <f t="shared" si="108"/>
        <v>3862.2370000000005</v>
      </c>
      <c r="R61" s="299">
        <f t="shared" si="108"/>
        <v>4142.3530000000001</v>
      </c>
      <c r="S61" s="299">
        <f t="shared" si="108"/>
        <v>3042.6460000000006</v>
      </c>
      <c r="T61" s="228">
        <f t="shared" si="94"/>
        <v>14481.862000000001</v>
      </c>
      <c r="U61" s="299">
        <f t="shared" ref="U61:X61" si="109">SUM(U59:U60)</f>
        <v>4055.5720000000001</v>
      </c>
      <c r="V61" s="299">
        <f t="shared" si="109"/>
        <v>4619</v>
      </c>
      <c r="W61" s="299">
        <f t="shared" si="109"/>
        <v>3207</v>
      </c>
      <c r="X61" s="227" t="str">
        <f t="shared" ca="1" si="109"/>
        <v>#REF!</v>
      </c>
      <c r="Y61" s="228" t="str">
        <f t="shared" ca="1" si="96"/>
        <v>#REF!</v>
      </c>
      <c r="Z61" s="227" t="str">
        <f t="shared" ref="Z61:AC61" ca="1" si="110">SUM(Z59:Z60)</f>
        <v/>
      </c>
      <c r="AA61" s="227" t="str">
        <f t="shared" ca="1" si="110"/>
        <v>#REF!</v>
      </c>
      <c r="AB61" s="227" t="str">
        <f t="shared" ca="1" si="110"/>
        <v>#REF!</v>
      </c>
      <c r="AC61" s="227" t="str">
        <f t="shared" ca="1" si="110"/>
        <v>#REF!</v>
      </c>
      <c r="AD61" s="228" t="str">
        <f t="shared" ca="1" si="98"/>
        <v>#REF!</v>
      </c>
      <c r="AE61" s="228" t="str">
        <f t="shared" ref="AE61:AG61" ca="1" si="111">SUM(AE59:AE60)</f>
        <v/>
      </c>
      <c r="AF61" s="228" t="str">
        <f t="shared" ca="1" si="111"/>
        <v>#REF!</v>
      </c>
      <c r="AG61" s="228" t="str">
        <f t="shared" ca="1" si="111"/>
        <v>#REF!</v>
      </c>
      <c r="AH61" s="12"/>
      <c r="AI61" s="12"/>
      <c r="AJ61" s="12"/>
      <c r="AK61" s="12"/>
    </row>
    <row r="62" spans="1:37" ht="13.5" customHeight="1">
      <c r="A62" s="211"/>
      <c r="B62" s="12"/>
      <c r="C62" s="12"/>
      <c r="D62" s="12"/>
      <c r="E62" s="12"/>
      <c r="F62" s="261"/>
      <c r="G62" s="261"/>
      <c r="H62" s="261"/>
      <c r="I62" s="261"/>
      <c r="J62" s="12"/>
      <c r="K62" s="261"/>
      <c r="L62" s="261"/>
      <c r="M62" s="261"/>
      <c r="N62" s="261"/>
      <c r="O62" s="12"/>
      <c r="P62" s="261"/>
      <c r="Q62" s="261"/>
      <c r="R62" s="261"/>
      <c r="S62" s="261"/>
      <c r="T62" s="12"/>
      <c r="U62" s="261"/>
      <c r="V62" s="261"/>
      <c r="W62" s="261"/>
      <c r="X62" s="262"/>
      <c r="Y62" s="12"/>
      <c r="Z62" s="262"/>
      <c r="AA62" s="262"/>
      <c r="AB62" s="262"/>
      <c r="AC62" s="262"/>
      <c r="AD62" s="12"/>
      <c r="AE62" s="12"/>
      <c r="AF62" s="12"/>
      <c r="AG62" s="12"/>
      <c r="AH62" s="12"/>
      <c r="AI62" s="12"/>
      <c r="AJ62" s="12"/>
      <c r="AK62" s="12"/>
    </row>
    <row r="63" spans="1:37" ht="13.5" customHeight="1">
      <c r="A63" s="211"/>
      <c r="B63" s="40"/>
      <c r="C63" s="296" t="s">
        <v>293</v>
      </c>
      <c r="D63" s="319"/>
      <c r="E63" s="319"/>
      <c r="F63" s="297" t="str">
        <f t="shared" ref="F63:AG63" si="112">F$25</f>
        <v>1Q23</v>
      </c>
      <c r="G63" s="147" t="str">
        <f t="shared" si="112"/>
        <v>2Q23</v>
      </c>
      <c r="H63" s="147" t="str">
        <f t="shared" si="112"/>
        <v>3Q23</v>
      </c>
      <c r="I63" s="147" t="str">
        <f t="shared" si="112"/>
        <v>4Q23</v>
      </c>
      <c r="J63" s="147">
        <f t="shared" si="112"/>
        <v>2023</v>
      </c>
      <c r="K63" s="147" t="str">
        <f t="shared" si="112"/>
        <v>1Q24</v>
      </c>
      <c r="L63" s="147" t="str">
        <f t="shared" si="112"/>
        <v>2Q24</v>
      </c>
      <c r="M63" s="147" t="str">
        <f t="shared" si="112"/>
        <v>3Q24</v>
      </c>
      <c r="N63" s="147" t="str">
        <f t="shared" si="112"/>
        <v>4Q24</v>
      </c>
      <c r="O63" s="147">
        <f t="shared" si="112"/>
        <v>2024</v>
      </c>
      <c r="P63" s="147" t="str">
        <f t="shared" si="112"/>
        <v>1Q25</v>
      </c>
      <c r="Q63" s="147" t="str">
        <f t="shared" si="112"/>
        <v>2Q25</v>
      </c>
      <c r="R63" s="147" t="str">
        <f t="shared" si="112"/>
        <v>3Q25</v>
      </c>
      <c r="S63" s="147" t="str">
        <f t="shared" si="112"/>
        <v>4Q25</v>
      </c>
      <c r="T63" s="147">
        <f t="shared" si="112"/>
        <v>2025</v>
      </c>
      <c r="U63" s="147" t="str">
        <f t="shared" si="112"/>
        <v>1Q26</v>
      </c>
      <c r="V63" s="147" t="str">
        <f t="shared" si="112"/>
        <v>2Q26</v>
      </c>
      <c r="W63" s="147" t="str">
        <f t="shared" si="112"/>
        <v>3Q26e</v>
      </c>
      <c r="X63" s="147" t="str">
        <f t="shared" si="112"/>
        <v>4Q26e</v>
      </c>
      <c r="Y63" s="147" t="str">
        <f t="shared" si="112"/>
        <v>2026e</v>
      </c>
      <c r="Z63" s="147" t="str">
        <f t="shared" si="112"/>
        <v>1Q27e</v>
      </c>
      <c r="AA63" s="147" t="str">
        <f t="shared" si="112"/>
        <v>2Q27e</v>
      </c>
      <c r="AB63" s="147" t="str">
        <f t="shared" si="112"/>
        <v>3Q27e</v>
      </c>
      <c r="AC63" s="147" t="str">
        <f t="shared" si="112"/>
        <v>4Q27e</v>
      </c>
      <c r="AD63" s="147" t="str">
        <f t="shared" si="112"/>
        <v>2027e</v>
      </c>
      <c r="AE63" s="147" t="str">
        <f t="shared" si="112"/>
        <v>2028e</v>
      </c>
      <c r="AF63" s="147" t="str">
        <f t="shared" si="112"/>
        <v>2029e</v>
      </c>
      <c r="AG63" s="298" t="str">
        <f t="shared" si="112"/>
        <v>2030e</v>
      </c>
      <c r="AH63" s="211" t="s">
        <v>1</v>
      </c>
      <c r="AI63" s="12"/>
      <c r="AJ63" s="12"/>
      <c r="AK63" s="12"/>
    </row>
    <row r="64" spans="1:37" ht="13.5" customHeight="1">
      <c r="A64" s="211" t="s">
        <v>1</v>
      </c>
      <c r="B64" s="12"/>
      <c r="C64" s="320" t="s">
        <v>46</v>
      </c>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2"/>
      <c r="AH64" s="12"/>
      <c r="AI64" s="12"/>
      <c r="AJ64" s="12"/>
      <c r="AK64" s="12"/>
    </row>
    <row r="65" spans="1:37" ht="13.5" customHeight="1">
      <c r="A65" s="211"/>
      <c r="B65" s="40"/>
      <c r="C65" s="12"/>
      <c r="D65" s="40"/>
      <c r="E65" s="40"/>
      <c r="F65" s="261"/>
      <c r="G65" s="261"/>
      <c r="H65" s="261"/>
      <c r="I65" s="261"/>
      <c r="J65" s="12"/>
      <c r="K65" s="261"/>
      <c r="L65" s="261"/>
      <c r="M65" s="261"/>
      <c r="N65" s="261"/>
      <c r="O65" s="12"/>
      <c r="P65" s="261"/>
      <c r="Q65" s="261"/>
      <c r="R65" s="261"/>
      <c r="S65" s="261"/>
      <c r="T65" s="12"/>
      <c r="U65" s="261"/>
      <c r="V65" s="261"/>
      <c r="W65" s="261"/>
      <c r="X65" s="262"/>
      <c r="Y65" s="12"/>
      <c r="Z65" s="262"/>
      <c r="AA65" s="262"/>
      <c r="AB65" s="262"/>
      <c r="AC65" s="262"/>
      <c r="AD65" s="12"/>
      <c r="AE65" s="12"/>
      <c r="AF65" s="12"/>
      <c r="AG65" s="12"/>
      <c r="AH65" s="12"/>
      <c r="AI65" s="12"/>
      <c r="AJ65" s="12"/>
      <c r="AK65" s="12"/>
    </row>
    <row r="66" spans="1:37" ht="13.5" customHeight="1">
      <c r="A66" s="211"/>
      <c r="B66" s="40"/>
      <c r="C66" s="12" t="s">
        <v>112</v>
      </c>
      <c r="D66" s="40"/>
      <c r="E66" s="40"/>
      <c r="F66" s="323">
        <f t="shared" ref="F66:W66" si="113">F30/F28</f>
        <v>0.41142887529417066</v>
      </c>
      <c r="G66" s="323">
        <f t="shared" si="113"/>
        <v>0.42918062985591954</v>
      </c>
      <c r="H66" s="323">
        <f t="shared" si="113"/>
        <v>0.42273710474347637</v>
      </c>
      <c r="I66" s="323">
        <f t="shared" si="113"/>
        <v>0.39911443960454335</v>
      </c>
      <c r="J66" s="324">
        <f t="shared" si="113"/>
        <v>0.41537744663577819</v>
      </c>
      <c r="K66" s="323">
        <f t="shared" si="113"/>
        <v>0.46885386385271127</v>
      </c>
      <c r="L66" s="323">
        <f t="shared" si="113"/>
        <v>0.45873258634775937</v>
      </c>
      <c r="M66" s="323">
        <f t="shared" si="113"/>
        <v>0.47887646069301021</v>
      </c>
      <c r="N66" s="323">
        <f t="shared" si="113"/>
        <v>0.43713885884885922</v>
      </c>
      <c r="O66" s="324">
        <f t="shared" si="113"/>
        <v>0.46056556650417324</v>
      </c>
      <c r="P66" s="323">
        <f t="shared" si="113"/>
        <v>0.50078285647239285</v>
      </c>
      <c r="Q66" s="323">
        <f t="shared" si="113"/>
        <v>0.51934008390162223</v>
      </c>
      <c r="R66" s="323">
        <f t="shared" si="113"/>
        <v>0.4644582459877048</v>
      </c>
      <c r="S66" s="323">
        <f t="shared" si="113"/>
        <v>0.4587378789822586</v>
      </c>
      <c r="T66" s="324">
        <f t="shared" si="113"/>
        <v>0.48486575802475951</v>
      </c>
      <c r="U66" s="323">
        <f t="shared" si="113"/>
        <v>0.51931797504228039</v>
      </c>
      <c r="V66" s="323">
        <f t="shared" si="113"/>
        <v>0.33775843307943415</v>
      </c>
      <c r="W66" s="323">
        <f t="shared" si="113"/>
        <v>0.33104982982808273</v>
      </c>
      <c r="X66" s="325">
        <f>IF(Cover!$F$37="Bottom Up",(X30/X28),Drivers!X7)</f>
        <v>0.13</v>
      </c>
      <c r="Y66" s="324">
        <f>Y30/Y28</f>
        <v>0.30873193880803756</v>
      </c>
      <c r="Z66" s="325">
        <f>IF(Cover!$F$37="Bottom Up",(Z30/Z28),Drivers!Z7)</f>
        <v>0.14000000000000001</v>
      </c>
      <c r="AA66" s="325">
        <f>IF(Cover!$F$37="Bottom Up",(AA30/AA28),Drivers!AA7)</f>
        <v>0.14499999999999999</v>
      </c>
      <c r="AB66" s="325">
        <f>IF(Cover!$F$37="Bottom Up",(AB30/AB28),Drivers!AB7)</f>
        <v>0.12</v>
      </c>
      <c r="AC66" s="325">
        <f>IF(Cover!$F$37="Bottom Up",(AC30/AC28),Drivers!AC7)</f>
        <v>0.13500000000000001</v>
      </c>
      <c r="AD66" s="324">
        <f>AD30/AD28</f>
        <v>0.13533005878561802</v>
      </c>
      <c r="AE66" s="324">
        <f>IF(Cover!$F$37="Bottom Up",(AE30/AE28),Drivers!AE7)</f>
        <v>0.13900000000000001</v>
      </c>
      <c r="AF66" s="324">
        <f>IF(Cover!$F$37="Bottom Up",(AF30/AF28),Drivers!AF7)</f>
        <v>0.14000000000000001</v>
      </c>
      <c r="AG66" s="324">
        <f>IF(Cover!$F$37="Bottom Up",(AG30/AG28),Drivers!AG7)</f>
        <v>0.14199999999999999</v>
      </c>
      <c r="AH66" s="12"/>
      <c r="AI66" s="12"/>
      <c r="AJ66" s="12"/>
      <c r="AK66" s="12"/>
    </row>
    <row r="67" spans="1:37" ht="13.5" customHeight="1">
      <c r="A67" s="211"/>
      <c r="B67" s="40"/>
      <c r="C67" s="12" t="s">
        <v>294</v>
      </c>
      <c r="D67" s="40"/>
      <c r="E67" s="40"/>
      <c r="F67" s="323">
        <f t="shared" ref="F67:W67" si="114">F32/F28</f>
        <v>-4.9123794967667105E-2</v>
      </c>
      <c r="G67" s="323">
        <f t="shared" si="114"/>
        <v>-4.9038993436298479E-2</v>
      </c>
      <c r="H67" s="323">
        <f t="shared" si="114"/>
        <v>-5.6030157107487676E-2</v>
      </c>
      <c r="I67" s="323">
        <f t="shared" si="114"/>
        <v>-1.8263678947562074</v>
      </c>
      <c r="J67" s="324">
        <f t="shared" si="114"/>
        <v>-0.51634927628813987</v>
      </c>
      <c r="K67" s="323">
        <f t="shared" si="114"/>
        <v>-6.9830232091556005E-2</v>
      </c>
      <c r="L67" s="323">
        <f t="shared" si="114"/>
        <v>-6.7377666379686396E-2</v>
      </c>
      <c r="M67" s="323">
        <f t="shared" si="114"/>
        <v>-6.5439738992618915E-2</v>
      </c>
      <c r="N67" s="323">
        <f t="shared" si="114"/>
        <v>-9.5271825644489966E-2</v>
      </c>
      <c r="O67" s="324">
        <f t="shared" si="114"/>
        <v>-7.4807224005682321E-2</v>
      </c>
      <c r="P67" s="323">
        <f t="shared" si="114"/>
        <v>-6.5292895123411701E-2</v>
      </c>
      <c r="Q67" s="323">
        <f t="shared" si="114"/>
        <v>-6.4378943324795393E-2</v>
      </c>
      <c r="R67" s="323">
        <f t="shared" si="114"/>
        <v>-6.8312252661896847E-2</v>
      </c>
      <c r="S67" s="323">
        <f t="shared" si="114"/>
        <v>-9.2390506094137445E-2</v>
      </c>
      <c r="T67" s="324">
        <f t="shared" si="114"/>
        <v>-7.3065165430671805E-2</v>
      </c>
      <c r="U67" s="323">
        <f t="shared" si="114"/>
        <v>-6.8753772013599945E-2</v>
      </c>
      <c r="V67" s="323">
        <f t="shared" si="114"/>
        <v>-0.17022125498730503</v>
      </c>
      <c r="W67" s="323">
        <f t="shared" si="114"/>
        <v>-0.19081071646740552</v>
      </c>
      <c r="X67" s="326">
        <f>Drivers!X40</f>
        <v>-0.22</v>
      </c>
      <c r="Y67" s="324">
        <f>Y32/Y28</f>
        <v>-0.17392147521915702</v>
      </c>
      <c r="Z67" s="326">
        <f>Drivers!Z40</f>
        <v>-0.22500000000000001</v>
      </c>
      <c r="AA67" s="326">
        <f>Drivers!AA40</f>
        <v>-0.22500000000000001</v>
      </c>
      <c r="AB67" s="326">
        <f>Drivers!AB40</f>
        <v>-0.22</v>
      </c>
      <c r="AC67" s="326">
        <f>Drivers!AC40</f>
        <v>-0.22</v>
      </c>
      <c r="AD67" s="324">
        <f>AD32/AD28</f>
        <v>-0.22261215163174033</v>
      </c>
      <c r="AE67" s="327">
        <f>Drivers!AE40</f>
        <v>-0.215</v>
      </c>
      <c r="AF67" s="327">
        <f>Drivers!AF40</f>
        <v>-0.21099999999999999</v>
      </c>
      <c r="AG67" s="327">
        <f>Drivers!AG40</f>
        <v>-0.20599999999999999</v>
      </c>
      <c r="AH67" s="12"/>
      <c r="AI67" s="12"/>
      <c r="AJ67" s="12"/>
      <c r="AK67" s="12"/>
    </row>
    <row r="68" spans="1:37" ht="13.5" customHeight="1">
      <c r="A68" s="211"/>
      <c r="B68" s="40"/>
      <c r="C68" s="12" t="s">
        <v>295</v>
      </c>
      <c r="D68" s="40"/>
      <c r="E68" s="40"/>
      <c r="F68" s="323">
        <f t="shared" ref="F68:W68" si="115">F33/F28</f>
        <v>-8.4209366828634377E-2</v>
      </c>
      <c r="G68" s="323">
        <f t="shared" si="115"/>
        <v>-8.0366289208128536E-2</v>
      </c>
      <c r="H68" s="323">
        <f t="shared" si="115"/>
        <v>-7.6935675795406708E-2</v>
      </c>
      <c r="I68" s="323">
        <f t="shared" si="115"/>
        <v>-7.623166993572271E-2</v>
      </c>
      <c r="J68" s="324">
        <f t="shared" si="115"/>
        <v>-7.9344495883661659E-2</v>
      </c>
      <c r="K68" s="323">
        <f t="shared" si="115"/>
        <v>-7.4966917241879774E-2</v>
      </c>
      <c r="L68" s="323">
        <f t="shared" si="115"/>
        <v>-7.4404324161471913E-2</v>
      </c>
      <c r="M68" s="323">
        <f t="shared" si="115"/>
        <v>-7.4817834187964768E-2</v>
      </c>
      <c r="N68" s="323">
        <f t="shared" si="115"/>
        <v>-7.5782366157150241E-2</v>
      </c>
      <c r="O68" s="324">
        <f t="shared" si="115"/>
        <v>-7.5005706268916519E-2</v>
      </c>
      <c r="P68" s="323">
        <f t="shared" si="115"/>
        <v>-7.8045957616007355E-2</v>
      </c>
      <c r="Q68" s="323">
        <f t="shared" si="115"/>
        <v>-7.4435476460953831E-2</v>
      </c>
      <c r="R68" s="323">
        <f t="shared" si="115"/>
        <v>-7.4158230531991887E-2</v>
      </c>
      <c r="S68" s="323">
        <f t="shared" si="115"/>
        <v>-7.3879145567724264E-2</v>
      </c>
      <c r="T68" s="324">
        <f t="shared" si="115"/>
        <v>-7.5058922556686974E-2</v>
      </c>
      <c r="U68" s="323">
        <f t="shared" si="115"/>
        <v>-7.8344084703067987E-2</v>
      </c>
      <c r="V68" s="323">
        <f t="shared" si="115"/>
        <v>0</v>
      </c>
      <c r="W68" s="323">
        <f t="shared" si="115"/>
        <v>0</v>
      </c>
      <c r="X68" s="326">
        <f>Drivers!X45</f>
        <v>0</v>
      </c>
      <c r="Y68" s="324">
        <f>Y33/Y28</f>
        <v>-1.1356024422097887E-2</v>
      </c>
      <c r="Z68" s="326">
        <f>Drivers!Z45</f>
        <v>0</v>
      </c>
      <c r="AA68" s="326">
        <f>Drivers!AA45</f>
        <v>0</v>
      </c>
      <c r="AB68" s="326">
        <f>Drivers!AB45</f>
        <v>0</v>
      </c>
      <c r="AC68" s="326">
        <f>Drivers!AC45</f>
        <v>0</v>
      </c>
      <c r="AD68" s="324">
        <f>AD33/AD28</f>
        <v>0</v>
      </c>
      <c r="AE68" s="327">
        <f>Drivers!AE45</f>
        <v>0</v>
      </c>
      <c r="AF68" s="327">
        <f>Drivers!AF45</f>
        <v>0</v>
      </c>
      <c r="AG68" s="327">
        <f>Drivers!AG45</f>
        <v>0</v>
      </c>
      <c r="AH68" s="12"/>
      <c r="AI68" s="12"/>
      <c r="AJ68" s="12"/>
      <c r="AK68" s="12"/>
    </row>
    <row r="69" spans="1:37" ht="13.5" customHeight="1">
      <c r="A69" s="211"/>
      <c r="B69" s="40"/>
      <c r="C69" s="12" t="s">
        <v>296</v>
      </c>
      <c r="D69" s="40"/>
      <c r="E69" s="40"/>
      <c r="F69" s="323">
        <f t="shared" ref="F69:W69" si="116">F35/F28</f>
        <v>-5.6978108076416734E-2</v>
      </c>
      <c r="G69" s="323">
        <f t="shared" si="116"/>
        <v>-6.5685016344214059E-2</v>
      </c>
      <c r="H69" s="323">
        <f t="shared" si="116"/>
        <v>-5.479913290940365E-2</v>
      </c>
      <c r="I69" s="323">
        <f t="shared" si="116"/>
        <v>0.33915276256463811</v>
      </c>
      <c r="J69" s="324">
        <f t="shared" si="116"/>
        <v>4.5214766515859935E-2</v>
      </c>
      <c r="K69" s="323">
        <f t="shared" si="116"/>
        <v>-3.3806950367325339E-2</v>
      </c>
      <c r="L69" s="323">
        <f t="shared" si="116"/>
        <v>-3.6170497661442036E-2</v>
      </c>
      <c r="M69" s="323">
        <f t="shared" si="116"/>
        <v>-3.4244190384177503E-2</v>
      </c>
      <c r="N69" s="323">
        <f t="shared" si="116"/>
        <v>-3.6513397289399924E-2</v>
      </c>
      <c r="O69" s="324">
        <f t="shared" si="116"/>
        <v>-3.5207461271600307E-2</v>
      </c>
      <c r="P69" s="323">
        <f t="shared" si="116"/>
        <v>-3.238181200612622E-2</v>
      </c>
      <c r="Q69" s="323">
        <f t="shared" si="116"/>
        <v>-3.2601731935418189E-2</v>
      </c>
      <c r="R69" s="323">
        <f t="shared" si="116"/>
        <v>-3.2197664232587409E-2</v>
      </c>
      <c r="S69" s="323">
        <f t="shared" si="116"/>
        <v>-3.9982450902274924E-2</v>
      </c>
      <c r="T69" s="324">
        <f t="shared" si="116"/>
        <v>-3.4415991878013683E-2</v>
      </c>
      <c r="U69" s="323">
        <f t="shared" si="116"/>
        <v>-4.1146448864250874E-2</v>
      </c>
      <c r="V69" s="323">
        <f t="shared" si="116"/>
        <v>0</v>
      </c>
      <c r="W69" s="323">
        <f t="shared" si="116"/>
        <v>0</v>
      </c>
      <c r="X69" s="326">
        <f>Drivers!X50</f>
        <v>0</v>
      </c>
      <c r="Y69" s="324">
        <f>Y35/Y28</f>
        <v>-5.9642036786312306E-3</v>
      </c>
      <c r="Z69" s="326">
        <f>Drivers!Z50</f>
        <v>0</v>
      </c>
      <c r="AA69" s="326">
        <f>Drivers!AA50</f>
        <v>0</v>
      </c>
      <c r="AB69" s="326">
        <f>Drivers!AB50</f>
        <v>0</v>
      </c>
      <c r="AC69" s="326">
        <f>Drivers!AC50</f>
        <v>0</v>
      </c>
      <c r="AD69" s="324">
        <f>AD35/AD28</f>
        <v>0</v>
      </c>
      <c r="AE69" s="327">
        <f>Drivers!AE50</f>
        <v>0</v>
      </c>
      <c r="AF69" s="327">
        <f>Drivers!AF50</f>
        <v>0</v>
      </c>
      <c r="AG69" s="327">
        <f>Drivers!AG50</f>
        <v>0</v>
      </c>
      <c r="AH69" s="12"/>
      <c r="AI69" s="12"/>
      <c r="AJ69" s="12"/>
      <c r="AK69" s="12"/>
    </row>
    <row r="70" spans="1:37" ht="13.5" customHeight="1">
      <c r="A70" s="211"/>
      <c r="B70" s="40"/>
      <c r="C70" s="12" t="s">
        <v>297</v>
      </c>
      <c r="D70" s="40"/>
      <c r="E70" s="40"/>
      <c r="F70" s="323">
        <f t="shared" ref="F70:W70" si="117">F41/F28</f>
        <v>-8.7243734395490626E-3</v>
      </c>
      <c r="G70" s="323">
        <f t="shared" si="117"/>
        <v>3.293026603028275E-3</v>
      </c>
      <c r="H70" s="323">
        <f t="shared" si="117"/>
        <v>1.9693811559990389E-2</v>
      </c>
      <c r="I70" s="323">
        <f t="shared" si="117"/>
        <v>-1.9557389623365118E-2</v>
      </c>
      <c r="J70" s="324">
        <f t="shared" si="117"/>
        <v>-1.4462405618288156E-3</v>
      </c>
      <c r="K70" s="323">
        <f t="shared" si="117"/>
        <v>1.6579691028382873E-2</v>
      </c>
      <c r="L70" s="323">
        <f t="shared" si="117"/>
        <v>8.2647178509745994E-3</v>
      </c>
      <c r="M70" s="323">
        <f t="shared" si="117"/>
        <v>-2.2080056771181787E-3</v>
      </c>
      <c r="N70" s="323">
        <f t="shared" si="117"/>
        <v>5.280332928870533E-3</v>
      </c>
      <c r="O70" s="324">
        <f t="shared" si="117"/>
        <v>6.8402408289066482E-3</v>
      </c>
      <c r="P70" s="323">
        <f t="shared" si="117"/>
        <v>4.8278441374355833E-3</v>
      </c>
      <c r="Q70" s="323">
        <f t="shared" si="117"/>
        <v>3.5769840437448095E-3</v>
      </c>
      <c r="R70" s="323">
        <f t="shared" si="117"/>
        <v>3.167335154483716E-3</v>
      </c>
      <c r="S70" s="323">
        <f t="shared" si="117"/>
        <v>-0.10331296892262912</v>
      </c>
      <c r="T70" s="324">
        <f t="shared" si="117"/>
        <v>-2.4744109714097125E-2</v>
      </c>
      <c r="U70" s="323">
        <f t="shared" si="117"/>
        <v>0.23283449622714966</v>
      </c>
      <c r="V70" s="323">
        <f t="shared" si="117"/>
        <v>0</v>
      </c>
      <c r="W70" s="323">
        <f t="shared" si="117"/>
        <v>0</v>
      </c>
      <c r="X70" s="326">
        <f>Drivers!X57</f>
        <v>0</v>
      </c>
      <c r="Y70" s="324">
        <f>Y41/Y28</f>
        <v>3.3749506877049862E-2</v>
      </c>
      <c r="Z70" s="326">
        <f>Drivers!Z57</f>
        <v>0</v>
      </c>
      <c r="AA70" s="326">
        <f>Drivers!AA57</f>
        <v>0</v>
      </c>
      <c r="AB70" s="326">
        <f>Drivers!AB57</f>
        <v>0</v>
      </c>
      <c r="AC70" s="326">
        <f>Drivers!AC57</f>
        <v>0</v>
      </c>
      <c r="AD70" s="324">
        <f>AD41/AD28</f>
        <v>0</v>
      </c>
      <c r="AE70" s="327">
        <f>Drivers!AE57</f>
        <v>0</v>
      </c>
      <c r="AF70" s="327">
        <f>Drivers!AF57</f>
        <v>0</v>
      </c>
      <c r="AG70" s="327">
        <f>Drivers!AG57</f>
        <v>0</v>
      </c>
      <c r="AH70" s="12"/>
      <c r="AI70" s="12"/>
      <c r="AJ70" s="12"/>
      <c r="AK70" s="12"/>
    </row>
    <row r="71" spans="1:37" ht="13.5" customHeight="1">
      <c r="A71" s="211"/>
      <c r="B71" s="40"/>
      <c r="C71" s="12" t="s">
        <v>298</v>
      </c>
      <c r="D71" s="40"/>
      <c r="E71" s="40"/>
      <c r="F71" s="323">
        <f t="shared" ref="F71:W71" si="118">-F44/F42</f>
        <v>0.1114826731224053</v>
      </c>
      <c r="G71" s="323">
        <f t="shared" si="118"/>
        <v>0.11416563252531366</v>
      </c>
      <c r="H71" s="323">
        <f t="shared" si="118"/>
        <v>0.12133109207778324</v>
      </c>
      <c r="I71" s="323">
        <f t="shared" si="118"/>
        <v>-4.7069031903954464E-2</v>
      </c>
      <c r="J71" s="324">
        <f t="shared" si="118"/>
        <v>-0.20042590504822763</v>
      </c>
      <c r="K71" s="323">
        <f t="shared" si="118"/>
        <v>0.10799826664254551</v>
      </c>
      <c r="L71" s="323">
        <f t="shared" si="118"/>
        <v>0.14581185238931746</v>
      </c>
      <c r="M71" s="323">
        <f t="shared" si="118"/>
        <v>0.12558297329514304</v>
      </c>
      <c r="N71" s="323">
        <f t="shared" si="118"/>
        <v>0.23350866391207756</v>
      </c>
      <c r="O71" s="324">
        <f t="shared" si="118"/>
        <v>0.15167879671953</v>
      </c>
      <c r="P71" s="323">
        <f t="shared" si="118"/>
        <v>9.4756237123766435E-2</v>
      </c>
      <c r="Q71" s="323">
        <f t="shared" si="118"/>
        <v>0.13070059888900151</v>
      </c>
      <c r="R71" s="323">
        <f t="shared" si="118"/>
        <v>0.16868078639450809</v>
      </c>
      <c r="S71" s="323">
        <f t="shared" si="118"/>
        <v>-0.60415225418412499</v>
      </c>
      <c r="T71" s="324">
        <f t="shared" si="118"/>
        <v>3.3310007958914686E-2</v>
      </c>
      <c r="U71" s="323">
        <f t="shared" si="118"/>
        <v>0.19935427481861243</v>
      </c>
      <c r="V71" s="323">
        <f t="shared" si="118"/>
        <v>0.2443665498247371</v>
      </c>
      <c r="W71" s="323">
        <f t="shared" si="118"/>
        <v>0.26110678098207324</v>
      </c>
      <c r="X71" s="326">
        <f>Drivers!X64</f>
        <v>0.24</v>
      </c>
      <c r="Y71" s="324" t="str">
        <f ca="1">-Y44/Y42</f>
        <v/>
      </c>
      <c r="Z71" s="326">
        <f>Drivers!Z64</f>
        <v>0.24</v>
      </c>
      <c r="AA71" s="326">
        <f>Drivers!AA64</f>
        <v>0.24</v>
      </c>
      <c r="AB71" s="326">
        <f>Drivers!AB64</f>
        <v>0.24</v>
      </c>
      <c r="AC71" s="326">
        <f>Drivers!AC64</f>
        <v>0.24</v>
      </c>
      <c r="AD71" s="324" t="str">
        <f ca="1">-AD44/AD42</f>
        <v/>
      </c>
      <c r="AE71" s="327">
        <f>Drivers!AE64</f>
        <v>0.24</v>
      </c>
      <c r="AF71" s="327">
        <f>Drivers!AF64</f>
        <v>0.24</v>
      </c>
      <c r="AG71" s="327">
        <f>Drivers!AG64</f>
        <v>0.24</v>
      </c>
      <c r="AH71" s="12"/>
      <c r="AI71" s="12"/>
      <c r="AJ71" s="12"/>
      <c r="AK71" s="12"/>
    </row>
    <row r="72" spans="1:37" ht="13.5" customHeight="1">
      <c r="A72" s="211"/>
      <c r="B72" s="40"/>
      <c r="C72" s="12"/>
      <c r="D72" s="40"/>
      <c r="E72" s="40"/>
      <c r="F72" s="265"/>
      <c r="G72" s="265"/>
      <c r="H72" s="265"/>
      <c r="I72" s="265"/>
      <c r="J72" s="137"/>
      <c r="K72" s="265"/>
      <c r="L72" s="265"/>
      <c r="M72" s="265"/>
      <c r="N72" s="265"/>
      <c r="O72" s="137"/>
      <c r="P72" s="265"/>
      <c r="Q72" s="265"/>
      <c r="R72" s="265"/>
      <c r="S72" s="265"/>
      <c r="T72" s="137"/>
      <c r="U72" s="265"/>
      <c r="V72" s="265"/>
      <c r="W72" s="265"/>
      <c r="X72" s="268"/>
      <c r="Y72" s="137"/>
      <c r="Z72" s="268"/>
      <c r="AA72" s="268"/>
      <c r="AB72" s="268"/>
      <c r="AC72" s="268"/>
      <c r="AD72" s="137"/>
      <c r="AE72" s="137"/>
      <c r="AF72" s="137"/>
      <c r="AG72" s="137"/>
      <c r="AH72" s="12"/>
      <c r="AI72" s="12"/>
      <c r="AJ72" s="12"/>
      <c r="AK72" s="12"/>
    </row>
    <row r="73" spans="1:37" ht="13.5" customHeight="1">
      <c r="A73" s="211" t="s">
        <v>1</v>
      </c>
      <c r="B73" s="40"/>
      <c r="C73" s="55" t="s">
        <v>299</v>
      </c>
      <c r="D73" s="15"/>
      <c r="E73" s="15"/>
      <c r="F73" s="259" t="str">
        <f>F$25</f>
        <v>1Q23</v>
      </c>
      <c r="G73" s="56" t="str">
        <f t="shared" ref="G73:AG73" si="119">G$63</f>
        <v>2Q23</v>
      </c>
      <c r="H73" s="56" t="str">
        <f t="shared" si="119"/>
        <v>3Q23</v>
      </c>
      <c r="I73" s="56" t="str">
        <f t="shared" si="119"/>
        <v>4Q23</v>
      </c>
      <c r="J73" s="56">
        <f t="shared" si="119"/>
        <v>2023</v>
      </c>
      <c r="K73" s="56" t="str">
        <f t="shared" si="119"/>
        <v>1Q24</v>
      </c>
      <c r="L73" s="56" t="str">
        <f t="shared" si="119"/>
        <v>2Q24</v>
      </c>
      <c r="M73" s="56" t="str">
        <f t="shared" si="119"/>
        <v>3Q24</v>
      </c>
      <c r="N73" s="56" t="str">
        <f t="shared" si="119"/>
        <v>4Q24</v>
      </c>
      <c r="O73" s="56">
        <f t="shared" si="119"/>
        <v>2024</v>
      </c>
      <c r="P73" s="56" t="str">
        <f t="shared" si="119"/>
        <v>1Q25</v>
      </c>
      <c r="Q73" s="56" t="str">
        <f t="shared" si="119"/>
        <v>2Q25</v>
      </c>
      <c r="R73" s="56" t="str">
        <f t="shared" si="119"/>
        <v>3Q25</v>
      </c>
      <c r="S73" s="56" t="str">
        <f t="shared" si="119"/>
        <v>4Q25</v>
      </c>
      <c r="T73" s="56">
        <f t="shared" si="119"/>
        <v>2025</v>
      </c>
      <c r="U73" s="56" t="str">
        <f t="shared" si="119"/>
        <v>1Q26</v>
      </c>
      <c r="V73" s="56" t="str">
        <f t="shared" si="119"/>
        <v>2Q26</v>
      </c>
      <c r="W73" s="56" t="str">
        <f t="shared" si="119"/>
        <v>3Q26e</v>
      </c>
      <c r="X73" s="56" t="str">
        <f t="shared" si="119"/>
        <v>4Q26e</v>
      </c>
      <c r="Y73" s="56" t="str">
        <f t="shared" si="119"/>
        <v>2026e</v>
      </c>
      <c r="Z73" s="56" t="str">
        <f t="shared" si="119"/>
        <v>1Q27e</v>
      </c>
      <c r="AA73" s="56" t="str">
        <f t="shared" si="119"/>
        <v>2Q27e</v>
      </c>
      <c r="AB73" s="56" t="str">
        <f t="shared" si="119"/>
        <v>3Q27e</v>
      </c>
      <c r="AC73" s="56" t="str">
        <f t="shared" si="119"/>
        <v>4Q27e</v>
      </c>
      <c r="AD73" s="56" t="str">
        <f t="shared" si="119"/>
        <v>2027e</v>
      </c>
      <c r="AE73" s="56" t="str">
        <f t="shared" si="119"/>
        <v>2028e</v>
      </c>
      <c r="AF73" s="56" t="str">
        <f t="shared" si="119"/>
        <v>2029e</v>
      </c>
      <c r="AG73" s="57" t="str">
        <f t="shared" si="119"/>
        <v>2030e</v>
      </c>
      <c r="AH73" s="211" t="s">
        <v>1</v>
      </c>
      <c r="AI73" s="12"/>
      <c r="AJ73" s="12"/>
      <c r="AK73" s="12"/>
    </row>
    <row r="74" spans="1:37" ht="13.5" customHeight="1">
      <c r="A74" s="211"/>
      <c r="B74" s="12"/>
      <c r="C74" s="12"/>
      <c r="D74" s="12"/>
      <c r="E74" s="12"/>
      <c r="F74" s="261"/>
      <c r="G74" s="261"/>
      <c r="H74" s="328"/>
      <c r="I74" s="261"/>
      <c r="J74" s="12"/>
      <c r="K74" s="261"/>
      <c r="L74" s="261"/>
      <c r="M74" s="328"/>
      <c r="N74" s="261"/>
      <c r="O74" s="12"/>
      <c r="P74" s="261"/>
      <c r="Q74" s="261"/>
      <c r="R74" s="328"/>
      <c r="S74" s="261"/>
      <c r="T74" s="12"/>
      <c r="U74" s="261"/>
      <c r="V74" s="261"/>
      <c r="W74" s="328"/>
      <c r="X74" s="262"/>
      <c r="Y74" s="12"/>
      <c r="Z74" s="262"/>
      <c r="AA74" s="262"/>
      <c r="AB74" s="329"/>
      <c r="AC74" s="262"/>
      <c r="AD74" s="12"/>
      <c r="AE74" s="12"/>
      <c r="AF74" s="12"/>
      <c r="AG74" s="12"/>
      <c r="AH74" s="12"/>
      <c r="AI74" s="12"/>
      <c r="AJ74" s="12"/>
      <c r="AK74" s="12"/>
    </row>
    <row r="75" spans="1:37" ht="13.5" customHeight="1">
      <c r="A75" s="211"/>
      <c r="B75" s="12"/>
      <c r="C75" s="108" t="s">
        <v>300</v>
      </c>
      <c r="D75" s="12"/>
      <c r="E75" s="12"/>
      <c r="F75" s="330"/>
      <c r="G75" s="330"/>
      <c r="H75" s="330"/>
      <c r="I75" s="330"/>
      <c r="J75" s="131"/>
      <c r="K75" s="330"/>
      <c r="L75" s="330"/>
      <c r="M75" s="330"/>
      <c r="N75" s="330"/>
      <c r="O75" s="131"/>
      <c r="P75" s="330"/>
      <c r="Q75" s="330"/>
      <c r="R75" s="330"/>
      <c r="S75" s="330"/>
      <c r="T75" s="131"/>
      <c r="U75" s="330"/>
      <c r="V75" s="330"/>
      <c r="W75" s="330"/>
      <c r="X75" s="305" t="str">
        <f ca="1">X45</f>
        <v/>
      </c>
      <c r="Y75" s="131" t="str">
        <f t="shared" ref="Y75:Y80" ca="1" si="120">SUM(U75:X75)</f>
        <v/>
      </c>
      <c r="Z75" s="305" t="str">
        <f t="shared" ref="Z75:AC75" ca="1" si="121">Z45</f>
        <v/>
      </c>
      <c r="AA75" s="305" t="str">
        <f t="shared" ca="1" si="121"/>
        <v>#REF!</v>
      </c>
      <c r="AB75" s="305" t="str">
        <f t="shared" ca="1" si="121"/>
        <v>#REF!</v>
      </c>
      <c r="AC75" s="305" t="str">
        <f t="shared" ca="1" si="121"/>
        <v>#REF!</v>
      </c>
      <c r="AD75" s="131" t="str">
        <f t="shared" ref="AD75:AD80" ca="1" si="122">SUM(Z75:AC75)</f>
        <v/>
      </c>
      <c r="AE75" s="131" t="str">
        <f t="shared" ref="AE75:AG75" ca="1" si="123">AE45</f>
        <v/>
      </c>
      <c r="AF75" s="131" t="str">
        <f t="shared" ca="1" si="123"/>
        <v>#REF!</v>
      </c>
      <c r="AG75" s="131" t="str">
        <f t="shared" ca="1" si="123"/>
        <v>#REF!</v>
      </c>
      <c r="AH75" s="12"/>
      <c r="AI75" s="12"/>
      <c r="AJ75" s="12"/>
      <c r="AK75" s="12"/>
    </row>
    <row r="76" spans="1:37" ht="13.5" customHeight="1">
      <c r="A76" s="211"/>
      <c r="B76" s="12"/>
      <c r="C76" s="108" t="s">
        <v>273</v>
      </c>
      <c r="D76" s="12"/>
      <c r="E76" s="12"/>
      <c r="F76" s="330"/>
      <c r="G76" s="330"/>
      <c r="H76" s="330"/>
      <c r="I76" s="330"/>
      <c r="J76" s="131"/>
      <c r="K76" s="330"/>
      <c r="L76" s="330"/>
      <c r="M76" s="330"/>
      <c r="N76" s="330"/>
      <c r="O76" s="131"/>
      <c r="P76" s="330"/>
      <c r="Q76" s="330"/>
      <c r="R76" s="330"/>
      <c r="S76" s="330"/>
      <c r="T76" s="131"/>
      <c r="U76" s="330"/>
      <c r="V76" s="330"/>
      <c r="W76" s="330"/>
      <c r="X76" s="305">
        <f>-(X194+X208)</f>
        <v>331.18750000000006</v>
      </c>
      <c r="Y76" s="131">
        <f t="shared" si="120"/>
        <v>331.18750000000006</v>
      </c>
      <c r="Z76" s="305">
        <f t="shared" ref="Z76:AC76" si="124">-(Z194+Z208)</f>
        <v>331.86891850000006</v>
      </c>
      <c r="AA76" s="305">
        <f t="shared" si="124"/>
        <v>336.85146518625004</v>
      </c>
      <c r="AB76" s="305">
        <f t="shared" si="124"/>
        <v>342.23237867969067</v>
      </c>
      <c r="AC76" s="305">
        <f t="shared" si="124"/>
        <v>343.91086566405204</v>
      </c>
      <c r="AD76" s="131">
        <f t="shared" si="122"/>
        <v>1354.8636280299929</v>
      </c>
      <c r="AE76" s="131">
        <f t="shared" ref="AE76:AG76" si="125">-(AE194+AE208)</f>
        <v>1420.1551602334257</v>
      </c>
      <c r="AF76" s="131">
        <f t="shared" si="125"/>
        <v>1472.4758318906811</v>
      </c>
      <c r="AG76" s="131">
        <f t="shared" si="125"/>
        <v>1524.1208520524956</v>
      </c>
      <c r="AH76" s="12"/>
      <c r="AI76" s="12"/>
      <c r="AJ76" s="12"/>
      <c r="AK76" s="12"/>
    </row>
    <row r="77" spans="1:37" ht="13.5" customHeight="1">
      <c r="A77" s="211"/>
      <c r="B77" s="12"/>
      <c r="C77" s="108" t="s">
        <v>301</v>
      </c>
      <c r="D77" s="12"/>
      <c r="E77" s="12"/>
      <c r="F77" s="304"/>
      <c r="G77" s="304"/>
      <c r="H77" s="304"/>
      <c r="I77" s="304"/>
      <c r="J77" s="131"/>
      <c r="K77" s="304"/>
      <c r="L77" s="304"/>
      <c r="M77" s="304"/>
      <c r="N77" s="304"/>
      <c r="O77" s="131"/>
      <c r="P77" s="304"/>
      <c r="Q77" s="304"/>
      <c r="R77" s="304"/>
      <c r="S77" s="304"/>
      <c r="T77" s="131"/>
      <c r="U77" s="304"/>
      <c r="V77" s="304"/>
      <c r="W77" s="304"/>
      <c r="X77" s="305">
        <f>X246</f>
        <v>51.3</v>
      </c>
      <c r="Y77" s="131">
        <f t="shared" si="120"/>
        <v>51.3</v>
      </c>
      <c r="Z77" s="305">
        <f t="shared" ref="Z77:AC77" si="126">Z246</f>
        <v>60.533999999999999</v>
      </c>
      <c r="AA77" s="305">
        <f t="shared" si="126"/>
        <v>69.008759999999995</v>
      </c>
      <c r="AB77" s="305">
        <f t="shared" si="126"/>
        <v>60.727708800000002</v>
      </c>
      <c r="AC77" s="305">
        <f t="shared" si="126"/>
        <v>57.691323359999998</v>
      </c>
      <c r="AD77" s="131">
        <f t="shared" si="122"/>
        <v>247.96179216000002</v>
      </c>
      <c r="AE77" s="131">
        <f t="shared" ref="AE77:AG77" si="127">AE246</f>
        <v>252.92102800319995</v>
      </c>
      <c r="AF77" s="131">
        <f t="shared" si="127"/>
        <v>257.97944856326399</v>
      </c>
      <c r="AG77" s="131">
        <f t="shared" si="127"/>
        <v>263.13903753452922</v>
      </c>
      <c r="AH77" s="12"/>
      <c r="AI77" s="12"/>
      <c r="AJ77" s="12"/>
      <c r="AK77" s="12"/>
    </row>
    <row r="78" spans="1:37" ht="13.5" customHeight="1">
      <c r="A78" s="211"/>
      <c r="B78" s="12"/>
      <c r="C78" s="108" t="s">
        <v>302</v>
      </c>
      <c r="D78" s="12"/>
      <c r="E78" s="12"/>
      <c r="F78" s="304"/>
      <c r="G78" s="304"/>
      <c r="H78" s="304"/>
      <c r="I78" s="304"/>
      <c r="J78" s="131"/>
      <c r="K78" s="304"/>
      <c r="L78" s="304"/>
      <c r="M78" s="304"/>
      <c r="N78" s="304"/>
      <c r="O78" s="131"/>
      <c r="P78" s="304"/>
      <c r="Q78" s="304"/>
      <c r="R78" s="304"/>
      <c r="S78" s="304"/>
      <c r="T78" s="131"/>
      <c r="U78" s="304"/>
      <c r="V78" s="304"/>
      <c r="W78" s="304"/>
      <c r="X78" s="305">
        <f>X174</f>
        <v>1905.858056521738</v>
      </c>
      <c r="Y78" s="131">
        <f t="shared" si="120"/>
        <v>1905.858056521738</v>
      </c>
      <c r="Z78" s="305">
        <f t="shared" ref="Z78:AC78" si="128">Z174</f>
        <v>-3218.8031171678922</v>
      </c>
      <c r="AA78" s="305">
        <f t="shared" si="128"/>
        <v>1362.6979720093877</v>
      </c>
      <c r="AB78" s="305">
        <f t="shared" si="128"/>
        <v>1373.9746146900507</v>
      </c>
      <c r="AC78" s="305">
        <f t="shared" si="128"/>
        <v>-901.36476960964865</v>
      </c>
      <c r="AD78" s="131">
        <f t="shared" si="122"/>
        <v>-1383.4953000781024</v>
      </c>
      <c r="AE78" s="131">
        <f t="shared" ref="AE78:AG78" si="129">AE174</f>
        <v>935.23975610619163</v>
      </c>
      <c r="AF78" s="131">
        <f t="shared" si="129"/>
        <v>49.709140188824676</v>
      </c>
      <c r="AG78" s="131">
        <f t="shared" si="129"/>
        <v>44.917896527949779</v>
      </c>
      <c r="AH78" s="12"/>
      <c r="AI78" s="12"/>
      <c r="AJ78" s="12"/>
      <c r="AK78" s="12"/>
    </row>
    <row r="79" spans="1:37" ht="13.5" customHeight="1">
      <c r="A79" s="211"/>
      <c r="B79" s="12"/>
      <c r="C79" s="108" t="s">
        <v>303</v>
      </c>
      <c r="D79" s="12"/>
      <c r="E79" s="12"/>
      <c r="F79" s="300"/>
      <c r="G79" s="300"/>
      <c r="H79" s="300"/>
      <c r="I79" s="300"/>
      <c r="J79" s="301"/>
      <c r="K79" s="300"/>
      <c r="L79" s="300"/>
      <c r="M79" s="300"/>
      <c r="N79" s="300"/>
      <c r="O79" s="301"/>
      <c r="P79" s="300"/>
      <c r="Q79" s="300"/>
      <c r="R79" s="300"/>
      <c r="S79" s="300"/>
      <c r="T79" s="301"/>
      <c r="U79" s="300"/>
      <c r="V79" s="300"/>
      <c r="W79" s="300"/>
      <c r="X79" s="302">
        <f>X228</f>
        <v>-112.52000000000044</v>
      </c>
      <c r="Y79" s="301">
        <f t="shared" si="120"/>
        <v>-112.52000000000044</v>
      </c>
      <c r="Z79" s="302">
        <f t="shared" ref="Z79:AC79" si="130">Z228</f>
        <v>-114.77040000000034</v>
      </c>
      <c r="AA79" s="302">
        <f t="shared" si="130"/>
        <v>-117.06580800000029</v>
      </c>
      <c r="AB79" s="302">
        <f t="shared" si="130"/>
        <v>-119.40712416000042</v>
      </c>
      <c r="AC79" s="302">
        <f t="shared" si="130"/>
        <v>-121.79526664320019</v>
      </c>
      <c r="AD79" s="301">
        <f t="shared" si="122"/>
        <v>-473.03859880320124</v>
      </c>
      <c r="AE79" s="301">
        <f t="shared" ref="AE79:AG79" si="131">AE228</f>
        <v>-124.23117197606371</v>
      </c>
      <c r="AF79" s="301">
        <f t="shared" si="131"/>
        <v>-126.71579541558549</v>
      </c>
      <c r="AG79" s="301">
        <f t="shared" si="131"/>
        <v>-129.25011132389682</v>
      </c>
      <c r="AH79" s="12"/>
      <c r="AI79" s="12"/>
      <c r="AJ79" s="12"/>
      <c r="AK79" s="12"/>
    </row>
    <row r="80" spans="1:37" ht="13.5" customHeight="1">
      <c r="A80" s="211"/>
      <c r="B80" s="12"/>
      <c r="C80" s="108" t="s">
        <v>304</v>
      </c>
      <c r="D80" s="12"/>
      <c r="E80" s="12"/>
      <c r="F80" s="299"/>
      <c r="G80" s="299"/>
      <c r="H80" s="299"/>
      <c r="I80" s="299"/>
      <c r="J80" s="228"/>
      <c r="K80" s="299"/>
      <c r="L80" s="299"/>
      <c r="M80" s="299"/>
      <c r="N80" s="299"/>
      <c r="O80" s="228"/>
      <c r="P80" s="299"/>
      <c r="Q80" s="299"/>
      <c r="R80" s="299"/>
      <c r="S80" s="299"/>
      <c r="T80" s="228"/>
      <c r="U80" s="299"/>
      <c r="V80" s="299"/>
      <c r="W80" s="299"/>
      <c r="X80" s="227" t="str">
        <f ca="1">SUM(X75:X79)</f>
        <v/>
      </c>
      <c r="Y80" s="228" t="str">
        <f t="shared" ca="1" si="120"/>
        <v>#REF!</v>
      </c>
      <c r="Z80" s="227" t="str">
        <f t="shared" ref="Z80:AC80" ca="1" si="132">SUM(Z75:Z79)</f>
        <v/>
      </c>
      <c r="AA80" s="227" t="str">
        <f t="shared" ca="1" si="132"/>
        <v>#REF!</v>
      </c>
      <c r="AB80" s="227" t="str">
        <f t="shared" ca="1" si="132"/>
        <v>#REF!</v>
      </c>
      <c r="AC80" s="227" t="str">
        <f t="shared" ca="1" si="132"/>
        <v>#REF!</v>
      </c>
      <c r="AD80" s="228" t="str">
        <f t="shared" ca="1" si="122"/>
        <v>#REF!</v>
      </c>
      <c r="AE80" s="228" t="str">
        <f t="shared" ref="AE80:AG80" ca="1" si="133">SUM(AE75:AE79)</f>
        <v/>
      </c>
      <c r="AF80" s="228" t="str">
        <f t="shared" ca="1" si="133"/>
        <v>#REF!</v>
      </c>
      <c r="AG80" s="228" t="str">
        <f t="shared" ca="1" si="133"/>
        <v>#REF!</v>
      </c>
      <c r="AH80" s="12"/>
      <c r="AI80" s="12"/>
      <c r="AJ80" s="12"/>
      <c r="AK80" s="12"/>
    </row>
    <row r="81" spans="1:37" ht="13.5" customHeight="1">
      <c r="A81" s="211"/>
      <c r="B81" s="12"/>
      <c r="C81" s="12"/>
      <c r="D81" s="12"/>
      <c r="E81" s="12"/>
      <c r="F81" s="261"/>
      <c r="G81" s="299"/>
      <c r="H81" s="299"/>
      <c r="I81" s="261"/>
      <c r="J81" s="12"/>
      <c r="K81" s="261"/>
      <c r="L81" s="299"/>
      <c r="M81" s="299"/>
      <c r="N81" s="261"/>
      <c r="O81" s="12"/>
      <c r="P81" s="261"/>
      <c r="Q81" s="299"/>
      <c r="R81" s="299"/>
      <c r="S81" s="261"/>
      <c r="T81" s="12"/>
      <c r="U81" s="261"/>
      <c r="V81" s="299"/>
      <c r="W81" s="299"/>
      <c r="X81" s="227"/>
      <c r="Y81" s="12"/>
      <c r="Z81" s="227"/>
      <c r="AA81" s="227"/>
      <c r="AB81" s="227"/>
      <c r="AC81" s="227"/>
      <c r="AD81" s="12"/>
      <c r="AE81" s="228"/>
      <c r="AF81" s="228"/>
      <c r="AG81" s="228"/>
      <c r="AH81" s="12"/>
      <c r="AI81" s="12"/>
      <c r="AJ81" s="12"/>
      <c r="AK81" s="12"/>
    </row>
    <row r="82" spans="1:37" ht="13.5" customHeight="1">
      <c r="A82" s="211"/>
      <c r="B82" s="12"/>
      <c r="C82" s="108" t="s">
        <v>121</v>
      </c>
      <c r="D82" s="12"/>
      <c r="E82" s="12"/>
      <c r="F82" s="304"/>
      <c r="G82" s="304"/>
      <c r="H82" s="304"/>
      <c r="I82" s="304"/>
      <c r="J82" s="131"/>
      <c r="K82" s="304"/>
      <c r="L82" s="304"/>
      <c r="M82" s="304"/>
      <c r="N82" s="304"/>
      <c r="O82" s="131"/>
      <c r="P82" s="304"/>
      <c r="Q82" s="304"/>
      <c r="R82" s="304"/>
      <c r="S82" s="304"/>
      <c r="T82" s="131"/>
      <c r="U82" s="304"/>
      <c r="V82" s="304"/>
      <c r="W82" s="304"/>
      <c r="X82" s="305">
        <f>-X193</f>
        <v>-370.12569999999999</v>
      </c>
      <c r="Y82" s="131">
        <f t="shared" ref="Y82:Y85" si="134">SUM(U82:X82)</f>
        <v>-370.12569999999999</v>
      </c>
      <c r="Z82" s="305">
        <f t="shared" ref="Z82:AC82" si="135">-Z193</f>
        <v>-616.58587199999999</v>
      </c>
      <c r="AA82" s="305">
        <f t="shared" si="135"/>
        <v>-644.33223623999993</v>
      </c>
      <c r="AB82" s="305">
        <f t="shared" si="135"/>
        <v>-438.14592064320004</v>
      </c>
      <c r="AC82" s="305">
        <f t="shared" si="135"/>
        <v>-416.23862461104</v>
      </c>
      <c r="AD82" s="131">
        <f t="shared" ref="AD82:AD85" si="136">SUM(Z82:AC82)</f>
        <v>-2115.3026534942401</v>
      </c>
      <c r="AE82" s="131">
        <f t="shared" ref="AE82:AG82" si="137">-AE193</f>
        <v>-2146.8311554730876</v>
      </c>
      <c r="AF82" s="131">
        <f t="shared" si="137"/>
        <v>-2189.7677785825495</v>
      </c>
      <c r="AG82" s="131">
        <f t="shared" si="137"/>
        <v>-2345.2412908619103</v>
      </c>
      <c r="AH82" s="12"/>
      <c r="AI82" s="12"/>
      <c r="AJ82" s="12"/>
      <c r="AK82" s="12"/>
    </row>
    <row r="83" spans="1:37" ht="13.5" customHeight="1">
      <c r="A83" s="211"/>
      <c r="B83" s="12"/>
      <c r="C83" s="108" t="s">
        <v>305</v>
      </c>
      <c r="D83" s="12"/>
      <c r="E83" s="12"/>
      <c r="F83" s="304"/>
      <c r="G83" s="304"/>
      <c r="H83" s="304"/>
      <c r="I83" s="304"/>
      <c r="J83" s="131"/>
      <c r="K83" s="304"/>
      <c r="L83" s="304"/>
      <c r="M83" s="304"/>
      <c r="N83" s="304"/>
      <c r="O83" s="131"/>
      <c r="P83" s="304"/>
      <c r="Q83" s="304"/>
      <c r="R83" s="304"/>
      <c r="S83" s="304"/>
      <c r="T83" s="131"/>
      <c r="U83" s="304"/>
      <c r="V83" s="304"/>
      <c r="W83" s="304"/>
      <c r="X83" s="305">
        <f>-X207</f>
        <v>0</v>
      </c>
      <c r="Y83" s="131">
        <f t="shared" si="134"/>
        <v>0</v>
      </c>
      <c r="Z83" s="305">
        <f t="shared" ref="Z83:AC83" si="138">-Z207</f>
        <v>0</v>
      </c>
      <c r="AA83" s="305">
        <f t="shared" si="138"/>
        <v>0</v>
      </c>
      <c r="AB83" s="305">
        <f t="shared" si="138"/>
        <v>0</v>
      </c>
      <c r="AC83" s="305">
        <f t="shared" si="138"/>
        <v>0</v>
      </c>
      <c r="AD83" s="131">
        <f t="shared" si="136"/>
        <v>0</v>
      </c>
      <c r="AE83" s="131">
        <f t="shared" ref="AE83:AG83" si="139">-AE207</f>
        <v>0</v>
      </c>
      <c r="AF83" s="131">
        <f t="shared" si="139"/>
        <v>0</v>
      </c>
      <c r="AG83" s="131">
        <f t="shared" si="139"/>
        <v>0</v>
      </c>
      <c r="AH83" s="12"/>
      <c r="AI83" s="12"/>
      <c r="AJ83" s="12"/>
      <c r="AK83" s="12"/>
    </row>
    <row r="84" spans="1:37" ht="13.5" customHeight="1">
      <c r="A84" s="211"/>
      <c r="B84" s="12"/>
      <c r="C84" s="108" t="s">
        <v>306</v>
      </c>
      <c r="D84" s="12"/>
      <c r="E84" s="12"/>
      <c r="F84" s="300"/>
      <c r="G84" s="300"/>
      <c r="H84" s="300"/>
      <c r="I84" s="300"/>
      <c r="J84" s="301"/>
      <c r="K84" s="300"/>
      <c r="L84" s="300"/>
      <c r="M84" s="300"/>
      <c r="N84" s="300"/>
      <c r="O84" s="301"/>
      <c r="P84" s="300"/>
      <c r="Q84" s="300"/>
      <c r="R84" s="300"/>
      <c r="S84" s="300"/>
      <c r="T84" s="301"/>
      <c r="U84" s="300"/>
      <c r="V84" s="300"/>
      <c r="W84" s="300"/>
      <c r="X84" s="331">
        <f>Drivers!X97</f>
        <v>0</v>
      </c>
      <c r="Y84" s="301">
        <f t="shared" si="134"/>
        <v>0</v>
      </c>
      <c r="Z84" s="331">
        <f>Drivers!Z97</f>
        <v>0</v>
      </c>
      <c r="AA84" s="331">
        <f>Drivers!AA97</f>
        <v>0</v>
      </c>
      <c r="AB84" s="331">
        <f>Drivers!AB97</f>
        <v>0</v>
      </c>
      <c r="AC84" s="331">
        <f>Drivers!AC97</f>
        <v>0</v>
      </c>
      <c r="AD84" s="301">
        <f t="shared" si="136"/>
        <v>0</v>
      </c>
      <c r="AE84" s="301">
        <f>Drivers!AE97</f>
        <v>0</v>
      </c>
      <c r="AF84" s="301">
        <f>Drivers!AF97</f>
        <v>0</v>
      </c>
      <c r="AG84" s="301">
        <f>Drivers!AG97</f>
        <v>0</v>
      </c>
      <c r="AH84" s="12"/>
      <c r="AI84" s="12"/>
      <c r="AJ84" s="12"/>
      <c r="AK84" s="12"/>
    </row>
    <row r="85" spans="1:37" ht="13.5" customHeight="1">
      <c r="A85" s="211"/>
      <c r="B85" s="12"/>
      <c r="C85" s="108" t="s">
        <v>307</v>
      </c>
      <c r="D85" s="12"/>
      <c r="E85" s="12"/>
      <c r="F85" s="299"/>
      <c r="G85" s="299"/>
      <c r="H85" s="299"/>
      <c r="I85" s="299"/>
      <c r="J85" s="228"/>
      <c r="K85" s="299"/>
      <c r="L85" s="299"/>
      <c r="M85" s="299"/>
      <c r="N85" s="299"/>
      <c r="O85" s="228"/>
      <c r="P85" s="299"/>
      <c r="Q85" s="299"/>
      <c r="R85" s="299"/>
      <c r="S85" s="299"/>
      <c r="T85" s="228"/>
      <c r="U85" s="299"/>
      <c r="V85" s="299"/>
      <c r="W85" s="299"/>
      <c r="X85" s="227">
        <f>SUM(X82:X84)</f>
        <v>-370.12569999999999</v>
      </c>
      <c r="Y85" s="228">
        <f t="shared" si="134"/>
        <v>-370.12569999999999</v>
      </c>
      <c r="Z85" s="227">
        <f t="shared" ref="Z85:AC85" si="140">SUM(Z82:Z84)</f>
        <v>-616.58587199999999</v>
      </c>
      <c r="AA85" s="227">
        <f t="shared" si="140"/>
        <v>-644.33223623999993</v>
      </c>
      <c r="AB85" s="227">
        <f t="shared" si="140"/>
        <v>-438.14592064320004</v>
      </c>
      <c r="AC85" s="227">
        <f t="shared" si="140"/>
        <v>-416.23862461104</v>
      </c>
      <c r="AD85" s="228">
        <f t="shared" si="136"/>
        <v>-2115.3026534942401</v>
      </c>
      <c r="AE85" s="228">
        <f t="shared" ref="AE85:AG85" si="141">SUM(AE82:AE84)</f>
        <v>-2146.8311554730876</v>
      </c>
      <c r="AF85" s="228">
        <f t="shared" si="141"/>
        <v>-2189.7677785825495</v>
      </c>
      <c r="AG85" s="228">
        <f t="shared" si="141"/>
        <v>-2345.2412908619103</v>
      </c>
      <c r="AH85" s="12"/>
      <c r="AI85" s="12"/>
      <c r="AJ85" s="12"/>
      <c r="AK85" s="12"/>
    </row>
    <row r="86" spans="1:37" ht="13.5" customHeight="1">
      <c r="A86" s="211"/>
      <c r="B86" s="12"/>
      <c r="C86" s="12"/>
      <c r="D86" s="12"/>
      <c r="E86" s="12"/>
      <c r="F86" s="261"/>
      <c r="G86" s="299"/>
      <c r="H86" s="261"/>
      <c r="I86" s="261"/>
      <c r="J86" s="12"/>
      <c r="K86" s="261"/>
      <c r="L86" s="299"/>
      <c r="M86" s="261"/>
      <c r="N86" s="261"/>
      <c r="O86" s="12"/>
      <c r="P86" s="261"/>
      <c r="Q86" s="299"/>
      <c r="R86" s="299"/>
      <c r="S86" s="261"/>
      <c r="T86" s="12"/>
      <c r="U86" s="261"/>
      <c r="V86" s="299"/>
      <c r="W86" s="299"/>
      <c r="X86" s="262"/>
      <c r="Y86" s="12"/>
      <c r="Z86" s="262"/>
      <c r="AA86" s="262"/>
      <c r="AB86" s="262"/>
      <c r="AC86" s="262"/>
      <c r="AD86" s="12"/>
      <c r="AE86" s="12"/>
      <c r="AF86" s="12"/>
      <c r="AG86" s="12"/>
      <c r="AH86" s="12"/>
      <c r="AI86" s="12"/>
      <c r="AJ86" s="12"/>
      <c r="AK86" s="12"/>
    </row>
    <row r="87" spans="1:37" ht="13.5" customHeight="1">
      <c r="A87" s="211"/>
      <c r="B87" s="332"/>
      <c r="C87" s="333" t="s">
        <v>308</v>
      </c>
      <c r="D87" s="75"/>
      <c r="E87" s="75"/>
      <c r="F87" s="334"/>
      <c r="G87" s="334"/>
      <c r="H87" s="334"/>
      <c r="I87" s="334"/>
      <c r="J87" s="335"/>
      <c r="K87" s="334"/>
      <c r="L87" s="334"/>
      <c r="M87" s="334"/>
      <c r="N87" s="334"/>
      <c r="O87" s="335"/>
      <c r="P87" s="334"/>
      <c r="Q87" s="334"/>
      <c r="R87" s="334"/>
      <c r="S87" s="334"/>
      <c r="T87" s="335"/>
      <c r="U87" s="334"/>
      <c r="V87" s="334"/>
      <c r="W87" s="334"/>
      <c r="X87" s="336" t="str">
        <f ca="1">SUM(X80,X85)</f>
        <v/>
      </c>
      <c r="Y87" s="335" t="str">
        <f ca="1">SUM(U87:X87)</f>
        <v/>
      </c>
      <c r="Z87" s="336" t="str">
        <f t="shared" ref="Z87:AC87" ca="1" si="142">SUM(Z80,Z85)</f>
        <v/>
      </c>
      <c r="AA87" s="336" t="str">
        <f t="shared" ca="1" si="142"/>
        <v>#REF!</v>
      </c>
      <c r="AB87" s="336" t="str">
        <f t="shared" ca="1" si="142"/>
        <v>#REF!</v>
      </c>
      <c r="AC87" s="336" t="str">
        <f t="shared" ca="1" si="142"/>
        <v>#REF!</v>
      </c>
      <c r="AD87" s="335" t="str">
        <f ca="1">SUM(Z87:AC87)</f>
        <v/>
      </c>
      <c r="AE87" s="335" t="str">
        <f t="shared" ref="AE87:AG87" ca="1" si="143">SUM(AE80,AE85)</f>
        <v/>
      </c>
      <c r="AF87" s="335" t="str">
        <f t="shared" ca="1" si="143"/>
        <v>#REF!</v>
      </c>
      <c r="AG87" s="335" t="str">
        <f t="shared" ca="1" si="143"/>
        <v>#REF!</v>
      </c>
      <c r="AH87" s="12"/>
      <c r="AI87" s="12"/>
      <c r="AJ87" s="12"/>
      <c r="AK87" s="12"/>
    </row>
    <row r="88" spans="1:37" ht="13.5" customHeight="1">
      <c r="A88" s="211"/>
      <c r="B88" s="12"/>
      <c r="C88" s="12"/>
      <c r="D88" s="12"/>
      <c r="E88" s="12"/>
      <c r="F88" s="261"/>
      <c r="G88" s="261"/>
      <c r="H88" s="261"/>
      <c r="I88" s="261"/>
      <c r="J88" s="12"/>
      <c r="K88" s="261"/>
      <c r="L88" s="261"/>
      <c r="M88" s="261"/>
      <c r="N88" s="261"/>
      <c r="O88" s="12"/>
      <c r="P88" s="261"/>
      <c r="Q88" s="261"/>
      <c r="R88" s="261"/>
      <c r="S88" s="261"/>
      <c r="T88" s="12"/>
      <c r="U88" s="261"/>
      <c r="V88" s="261"/>
      <c r="W88" s="261"/>
      <c r="X88" s="262"/>
      <c r="Y88" s="12"/>
      <c r="Z88" s="262"/>
      <c r="AA88" s="262"/>
      <c r="AB88" s="262"/>
      <c r="AC88" s="262"/>
      <c r="AD88" s="12"/>
      <c r="AE88" s="12"/>
      <c r="AF88" s="12"/>
      <c r="AG88" s="12"/>
      <c r="AH88" s="12"/>
      <c r="AI88" s="12"/>
      <c r="AJ88" s="12"/>
      <c r="AK88" s="12"/>
    </row>
    <row r="89" spans="1:37" ht="13.5" customHeight="1">
      <c r="A89" s="211"/>
      <c r="B89" s="12"/>
      <c r="C89" s="108" t="s">
        <v>309</v>
      </c>
      <c r="D89" s="12"/>
      <c r="E89" s="12"/>
      <c r="F89" s="304"/>
      <c r="G89" s="304"/>
      <c r="H89" s="304"/>
      <c r="I89" s="304"/>
      <c r="J89" s="131"/>
      <c r="K89" s="304"/>
      <c r="L89" s="304"/>
      <c r="M89" s="304"/>
      <c r="N89" s="304"/>
      <c r="O89" s="131"/>
      <c r="P89" s="304"/>
      <c r="Q89" s="304"/>
      <c r="R89" s="304"/>
      <c r="S89" s="304"/>
      <c r="T89" s="131"/>
      <c r="U89" s="304"/>
      <c r="V89" s="304"/>
      <c r="W89" s="304"/>
      <c r="X89" s="305" t="str">
        <f ca="1">X303</f>
        <v/>
      </c>
      <c r="Y89" s="131" t="str">
        <f t="shared" ref="Y89:Y96" ca="1" si="144">SUM(U89:X89)</f>
        <v/>
      </c>
      <c r="Z89" s="305" t="str">
        <f t="shared" ref="Z89:AC89" ca="1" si="145">Z303</f>
        <v/>
      </c>
      <c r="AA89" s="305" t="str">
        <f t="shared" ca="1" si="145"/>
        <v>#REF!</v>
      </c>
      <c r="AB89" s="305" t="str">
        <f t="shared" ca="1" si="145"/>
        <v>#REF!</v>
      </c>
      <c r="AC89" s="305" t="str">
        <f t="shared" ca="1" si="145"/>
        <v>#REF!</v>
      </c>
      <c r="AD89" s="131" t="str">
        <f t="shared" ref="AD89:AD96" ca="1" si="146">SUM(Z89:AC89)</f>
        <v/>
      </c>
      <c r="AE89" s="131" t="str">
        <f t="shared" ref="AE89:AG89" ca="1" si="147">AE303</f>
        <v/>
      </c>
      <c r="AF89" s="131" t="str">
        <f t="shared" ca="1" si="147"/>
        <v>#REF!</v>
      </c>
      <c r="AG89" s="131" t="str">
        <f t="shared" ca="1" si="147"/>
        <v>#REF!</v>
      </c>
      <c r="AH89" s="12"/>
      <c r="AI89" s="12"/>
      <c r="AJ89" s="12"/>
      <c r="AK89" s="12"/>
    </row>
    <row r="90" spans="1:37" ht="13.5" customHeight="1">
      <c r="A90" s="211"/>
      <c r="B90" s="12"/>
      <c r="C90" s="108" t="s">
        <v>310</v>
      </c>
      <c r="D90" s="12"/>
      <c r="E90" s="12"/>
      <c r="F90" s="304"/>
      <c r="G90" s="304"/>
      <c r="H90" s="304"/>
      <c r="I90" s="304"/>
      <c r="J90" s="131"/>
      <c r="K90" s="304"/>
      <c r="L90" s="304"/>
      <c r="M90" s="304"/>
      <c r="N90" s="304"/>
      <c r="O90" s="131"/>
      <c r="P90" s="304"/>
      <c r="Q90" s="304"/>
      <c r="R90" s="304"/>
      <c r="S90" s="304"/>
      <c r="T90" s="131"/>
      <c r="U90" s="304"/>
      <c r="V90" s="304"/>
      <c r="W90" s="304"/>
      <c r="X90" s="305">
        <f t="shared" ref="X90:X91" si="148">X308</f>
        <v>0</v>
      </c>
      <c r="Y90" s="131">
        <f t="shared" si="144"/>
        <v>0</v>
      </c>
      <c r="Z90" s="305">
        <f t="shared" ref="Z90:AC90" si="149">Z308</f>
        <v>0</v>
      </c>
      <c r="AA90" s="305">
        <f t="shared" si="149"/>
        <v>0</v>
      </c>
      <c r="AB90" s="305">
        <f t="shared" si="149"/>
        <v>0</v>
      </c>
      <c r="AC90" s="305">
        <f t="shared" si="149"/>
        <v>0</v>
      </c>
      <c r="AD90" s="131">
        <f t="shared" si="146"/>
        <v>0</v>
      </c>
      <c r="AE90" s="131">
        <f t="shared" ref="AE90:AG90" si="150">AE308</f>
        <v>0</v>
      </c>
      <c r="AF90" s="131">
        <f t="shared" si="150"/>
        <v>0</v>
      </c>
      <c r="AG90" s="131">
        <f t="shared" si="150"/>
        <v>0</v>
      </c>
      <c r="AH90" s="12"/>
      <c r="AI90" s="12"/>
      <c r="AJ90" s="12"/>
      <c r="AK90" s="12"/>
    </row>
    <row r="91" spans="1:37" ht="13.5" customHeight="1">
      <c r="A91" s="211"/>
      <c r="B91" s="12"/>
      <c r="C91" s="108" t="s">
        <v>311</v>
      </c>
      <c r="D91" s="12"/>
      <c r="E91" s="12"/>
      <c r="F91" s="304"/>
      <c r="G91" s="304"/>
      <c r="H91" s="304"/>
      <c r="I91" s="304"/>
      <c r="J91" s="131"/>
      <c r="K91" s="304"/>
      <c r="L91" s="304"/>
      <c r="M91" s="304"/>
      <c r="N91" s="304"/>
      <c r="O91" s="131"/>
      <c r="P91" s="304"/>
      <c r="Q91" s="304"/>
      <c r="R91" s="304"/>
      <c r="S91" s="304"/>
      <c r="T91" s="131"/>
      <c r="U91" s="304"/>
      <c r="V91" s="304"/>
      <c r="W91" s="304"/>
      <c r="X91" s="305">
        <f t="shared" si="148"/>
        <v>-500</v>
      </c>
      <c r="Y91" s="131">
        <f t="shared" si="144"/>
        <v>-500</v>
      </c>
      <c r="Z91" s="305">
        <f t="shared" ref="Z91:AC91" si="151">Z309</f>
        <v>-500</v>
      </c>
      <c r="AA91" s="305">
        <f t="shared" si="151"/>
        <v>-500</v>
      </c>
      <c r="AB91" s="305">
        <f t="shared" si="151"/>
        <v>-500</v>
      </c>
      <c r="AC91" s="305">
        <f t="shared" si="151"/>
        <v>-500</v>
      </c>
      <c r="AD91" s="131">
        <f t="shared" si="146"/>
        <v>-2000</v>
      </c>
      <c r="AE91" s="131">
        <f t="shared" ref="AE91:AG91" si="152">AE309</f>
        <v>-1400</v>
      </c>
      <c r="AF91" s="131">
        <f t="shared" si="152"/>
        <v>-1300</v>
      </c>
      <c r="AG91" s="131">
        <f t="shared" si="152"/>
        <v>-1200</v>
      </c>
      <c r="AH91" s="12"/>
      <c r="AI91" s="12"/>
      <c r="AJ91" s="12"/>
      <c r="AK91" s="12"/>
    </row>
    <row r="92" spans="1:37" ht="13.5" customHeight="1">
      <c r="A92" s="211"/>
      <c r="B92" s="12"/>
      <c r="C92" s="108" t="s">
        <v>312</v>
      </c>
      <c r="D92" s="12"/>
      <c r="E92" s="12"/>
      <c r="F92" s="304"/>
      <c r="G92" s="304"/>
      <c r="H92" s="304"/>
      <c r="I92" s="304"/>
      <c r="J92" s="131"/>
      <c r="K92" s="304"/>
      <c r="L92" s="304"/>
      <c r="M92" s="304"/>
      <c r="N92" s="304"/>
      <c r="O92" s="131"/>
      <c r="P92" s="304"/>
      <c r="Q92" s="304"/>
      <c r="R92" s="304"/>
      <c r="S92" s="304"/>
      <c r="T92" s="131"/>
      <c r="U92" s="304"/>
      <c r="V92" s="304"/>
      <c r="W92" s="304"/>
      <c r="X92" s="305">
        <f>X245</f>
        <v>0</v>
      </c>
      <c r="Y92" s="131">
        <f t="shared" si="144"/>
        <v>0</v>
      </c>
      <c r="Z92" s="305">
        <f t="shared" ref="Z92:AC92" si="153">Z245</f>
        <v>0</v>
      </c>
      <c r="AA92" s="305">
        <f t="shared" si="153"/>
        <v>0</v>
      </c>
      <c r="AB92" s="305">
        <f t="shared" si="153"/>
        <v>0</v>
      </c>
      <c r="AC92" s="305">
        <f t="shared" si="153"/>
        <v>0</v>
      </c>
      <c r="AD92" s="131">
        <f t="shared" si="146"/>
        <v>0</v>
      </c>
      <c r="AE92" s="131">
        <f t="shared" ref="AE92:AG92" si="154">AE245</f>
        <v>0</v>
      </c>
      <c r="AF92" s="131">
        <f t="shared" si="154"/>
        <v>0</v>
      </c>
      <c r="AG92" s="131">
        <f t="shared" si="154"/>
        <v>0</v>
      </c>
      <c r="AH92" s="12"/>
      <c r="AI92" s="12"/>
      <c r="AJ92" s="12"/>
      <c r="AK92" s="12"/>
    </row>
    <row r="93" spans="1:37" ht="13.5" customHeight="1">
      <c r="A93" s="211"/>
      <c r="B93" s="12"/>
      <c r="C93" s="108" t="s">
        <v>313</v>
      </c>
      <c r="D93" s="12"/>
      <c r="E93" s="12"/>
      <c r="F93" s="304"/>
      <c r="G93" s="304"/>
      <c r="H93" s="304"/>
      <c r="I93" s="304"/>
      <c r="J93" s="131"/>
      <c r="K93" s="304"/>
      <c r="L93" s="304"/>
      <c r="M93" s="304"/>
      <c r="N93" s="304"/>
      <c r="O93" s="131"/>
      <c r="P93" s="304"/>
      <c r="Q93" s="304"/>
      <c r="R93" s="304"/>
      <c r="S93" s="304"/>
      <c r="T93" s="131"/>
      <c r="U93" s="304"/>
      <c r="V93" s="304"/>
      <c r="W93" s="304"/>
      <c r="X93" s="305">
        <f>-X241</f>
        <v>-500</v>
      </c>
      <c r="Y93" s="131">
        <f t="shared" si="144"/>
        <v>-500</v>
      </c>
      <c r="Z93" s="305">
        <f t="shared" ref="Z93:AC93" si="155">-Z241</f>
        <v>-500</v>
      </c>
      <c r="AA93" s="305">
        <f t="shared" si="155"/>
        <v>-500</v>
      </c>
      <c r="AB93" s="305">
        <f t="shared" si="155"/>
        <v>-500</v>
      </c>
      <c r="AC93" s="305">
        <f t="shared" si="155"/>
        <v>-500</v>
      </c>
      <c r="AD93" s="131">
        <f t="shared" si="146"/>
        <v>-2000</v>
      </c>
      <c r="AE93" s="131">
        <f t="shared" ref="AE93:AG93" si="156">-AE241</f>
        <v>-3000</v>
      </c>
      <c r="AF93" s="131">
        <f t="shared" si="156"/>
        <v>-3000</v>
      </c>
      <c r="AG93" s="131">
        <f t="shared" si="156"/>
        <v>-3000</v>
      </c>
      <c r="AH93" s="12"/>
      <c r="AI93" s="12"/>
      <c r="AJ93" s="12"/>
      <c r="AK93" s="12"/>
    </row>
    <row r="94" spans="1:37" ht="13.5" customHeight="1">
      <c r="A94" s="211"/>
      <c r="B94" s="12"/>
      <c r="C94" s="108" t="s">
        <v>314</v>
      </c>
      <c r="D94" s="12"/>
      <c r="E94" s="12"/>
      <c r="F94" s="304"/>
      <c r="G94" s="304"/>
      <c r="H94" s="304"/>
      <c r="I94" s="304"/>
      <c r="J94" s="131"/>
      <c r="K94" s="304"/>
      <c r="L94" s="304"/>
      <c r="M94" s="304"/>
      <c r="N94" s="304"/>
      <c r="O94" s="131"/>
      <c r="P94" s="304"/>
      <c r="Q94" s="304"/>
      <c r="R94" s="304"/>
      <c r="S94" s="304"/>
      <c r="T94" s="131"/>
      <c r="U94" s="304"/>
      <c r="V94" s="304"/>
      <c r="W94" s="304"/>
      <c r="X94" s="305">
        <f>-X267</f>
        <v>-519.79999999999995</v>
      </c>
      <c r="Y94" s="131">
        <f t="shared" si="144"/>
        <v>-519.79999999999995</v>
      </c>
      <c r="Z94" s="305">
        <f t="shared" ref="Z94:AC94" si="157">-Z267</f>
        <v>-505.99999999999994</v>
      </c>
      <c r="AA94" s="305">
        <f t="shared" si="157"/>
        <v>-494.49999999999994</v>
      </c>
      <c r="AB94" s="305">
        <f t="shared" si="157"/>
        <v>-647.44999999999993</v>
      </c>
      <c r="AC94" s="305">
        <f t="shared" si="157"/>
        <v>-597.76999999999987</v>
      </c>
      <c r="AD94" s="131">
        <f t="shared" si="146"/>
        <v>-2245.7199999999998</v>
      </c>
      <c r="AE94" s="131">
        <f t="shared" ref="AE94:AG94" si="158">-AE267</f>
        <v>-2470.2919999999999</v>
      </c>
      <c r="AF94" s="131">
        <f t="shared" si="158"/>
        <v>-2717.3212000000003</v>
      </c>
      <c r="AG94" s="131">
        <f t="shared" si="158"/>
        <v>-2989.0533200000004</v>
      </c>
      <c r="AH94" s="12"/>
      <c r="AI94" s="12"/>
      <c r="AJ94" s="12"/>
      <c r="AK94" s="12"/>
    </row>
    <row r="95" spans="1:37" ht="13.5" customHeight="1">
      <c r="A95" s="211"/>
      <c r="B95" s="12"/>
      <c r="C95" s="108" t="s">
        <v>315</v>
      </c>
      <c r="D95" s="12"/>
      <c r="E95" s="12"/>
      <c r="F95" s="300"/>
      <c r="G95" s="300"/>
      <c r="H95" s="300"/>
      <c r="I95" s="300"/>
      <c r="J95" s="301"/>
      <c r="K95" s="300"/>
      <c r="L95" s="300"/>
      <c r="M95" s="300"/>
      <c r="N95" s="300"/>
      <c r="O95" s="301"/>
      <c r="P95" s="300"/>
      <c r="Q95" s="300"/>
      <c r="R95" s="300"/>
      <c r="S95" s="300"/>
      <c r="T95" s="301"/>
      <c r="U95" s="300"/>
      <c r="V95" s="300"/>
      <c r="W95" s="300"/>
      <c r="X95" s="331">
        <f>Drivers!X106</f>
        <v>0</v>
      </c>
      <c r="Y95" s="301">
        <f t="shared" si="144"/>
        <v>0</v>
      </c>
      <c r="Z95" s="331">
        <f>Drivers!Z106</f>
        <v>0</v>
      </c>
      <c r="AA95" s="331">
        <f>Drivers!AA106</f>
        <v>0</v>
      </c>
      <c r="AB95" s="331">
        <f>Drivers!AB106</f>
        <v>0</v>
      </c>
      <c r="AC95" s="331">
        <f>Drivers!AC106</f>
        <v>0</v>
      </c>
      <c r="AD95" s="301">
        <f t="shared" si="146"/>
        <v>0</v>
      </c>
      <c r="AE95" s="337">
        <f>Drivers!AE106</f>
        <v>0</v>
      </c>
      <c r="AF95" s="337">
        <f>Drivers!AF106</f>
        <v>0</v>
      </c>
      <c r="AG95" s="337">
        <f>Drivers!AG106</f>
        <v>0</v>
      </c>
      <c r="AH95" s="12"/>
      <c r="AI95" s="12"/>
      <c r="AJ95" s="12"/>
      <c r="AK95" s="12"/>
    </row>
    <row r="96" spans="1:37" ht="13.5" customHeight="1">
      <c r="A96" s="211"/>
      <c r="B96" s="12"/>
      <c r="C96" s="108" t="s">
        <v>316</v>
      </c>
      <c r="D96" s="12"/>
      <c r="E96" s="12"/>
      <c r="F96" s="299"/>
      <c r="G96" s="299"/>
      <c r="H96" s="299"/>
      <c r="I96" s="299"/>
      <c r="J96" s="228"/>
      <c r="K96" s="299"/>
      <c r="L96" s="299"/>
      <c r="M96" s="299"/>
      <c r="N96" s="299"/>
      <c r="O96" s="228"/>
      <c r="P96" s="299"/>
      <c r="Q96" s="299"/>
      <c r="R96" s="299"/>
      <c r="S96" s="299"/>
      <c r="T96" s="228"/>
      <c r="U96" s="299"/>
      <c r="V96" s="299"/>
      <c r="W96" s="299"/>
      <c r="X96" s="227" t="str">
        <f ca="1">SUM(X89:X95)</f>
        <v/>
      </c>
      <c r="Y96" s="228" t="str">
        <f t="shared" ca="1" si="144"/>
        <v>#REF!</v>
      </c>
      <c r="Z96" s="227" t="str">
        <f t="shared" ref="Z96:AC96" ca="1" si="159">SUM(Z89:Z95)</f>
        <v/>
      </c>
      <c r="AA96" s="227" t="str">
        <f t="shared" ca="1" si="159"/>
        <v>#REF!</v>
      </c>
      <c r="AB96" s="227" t="str">
        <f t="shared" ca="1" si="159"/>
        <v>#REF!</v>
      </c>
      <c r="AC96" s="227" t="str">
        <f t="shared" ca="1" si="159"/>
        <v>#REF!</v>
      </c>
      <c r="AD96" s="228" t="str">
        <f t="shared" ca="1" si="146"/>
        <v>#REF!</v>
      </c>
      <c r="AE96" s="228" t="str">
        <f t="shared" ref="AE96:AG96" ca="1" si="160">SUM(AE89:AE95)</f>
        <v/>
      </c>
      <c r="AF96" s="228" t="str">
        <f t="shared" ca="1" si="160"/>
        <v>#REF!</v>
      </c>
      <c r="AG96" s="228" t="str">
        <f t="shared" ca="1" si="160"/>
        <v>#REF!</v>
      </c>
      <c r="AH96" s="12"/>
      <c r="AI96" s="12"/>
      <c r="AJ96" s="12"/>
      <c r="AK96" s="12"/>
    </row>
    <row r="97" spans="1:37" ht="13.5" customHeight="1">
      <c r="A97" s="211"/>
      <c r="B97" s="12"/>
      <c r="C97" s="108"/>
      <c r="D97" s="12"/>
      <c r="E97" s="12"/>
      <c r="F97" s="261"/>
      <c r="G97" s="261"/>
      <c r="H97" s="299"/>
      <c r="I97" s="261"/>
      <c r="J97" s="12"/>
      <c r="K97" s="261"/>
      <c r="L97" s="261"/>
      <c r="M97" s="299"/>
      <c r="N97" s="261"/>
      <c r="O97" s="12"/>
      <c r="P97" s="261"/>
      <c r="Q97" s="261"/>
      <c r="R97" s="299"/>
      <c r="S97" s="261"/>
      <c r="T97" s="12"/>
      <c r="U97" s="261"/>
      <c r="V97" s="261"/>
      <c r="W97" s="299"/>
      <c r="X97" s="227"/>
      <c r="Y97" s="12"/>
      <c r="Z97" s="227"/>
      <c r="AA97" s="227"/>
      <c r="AB97" s="227"/>
      <c r="AC97" s="227"/>
      <c r="AD97" s="12"/>
      <c r="AE97" s="12"/>
      <c r="AF97" s="12"/>
      <c r="AG97" s="12"/>
      <c r="AH97" s="12"/>
      <c r="AI97" s="12"/>
      <c r="AJ97" s="12"/>
      <c r="AK97" s="12"/>
    </row>
    <row r="98" spans="1:37" ht="13.5" customHeight="1">
      <c r="A98" s="211"/>
      <c r="B98" s="12"/>
      <c r="C98" s="108" t="s">
        <v>317</v>
      </c>
      <c r="D98" s="12"/>
      <c r="E98" s="12"/>
      <c r="F98" s="304"/>
      <c r="G98" s="304"/>
      <c r="H98" s="304"/>
      <c r="I98" s="304"/>
      <c r="J98" s="131"/>
      <c r="K98" s="304"/>
      <c r="L98" s="304"/>
      <c r="M98" s="304"/>
      <c r="N98" s="304"/>
      <c r="O98" s="131"/>
      <c r="P98" s="304"/>
      <c r="Q98" s="304"/>
      <c r="R98" s="304"/>
      <c r="S98" s="304"/>
      <c r="T98" s="131"/>
      <c r="U98" s="304"/>
      <c r="V98" s="304"/>
      <c r="W98" s="304"/>
      <c r="X98" s="307">
        <f>Drivers!X108</f>
        <v>0</v>
      </c>
      <c r="Y98" s="131">
        <f t="shared" ref="Y98:Y100" si="161">SUM(U98:X98)</f>
        <v>0</v>
      </c>
      <c r="Z98" s="307">
        <f>Drivers!Z108</f>
        <v>0</v>
      </c>
      <c r="AA98" s="307">
        <f>Drivers!AA108</f>
        <v>0</v>
      </c>
      <c r="AB98" s="307">
        <f>Drivers!AB108</f>
        <v>0</v>
      </c>
      <c r="AC98" s="307">
        <f>Drivers!AC108</f>
        <v>0</v>
      </c>
      <c r="AD98" s="131">
        <f t="shared" ref="AD98:AD100" si="162">SUM(Z98:AC98)</f>
        <v>0</v>
      </c>
      <c r="AE98" s="308">
        <f>Drivers!AE108</f>
        <v>0</v>
      </c>
      <c r="AF98" s="308">
        <f>Drivers!AF108</f>
        <v>0</v>
      </c>
      <c r="AG98" s="308">
        <f>Drivers!AG108</f>
        <v>0</v>
      </c>
      <c r="AH98" s="12"/>
      <c r="AI98" s="12"/>
      <c r="AJ98" s="12"/>
      <c r="AK98" s="12"/>
    </row>
    <row r="99" spans="1:37" ht="13.5" customHeight="1">
      <c r="A99" s="211"/>
      <c r="B99" s="12"/>
      <c r="C99" s="108" t="s">
        <v>318</v>
      </c>
      <c r="D99" s="12"/>
      <c r="E99" s="12"/>
      <c r="F99" s="304"/>
      <c r="G99" s="304"/>
      <c r="H99" s="304"/>
      <c r="I99" s="304"/>
      <c r="J99" s="131"/>
      <c r="K99" s="304"/>
      <c r="L99" s="304"/>
      <c r="M99" s="304"/>
      <c r="N99" s="304"/>
      <c r="O99" s="131"/>
      <c r="P99" s="304"/>
      <c r="Q99" s="304"/>
      <c r="R99" s="304"/>
      <c r="S99" s="304"/>
      <c r="T99" s="131"/>
      <c r="U99" s="304"/>
      <c r="V99" s="304"/>
      <c r="W99" s="304"/>
      <c r="X99" s="311">
        <v>0</v>
      </c>
      <c r="Y99" s="131">
        <f t="shared" si="161"/>
        <v>0</v>
      </c>
      <c r="Z99" s="311">
        <v>0</v>
      </c>
      <c r="AA99" s="311">
        <v>0</v>
      </c>
      <c r="AB99" s="311">
        <v>0</v>
      </c>
      <c r="AC99" s="311">
        <v>0</v>
      </c>
      <c r="AD99" s="131">
        <f t="shared" si="162"/>
        <v>0</v>
      </c>
      <c r="AE99" s="312">
        <v>0</v>
      </c>
      <c r="AF99" s="312">
        <v>0</v>
      </c>
      <c r="AG99" s="312">
        <v>0</v>
      </c>
      <c r="AH99" s="12"/>
      <c r="AI99" s="12"/>
      <c r="AJ99" s="12"/>
      <c r="AK99" s="12"/>
    </row>
    <row r="100" spans="1:37" ht="13.5" customHeight="1">
      <c r="A100" s="211"/>
      <c r="B100" s="12"/>
      <c r="C100" s="108" t="s">
        <v>319</v>
      </c>
      <c r="D100" s="12"/>
      <c r="E100" s="12"/>
      <c r="F100" s="304"/>
      <c r="G100" s="304"/>
      <c r="H100" s="304"/>
      <c r="I100" s="304"/>
      <c r="J100" s="131"/>
      <c r="K100" s="304"/>
      <c r="L100" s="304"/>
      <c r="M100" s="304"/>
      <c r="N100" s="304"/>
      <c r="O100" s="131"/>
      <c r="P100" s="304"/>
      <c r="Q100" s="304"/>
      <c r="R100" s="304"/>
      <c r="S100" s="304"/>
      <c r="T100" s="131"/>
      <c r="U100" s="304"/>
      <c r="V100" s="304"/>
      <c r="W100" s="304"/>
      <c r="X100" s="311">
        <v>0</v>
      </c>
      <c r="Y100" s="131">
        <f t="shared" si="161"/>
        <v>0</v>
      </c>
      <c r="Z100" s="311">
        <v>0</v>
      </c>
      <c r="AA100" s="311">
        <v>0</v>
      </c>
      <c r="AB100" s="311">
        <v>0</v>
      </c>
      <c r="AC100" s="311">
        <v>0</v>
      </c>
      <c r="AD100" s="131">
        <f t="shared" si="162"/>
        <v>0</v>
      </c>
      <c r="AE100" s="312">
        <v>0</v>
      </c>
      <c r="AF100" s="312">
        <v>0</v>
      </c>
      <c r="AG100" s="312">
        <v>0</v>
      </c>
      <c r="AH100" s="12"/>
      <c r="AI100" s="12"/>
      <c r="AJ100" s="12"/>
      <c r="AK100" s="12"/>
    </row>
    <row r="101" spans="1:37" ht="13.5" customHeight="1">
      <c r="A101" s="211"/>
      <c r="B101" s="12"/>
      <c r="C101" s="108"/>
      <c r="D101" s="12"/>
      <c r="E101" s="12"/>
      <c r="F101" s="261"/>
      <c r="G101" s="261"/>
      <c r="H101" s="261"/>
      <c r="I101" s="261"/>
      <c r="J101" s="12"/>
      <c r="K101" s="261"/>
      <c r="L101" s="261"/>
      <c r="M101" s="261"/>
      <c r="N101" s="261"/>
      <c r="O101" s="12"/>
      <c r="P101" s="261"/>
      <c r="Q101" s="261"/>
      <c r="R101" s="261"/>
      <c r="S101" s="261"/>
      <c r="T101" s="12"/>
      <c r="U101" s="261"/>
      <c r="V101" s="261"/>
      <c r="W101" s="261"/>
      <c r="X101" s="262"/>
      <c r="Y101" s="12"/>
      <c r="Z101" s="262"/>
      <c r="AA101" s="262"/>
      <c r="AB101" s="262"/>
      <c r="AC101" s="262"/>
      <c r="AD101" s="12"/>
      <c r="AE101" s="12"/>
      <c r="AF101" s="12"/>
      <c r="AG101" s="12"/>
      <c r="AH101" s="12"/>
      <c r="AI101" s="12"/>
      <c r="AJ101" s="12"/>
      <c r="AK101" s="12"/>
    </row>
    <row r="102" spans="1:37" ht="13.5" customHeight="1">
      <c r="A102" s="211"/>
      <c r="B102" s="12"/>
      <c r="C102" s="108" t="s">
        <v>320</v>
      </c>
      <c r="D102" s="12"/>
      <c r="E102" s="12"/>
      <c r="F102" s="338"/>
      <c r="G102" s="339"/>
      <c r="H102" s="339"/>
      <c r="I102" s="339"/>
      <c r="J102" s="228"/>
      <c r="K102" s="339"/>
      <c r="L102" s="339"/>
      <c r="M102" s="339"/>
      <c r="N102" s="339"/>
      <c r="O102" s="228"/>
      <c r="P102" s="339"/>
      <c r="Q102" s="339"/>
      <c r="R102" s="339"/>
      <c r="S102" s="339"/>
      <c r="T102" s="228"/>
      <c r="U102" s="339"/>
      <c r="V102" s="339"/>
      <c r="W102" s="339"/>
      <c r="X102" s="227">
        <f>W104+X99</f>
        <v>6673</v>
      </c>
      <c r="Y102" s="228">
        <f>X102</f>
        <v>6673</v>
      </c>
      <c r="Z102" s="227" t="str">
        <f t="shared" ref="Z102:AC102" ca="1" si="163">Y104+Z99</f>
        <v/>
      </c>
      <c r="AA102" s="227" t="str">
        <f t="shared" ca="1" si="163"/>
        <v>#REF!</v>
      </c>
      <c r="AB102" s="227" t="str">
        <f t="shared" ca="1" si="163"/>
        <v>#REF!</v>
      </c>
      <c r="AC102" s="227" t="str">
        <f t="shared" ca="1" si="163"/>
        <v>#REF!</v>
      </c>
      <c r="AD102" s="228" t="str">
        <f ca="1">Z102</f>
        <v/>
      </c>
      <c r="AE102" s="228" t="str">
        <f t="shared" ref="AE102:AG102" ca="1" si="164">AD104+AE99</f>
        <v/>
      </c>
      <c r="AF102" s="228" t="str">
        <f t="shared" ca="1" si="164"/>
        <v>#REF!</v>
      </c>
      <c r="AG102" s="228" t="str">
        <f t="shared" ca="1" si="164"/>
        <v>#REF!</v>
      </c>
      <c r="AH102" s="12"/>
      <c r="AI102" s="12"/>
      <c r="AJ102" s="12"/>
      <c r="AK102" s="12"/>
    </row>
    <row r="103" spans="1:37" ht="13.5" customHeight="1">
      <c r="A103" s="211"/>
      <c r="B103" s="12"/>
      <c r="C103" s="108" t="s">
        <v>321</v>
      </c>
      <c r="D103" s="12"/>
      <c r="E103" s="12"/>
      <c r="F103" s="340"/>
      <c r="G103" s="340"/>
      <c r="H103" s="340"/>
      <c r="I103" s="340"/>
      <c r="J103" s="301"/>
      <c r="K103" s="340"/>
      <c r="L103" s="340"/>
      <c r="M103" s="340"/>
      <c r="N103" s="340"/>
      <c r="O103" s="301"/>
      <c r="P103" s="340"/>
      <c r="Q103" s="340"/>
      <c r="R103" s="340"/>
      <c r="S103" s="340"/>
      <c r="T103" s="301"/>
      <c r="U103" s="340"/>
      <c r="V103" s="340"/>
      <c r="W103" s="340"/>
      <c r="X103" s="302" t="str">
        <f ca="1">SUM(X87,X96,X98,X100)</f>
        <v/>
      </c>
      <c r="Y103" s="301" t="str">
        <f ca="1">SUM(U103:X103)</f>
        <v/>
      </c>
      <c r="Z103" s="302" t="str">
        <f t="shared" ref="Z103:AC103" ca="1" si="165">SUM(Z87,Z96,Z98,Z100)</f>
        <v/>
      </c>
      <c r="AA103" s="302" t="str">
        <f t="shared" ca="1" si="165"/>
        <v>#REF!</v>
      </c>
      <c r="AB103" s="302" t="str">
        <f t="shared" ca="1" si="165"/>
        <v>#REF!</v>
      </c>
      <c r="AC103" s="302" t="str">
        <f t="shared" ca="1" si="165"/>
        <v>#REF!</v>
      </c>
      <c r="AD103" s="301" t="str">
        <f ca="1">SUM(Z103:AC103)</f>
        <v/>
      </c>
      <c r="AE103" s="301" t="str">
        <f t="shared" ref="AE103:AG103" ca="1" si="166">SUM(AE87,AE96,AE98,AE100)</f>
        <v/>
      </c>
      <c r="AF103" s="301" t="str">
        <f t="shared" ca="1" si="166"/>
        <v>#REF!</v>
      </c>
      <c r="AG103" s="301" t="str">
        <f t="shared" ca="1" si="166"/>
        <v>#REF!</v>
      </c>
      <c r="AH103" s="12"/>
      <c r="AI103" s="12"/>
      <c r="AJ103" s="12"/>
      <c r="AK103" s="12"/>
    </row>
    <row r="104" spans="1:37" ht="13.5" customHeight="1">
      <c r="A104" s="211"/>
      <c r="B104" s="12"/>
      <c r="C104" s="108" t="s">
        <v>322</v>
      </c>
      <c r="D104" s="12"/>
      <c r="E104" s="12"/>
      <c r="F104" s="339"/>
      <c r="G104" s="339"/>
      <c r="H104" s="339"/>
      <c r="I104" s="339"/>
      <c r="J104" s="228"/>
      <c r="K104" s="339"/>
      <c r="L104" s="339"/>
      <c r="M104" s="339"/>
      <c r="N104" s="339"/>
      <c r="O104" s="228"/>
      <c r="P104" s="339"/>
      <c r="Q104" s="339"/>
      <c r="R104" s="339"/>
      <c r="S104" s="339"/>
      <c r="T104" s="341"/>
      <c r="U104" s="339"/>
      <c r="V104" s="338"/>
      <c r="W104" s="338">
        <v>6673</v>
      </c>
      <c r="X104" s="227" t="str">
        <f t="shared" ref="X104:AG104" ca="1" si="167">SUM(X102:X103)</f>
        <v/>
      </c>
      <c r="Y104" s="228" t="str">
        <f t="shared" ca="1" si="167"/>
        <v>#REF!</v>
      </c>
      <c r="Z104" s="227" t="str">
        <f t="shared" ca="1" si="167"/>
        <v>#REF!</v>
      </c>
      <c r="AA104" s="227" t="str">
        <f t="shared" ca="1" si="167"/>
        <v>#REF!</v>
      </c>
      <c r="AB104" s="227" t="str">
        <f t="shared" ca="1" si="167"/>
        <v>#REF!</v>
      </c>
      <c r="AC104" s="227" t="str">
        <f t="shared" ca="1" si="167"/>
        <v>#REF!</v>
      </c>
      <c r="AD104" s="228" t="str">
        <f t="shared" ca="1" si="167"/>
        <v>#REF!</v>
      </c>
      <c r="AE104" s="228" t="str">
        <f t="shared" ca="1" si="167"/>
        <v>#REF!</v>
      </c>
      <c r="AF104" s="228" t="str">
        <f t="shared" ca="1" si="167"/>
        <v>#REF!</v>
      </c>
      <c r="AG104" s="228" t="str">
        <f t="shared" ca="1" si="167"/>
        <v>#REF!</v>
      </c>
      <c r="AH104" s="12"/>
      <c r="AI104" s="12"/>
      <c r="AJ104" s="12"/>
      <c r="AK104" s="12"/>
    </row>
    <row r="105" spans="1:37" ht="13.5" customHeight="1">
      <c r="A105" s="211"/>
      <c r="B105" s="12"/>
      <c r="C105" s="108"/>
      <c r="D105" s="12"/>
      <c r="E105" s="12"/>
      <c r="F105" s="261"/>
      <c r="G105" s="261"/>
      <c r="H105" s="261"/>
      <c r="I105" s="261"/>
      <c r="J105" s="12"/>
      <c r="K105" s="261"/>
      <c r="L105" s="261"/>
      <c r="M105" s="261"/>
      <c r="N105" s="261"/>
      <c r="O105" s="12"/>
      <c r="P105" s="261"/>
      <c r="Q105" s="261"/>
      <c r="R105" s="261"/>
      <c r="S105" s="261"/>
      <c r="T105" s="12"/>
      <c r="U105" s="261"/>
      <c r="V105" s="261"/>
      <c r="W105" s="261"/>
      <c r="X105" s="262"/>
      <c r="Y105" s="12"/>
      <c r="Z105" s="262"/>
      <c r="AA105" s="262"/>
      <c r="AB105" s="262"/>
      <c r="AC105" s="262"/>
      <c r="AD105" s="12"/>
      <c r="AE105" s="12"/>
      <c r="AF105" s="12"/>
      <c r="AG105" s="12"/>
      <c r="AH105" s="12"/>
      <c r="AI105" s="12"/>
      <c r="AJ105" s="12"/>
      <c r="AK105" s="12"/>
    </row>
    <row r="106" spans="1:37" ht="13.5" customHeight="1">
      <c r="A106" s="211" t="s">
        <v>1</v>
      </c>
      <c r="B106" s="12"/>
      <c r="C106" s="36" t="s">
        <v>323</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42"/>
      <c r="AH106" s="211" t="s">
        <v>1</v>
      </c>
      <c r="AI106" s="12"/>
      <c r="AJ106" s="12"/>
      <c r="AK106" s="12"/>
    </row>
    <row r="107" spans="1:37" ht="13.5" customHeight="1">
      <c r="A107" s="211"/>
      <c r="B107" s="12"/>
      <c r="C107" s="12"/>
      <c r="D107" s="12"/>
      <c r="E107" s="12"/>
      <c r="F107" s="261"/>
      <c r="G107" s="261"/>
      <c r="H107" s="261"/>
      <c r="I107" s="261"/>
      <c r="J107" s="12"/>
      <c r="K107" s="261"/>
      <c r="L107" s="261"/>
      <c r="M107" s="261"/>
      <c r="N107" s="261"/>
      <c r="O107" s="12"/>
      <c r="P107" s="261"/>
      <c r="Q107" s="261"/>
      <c r="R107" s="261"/>
      <c r="S107" s="261"/>
      <c r="T107" s="12"/>
      <c r="U107" s="261"/>
      <c r="V107" s="261"/>
      <c r="W107" s="261"/>
      <c r="X107" s="262"/>
      <c r="Y107" s="12"/>
      <c r="Z107" s="262"/>
      <c r="AA107" s="262"/>
      <c r="AB107" s="262"/>
      <c r="AC107" s="262"/>
      <c r="AD107" s="12"/>
      <c r="AE107" s="12"/>
      <c r="AF107" s="12"/>
      <c r="AG107" s="12"/>
      <c r="AH107" s="12"/>
      <c r="AI107" s="12"/>
      <c r="AJ107" s="12"/>
      <c r="AK107" s="12"/>
    </row>
    <row r="108" spans="1:37" ht="13.5" customHeight="1">
      <c r="A108" s="211"/>
      <c r="B108" s="12"/>
      <c r="C108" s="12" t="s">
        <v>300</v>
      </c>
      <c r="D108" s="12"/>
      <c r="E108" s="12"/>
      <c r="F108" s="330">
        <f t="shared" ref="F108:AG108" si="168">F45</f>
        <v>1305.1200000000003</v>
      </c>
      <c r="G108" s="330">
        <f t="shared" si="168"/>
        <v>1487.61</v>
      </c>
      <c r="H108" s="330">
        <f t="shared" si="168"/>
        <v>1677.422</v>
      </c>
      <c r="I108" s="330">
        <f t="shared" si="168"/>
        <v>-10929.093999999997</v>
      </c>
      <c r="J108" s="131">
        <f t="shared" si="168"/>
        <v>-6458.9419999999973</v>
      </c>
      <c r="K108" s="330">
        <f t="shared" si="168"/>
        <v>2332.2090000000003</v>
      </c>
      <c r="L108" s="330">
        <f t="shared" si="168"/>
        <v>2147.3059999999996</v>
      </c>
      <c r="M108" s="330">
        <f t="shared" si="168"/>
        <v>2363.5089999999996</v>
      </c>
      <c r="N108" s="330">
        <f t="shared" si="168"/>
        <v>1868.607</v>
      </c>
      <c r="O108" s="131">
        <f t="shared" si="168"/>
        <v>8711.6309999999994</v>
      </c>
      <c r="P108" s="330">
        <f t="shared" si="168"/>
        <v>2890.3510000000001</v>
      </c>
      <c r="Q108" s="330">
        <f t="shared" si="168"/>
        <v>3125.413</v>
      </c>
      <c r="R108" s="330">
        <f t="shared" si="168"/>
        <v>2546.9160000000002</v>
      </c>
      <c r="S108" s="330">
        <f t="shared" si="168"/>
        <v>2418.5210000000006</v>
      </c>
      <c r="T108" s="131">
        <f t="shared" si="168"/>
        <v>10981.201000000001</v>
      </c>
      <c r="U108" s="330">
        <f t="shared" si="168"/>
        <v>5282.7910000000002</v>
      </c>
      <c r="V108" s="330">
        <f t="shared" si="168"/>
        <v>3018</v>
      </c>
      <c r="W108" s="330">
        <f t="shared" si="168"/>
        <v>1896</v>
      </c>
      <c r="X108" s="305" t="str">
        <f t="shared" ca="1" si="168"/>
        <v>#REF!</v>
      </c>
      <c r="Y108" s="131" t="str">
        <f t="shared" ca="1" si="168"/>
        <v>#REF!</v>
      </c>
      <c r="Z108" s="305" t="str">
        <f t="shared" ca="1" si="168"/>
        <v>#REF!</v>
      </c>
      <c r="AA108" s="305" t="str">
        <f t="shared" ca="1" si="168"/>
        <v>#REF!</v>
      </c>
      <c r="AB108" s="305" t="str">
        <f t="shared" ca="1" si="168"/>
        <v>#REF!</v>
      </c>
      <c r="AC108" s="305" t="str">
        <f t="shared" ca="1" si="168"/>
        <v>#REF!</v>
      </c>
      <c r="AD108" s="131" t="str">
        <f t="shared" ca="1" si="168"/>
        <v>#REF!</v>
      </c>
      <c r="AE108" s="131" t="str">
        <f t="shared" ca="1" si="168"/>
        <v>#REF!</v>
      </c>
      <c r="AF108" s="131" t="str">
        <f t="shared" ca="1" si="168"/>
        <v>#REF!</v>
      </c>
      <c r="AG108" s="131" t="str">
        <f t="shared" ca="1" si="168"/>
        <v>#REF!</v>
      </c>
      <c r="AH108" s="12"/>
      <c r="AI108" s="12"/>
      <c r="AJ108" s="12"/>
      <c r="AK108" s="12"/>
    </row>
    <row r="109" spans="1:37" ht="13.5" customHeight="1">
      <c r="A109" s="211"/>
      <c r="B109" s="12"/>
      <c r="C109" s="12" t="s">
        <v>273</v>
      </c>
      <c r="D109" s="12"/>
      <c r="E109" s="12"/>
      <c r="F109" s="330">
        <f t="shared" ref="F109:I109" si="169">-F194+-F208</f>
        <v>90.334999999999994</v>
      </c>
      <c r="G109" s="330">
        <f t="shared" si="169"/>
        <v>89.385000000000005</v>
      </c>
      <c r="H109" s="330">
        <f t="shared" si="169"/>
        <v>90.66</v>
      </c>
      <c r="I109" s="330">
        <f t="shared" si="169"/>
        <v>86.519999999999982</v>
      </c>
      <c r="J109" s="131">
        <f t="shared" ref="J109:J111" si="170">SUM(F109:I109)</f>
        <v>356.9</v>
      </c>
      <c r="K109" s="330">
        <f t="shared" ref="K109:N109" si="171">-K194+-K208</f>
        <v>87.233999999999995</v>
      </c>
      <c r="L109" s="330">
        <f t="shared" si="171"/>
        <v>81.227000000000004</v>
      </c>
      <c r="M109" s="330">
        <f t="shared" si="171"/>
        <v>80.914000000000001</v>
      </c>
      <c r="N109" s="330">
        <f t="shared" si="171"/>
        <v>79.539000000000001</v>
      </c>
      <c r="O109" s="131">
        <f t="shared" ref="O109:O111" si="172">SUM(K109:N109)</f>
        <v>328.91399999999999</v>
      </c>
      <c r="P109" s="330">
        <f t="shared" ref="P109:S109" si="173">-P194+-P208</f>
        <v>80.066999999999993</v>
      </c>
      <c r="Q109" s="330">
        <f t="shared" si="173"/>
        <v>80.013000000000005</v>
      </c>
      <c r="R109" s="330">
        <f t="shared" si="173"/>
        <v>87.325999999999993</v>
      </c>
      <c r="S109" s="330">
        <f t="shared" si="173"/>
        <v>85.983000000000004</v>
      </c>
      <c r="T109" s="131">
        <f t="shared" ref="T109:T111" si="174">SUM(P109:S109)</f>
        <v>333.38900000000001</v>
      </c>
      <c r="U109" s="330">
        <f t="shared" ref="U109:X109" si="175">-U194+-U208</f>
        <v>98.575000000000003</v>
      </c>
      <c r="V109" s="330">
        <f t="shared" si="175"/>
        <v>409</v>
      </c>
      <c r="W109" s="330">
        <f t="shared" si="175"/>
        <v>425</v>
      </c>
      <c r="X109" s="305">
        <f t="shared" si="175"/>
        <v>331.18750000000006</v>
      </c>
      <c r="Y109" s="131">
        <f t="shared" ref="Y109:Y111" si="176">SUM(U109:X109)</f>
        <v>1263.7625</v>
      </c>
      <c r="Z109" s="305">
        <f t="shared" ref="Z109:AC109" si="177">-Z194+-Z208</f>
        <v>331.86891850000006</v>
      </c>
      <c r="AA109" s="305">
        <f t="shared" si="177"/>
        <v>336.85146518625004</v>
      </c>
      <c r="AB109" s="305">
        <f t="shared" si="177"/>
        <v>342.23237867969067</v>
      </c>
      <c r="AC109" s="305">
        <f t="shared" si="177"/>
        <v>343.91086566405204</v>
      </c>
      <c r="AD109" s="131">
        <f t="shared" ref="AD109:AD111" si="178">SUM(Z109:AC109)</f>
        <v>1354.8636280299929</v>
      </c>
      <c r="AE109" s="131">
        <f t="shared" ref="AE109:AG109" si="179">-AE194+-AE208</f>
        <v>1420.1551602334257</v>
      </c>
      <c r="AF109" s="131">
        <f t="shared" si="179"/>
        <v>1472.4758318906811</v>
      </c>
      <c r="AG109" s="131">
        <f t="shared" si="179"/>
        <v>1524.1208520524956</v>
      </c>
      <c r="AH109" s="12"/>
      <c r="AI109" s="12"/>
      <c r="AJ109" s="12"/>
      <c r="AK109" s="12"/>
    </row>
    <row r="110" spans="1:37" ht="13.5" customHeight="1">
      <c r="A110" s="211"/>
      <c r="B110" s="12"/>
      <c r="C110" s="12" t="s">
        <v>324</v>
      </c>
      <c r="D110" s="12"/>
      <c r="E110" s="12"/>
      <c r="F110" s="330">
        <f t="shared" ref="F110:I110" si="180">F178</f>
        <v>0</v>
      </c>
      <c r="G110" s="330">
        <f t="shared" si="180"/>
        <v>-1342.3870000000006</v>
      </c>
      <c r="H110" s="330">
        <f t="shared" si="180"/>
        <v>560.94499999999971</v>
      </c>
      <c r="I110" s="330">
        <f t="shared" si="180"/>
        <v>-16.983000000000175</v>
      </c>
      <c r="J110" s="131">
        <f t="shared" si="170"/>
        <v>-798.42500000000109</v>
      </c>
      <c r="K110" s="330">
        <f t="shared" ref="K110:N110" si="181">K178</f>
        <v>-2605.0640000000003</v>
      </c>
      <c r="L110" s="330">
        <f t="shared" si="181"/>
        <v>1287.2090000000007</v>
      </c>
      <c r="M110" s="330">
        <f t="shared" si="181"/>
        <v>57.395999999998821</v>
      </c>
      <c r="N110" s="330">
        <f t="shared" si="181"/>
        <v>794.95600000000013</v>
      </c>
      <c r="O110" s="131">
        <f t="shared" si="172"/>
        <v>-465.50300000000061</v>
      </c>
      <c r="P110" s="330">
        <f t="shared" ref="P110:S110" si="182">P178</f>
        <v>-1389.42</v>
      </c>
      <c r="Q110" s="330">
        <f t="shared" si="182"/>
        <v>470.22900000000118</v>
      </c>
      <c r="R110" s="330">
        <f t="shared" si="182"/>
        <v>-1720.4850000000006</v>
      </c>
      <c r="S110" s="330">
        <f t="shared" si="182"/>
        <v>-373.621000000001</v>
      </c>
      <c r="T110" s="131">
        <f t="shared" si="174"/>
        <v>-3013.2970000000005</v>
      </c>
      <c r="U110" s="330">
        <f t="shared" ref="U110:X110" si="183">U178</f>
        <v>-2194.9309999999987</v>
      </c>
      <c r="V110" s="330">
        <f t="shared" si="183"/>
        <v>12176.319</v>
      </c>
      <c r="W110" s="330">
        <f t="shared" si="183"/>
        <v>-40</v>
      </c>
      <c r="X110" s="305">
        <f t="shared" si="183"/>
        <v>-1855.091793478261</v>
      </c>
      <c r="Y110" s="131">
        <f t="shared" si="176"/>
        <v>8086.2962065217398</v>
      </c>
      <c r="Z110" s="305">
        <f t="shared" ref="Z110:AC110" si="184">Z178</f>
        <v>-1777.3159203678952</v>
      </c>
      <c r="AA110" s="305">
        <f t="shared" si="184"/>
        <v>177.7483814153893</v>
      </c>
      <c r="AB110" s="305">
        <f t="shared" si="184"/>
        <v>916.79160524885083</v>
      </c>
      <c r="AC110" s="305">
        <f t="shared" si="184"/>
        <v>-168.43685088664824</v>
      </c>
      <c r="AD110" s="131">
        <f t="shared" si="178"/>
        <v>-851.21278459030327</v>
      </c>
      <c r="AE110" s="131">
        <f t="shared" ref="AE110:AG110" si="185">AE178</f>
        <v>461.05132520968255</v>
      </c>
      <c r="AF110" s="131">
        <f t="shared" si="185"/>
        <v>-142.92601939177257</v>
      </c>
      <c r="AG110" s="131">
        <f t="shared" si="185"/>
        <v>-136.42553228758334</v>
      </c>
      <c r="AH110" s="12"/>
      <c r="AI110" s="12"/>
      <c r="AJ110" s="12"/>
      <c r="AK110" s="12"/>
    </row>
    <row r="111" spans="1:37" ht="13.5" customHeight="1">
      <c r="A111" s="211"/>
      <c r="B111" s="12"/>
      <c r="C111" s="12" t="s">
        <v>121</v>
      </c>
      <c r="D111" s="12"/>
      <c r="E111" s="12"/>
      <c r="F111" s="318">
        <f t="shared" ref="F111:I111" si="186">-F193</f>
        <v>-224</v>
      </c>
      <c r="G111" s="318">
        <f t="shared" si="186"/>
        <v>-319</v>
      </c>
      <c r="H111" s="318">
        <f t="shared" si="186"/>
        <v>-303</v>
      </c>
      <c r="I111" s="318">
        <f t="shared" si="186"/>
        <v>-328</v>
      </c>
      <c r="J111" s="301">
        <f t="shared" si="170"/>
        <v>-1174</v>
      </c>
      <c r="K111" s="318">
        <f t="shared" ref="K111:N111" si="187">-K193</f>
        <v>-205</v>
      </c>
      <c r="L111" s="318">
        <f t="shared" si="187"/>
        <v>-321</v>
      </c>
      <c r="M111" s="318">
        <f t="shared" si="187"/>
        <v>-401</v>
      </c>
      <c r="N111" s="318">
        <f t="shared" si="187"/>
        <v>-557</v>
      </c>
      <c r="O111" s="301">
        <f t="shared" si="172"/>
        <v>-1484</v>
      </c>
      <c r="P111" s="318">
        <f t="shared" ref="P111:S111" si="188">-P193</f>
        <v>-328</v>
      </c>
      <c r="Q111" s="318">
        <f t="shared" si="188"/>
        <v>-382</v>
      </c>
      <c r="R111" s="318">
        <f t="shared" si="188"/>
        <v>-462</v>
      </c>
      <c r="S111" s="318">
        <f t="shared" si="188"/>
        <v>-557</v>
      </c>
      <c r="T111" s="301">
        <f t="shared" si="174"/>
        <v>-1729</v>
      </c>
      <c r="U111" s="318">
        <f t="shared" ref="U111:X111" si="189">-U193</f>
        <v>-461</v>
      </c>
      <c r="V111" s="318">
        <f t="shared" si="189"/>
        <v>-385</v>
      </c>
      <c r="W111" s="318">
        <f t="shared" si="189"/>
        <v>-410</v>
      </c>
      <c r="X111" s="302">
        <f t="shared" si="189"/>
        <v>-370.12569999999999</v>
      </c>
      <c r="Y111" s="301">
        <f t="shared" si="176"/>
        <v>-1626.1257000000001</v>
      </c>
      <c r="Z111" s="302">
        <f t="shared" ref="Z111:AC111" si="190">-Z193</f>
        <v>-616.58587199999999</v>
      </c>
      <c r="AA111" s="302">
        <f t="shared" si="190"/>
        <v>-644.33223623999993</v>
      </c>
      <c r="AB111" s="302">
        <f t="shared" si="190"/>
        <v>-438.14592064320004</v>
      </c>
      <c r="AC111" s="302">
        <f t="shared" si="190"/>
        <v>-416.23862461104</v>
      </c>
      <c r="AD111" s="301">
        <f t="shared" si="178"/>
        <v>-2115.3026534942401</v>
      </c>
      <c r="AE111" s="301">
        <f t="shared" ref="AE111:AG111" si="191">-AE193</f>
        <v>-2146.8311554730876</v>
      </c>
      <c r="AF111" s="301">
        <f t="shared" si="191"/>
        <v>-2189.7677785825495</v>
      </c>
      <c r="AG111" s="301">
        <f t="shared" si="191"/>
        <v>-2345.2412908619103</v>
      </c>
      <c r="AH111" s="12"/>
      <c r="AI111" s="12"/>
      <c r="AJ111" s="12"/>
      <c r="AK111" s="12"/>
    </row>
    <row r="112" spans="1:37" ht="13.5" customHeight="1">
      <c r="A112" s="211"/>
      <c r="B112" s="12"/>
      <c r="C112" s="12" t="s">
        <v>325</v>
      </c>
      <c r="D112" s="12"/>
      <c r="E112" s="12"/>
      <c r="F112" s="299">
        <f t="shared" ref="F112:AG112" si="192">SUM(F108:F111)</f>
        <v>1171.4550000000004</v>
      </c>
      <c r="G112" s="299">
        <f t="shared" si="192"/>
        <v>-84.392000000000735</v>
      </c>
      <c r="H112" s="299">
        <f t="shared" si="192"/>
        <v>2026.027</v>
      </c>
      <c r="I112" s="299">
        <f t="shared" si="192"/>
        <v>-11187.556999999997</v>
      </c>
      <c r="J112" s="228">
        <f t="shared" si="192"/>
        <v>-8074.4669999999987</v>
      </c>
      <c r="K112" s="299">
        <f t="shared" si="192"/>
        <v>-390.62100000000009</v>
      </c>
      <c r="L112" s="299">
        <f t="shared" si="192"/>
        <v>3194.7420000000002</v>
      </c>
      <c r="M112" s="299">
        <f t="shared" si="192"/>
        <v>2100.8189999999986</v>
      </c>
      <c r="N112" s="299">
        <f t="shared" si="192"/>
        <v>2186.1019999999999</v>
      </c>
      <c r="O112" s="228">
        <f t="shared" si="192"/>
        <v>7091.0419999999995</v>
      </c>
      <c r="P112" s="299">
        <f t="shared" si="192"/>
        <v>1252.998</v>
      </c>
      <c r="Q112" s="299">
        <f t="shared" si="192"/>
        <v>3293.6550000000011</v>
      </c>
      <c r="R112" s="299">
        <f t="shared" si="192"/>
        <v>451.75699999999961</v>
      </c>
      <c r="S112" s="299">
        <f t="shared" si="192"/>
        <v>1573.8829999999998</v>
      </c>
      <c r="T112" s="228">
        <f t="shared" si="192"/>
        <v>6572.2929999999997</v>
      </c>
      <c r="U112" s="299">
        <f t="shared" si="192"/>
        <v>2725.4350000000013</v>
      </c>
      <c r="V112" s="299">
        <f t="shared" si="192"/>
        <v>15218.319</v>
      </c>
      <c r="W112" s="299">
        <f t="shared" si="192"/>
        <v>1871</v>
      </c>
      <c r="X112" s="227" t="str">
        <f t="shared" ca="1" si="192"/>
        <v>#REF!</v>
      </c>
      <c r="Y112" s="228" t="str">
        <f t="shared" ca="1" si="192"/>
        <v>#REF!</v>
      </c>
      <c r="Z112" s="227" t="str">
        <f t="shared" ca="1" si="192"/>
        <v>#REF!</v>
      </c>
      <c r="AA112" s="227" t="str">
        <f t="shared" ca="1" si="192"/>
        <v>#REF!</v>
      </c>
      <c r="AB112" s="227" t="str">
        <f t="shared" ca="1" si="192"/>
        <v>#REF!</v>
      </c>
      <c r="AC112" s="227" t="str">
        <f t="shared" ca="1" si="192"/>
        <v>#REF!</v>
      </c>
      <c r="AD112" s="228" t="str">
        <f t="shared" ca="1" si="192"/>
        <v>#REF!</v>
      </c>
      <c r="AE112" s="228" t="str">
        <f t="shared" ca="1" si="192"/>
        <v>#REF!</v>
      </c>
      <c r="AF112" s="228" t="str">
        <f t="shared" ca="1" si="192"/>
        <v>#REF!</v>
      </c>
      <c r="AG112" s="228" t="str">
        <f t="shared" ca="1" si="192"/>
        <v>#REF!</v>
      </c>
      <c r="AH112" s="12"/>
      <c r="AI112" s="12"/>
      <c r="AJ112" s="12"/>
      <c r="AK112" s="12"/>
    </row>
    <row r="113" spans="1:37" ht="13.5" customHeight="1">
      <c r="A113" s="211"/>
      <c r="B113" s="12"/>
      <c r="C113" s="12"/>
      <c r="D113" s="12"/>
      <c r="E113" s="12"/>
      <c r="F113" s="261"/>
      <c r="G113" s="261"/>
      <c r="H113" s="261"/>
      <c r="I113" s="261"/>
      <c r="J113" s="12"/>
      <c r="K113" s="261"/>
      <c r="L113" s="261"/>
      <c r="M113" s="261"/>
      <c r="N113" s="261"/>
      <c r="O113" s="12"/>
      <c r="P113" s="261"/>
      <c r="Q113" s="261"/>
      <c r="R113" s="261"/>
      <c r="S113" s="261"/>
      <c r="T113" s="12"/>
      <c r="U113" s="261"/>
      <c r="V113" s="261"/>
      <c r="W113" s="261"/>
      <c r="X113" s="262"/>
      <c r="Y113" s="12"/>
      <c r="Z113" s="262"/>
      <c r="AA113" s="262"/>
      <c r="AB113" s="262"/>
      <c r="AC113" s="262"/>
      <c r="AD113" s="12"/>
      <c r="AE113" s="12"/>
      <c r="AF113" s="12"/>
      <c r="AG113" s="12"/>
      <c r="AH113" s="12"/>
      <c r="AI113" s="12"/>
      <c r="AJ113" s="12"/>
      <c r="AK113" s="12"/>
    </row>
    <row r="114" spans="1:37" ht="13.5" customHeight="1">
      <c r="A114" s="211"/>
      <c r="B114" s="12"/>
      <c r="C114" s="12" t="s">
        <v>326</v>
      </c>
      <c r="D114" s="12"/>
      <c r="E114" s="12"/>
      <c r="F114" s="343">
        <f t="shared" ref="F114:AG114" si="193">F112/F28</f>
        <v>0.14353422402711857</v>
      </c>
      <c r="G114" s="343">
        <f t="shared" si="193"/>
        <v>-1.0307670378797693E-2</v>
      </c>
      <c r="H114" s="343">
        <f t="shared" si="193"/>
        <v>0.23719336785274259</v>
      </c>
      <c r="I114" s="343">
        <f t="shared" si="193"/>
        <v>-1.266588775391791</v>
      </c>
      <c r="J114" s="344">
        <f t="shared" si="193"/>
        <v>-0.23943290598187944</v>
      </c>
      <c r="K114" s="343">
        <f t="shared" si="193"/>
        <v>-4.1686516321538802E-2</v>
      </c>
      <c r="L114" s="343">
        <f t="shared" si="193"/>
        <v>0.33420215475803172</v>
      </c>
      <c r="M114" s="343">
        <f t="shared" si="193"/>
        <v>0.2138302806710797</v>
      </c>
      <c r="N114" s="343">
        <f t="shared" si="193"/>
        <v>0.21335082481230441</v>
      </c>
      <c r="O114" s="344">
        <f t="shared" si="193"/>
        <v>0.18181708627422202</v>
      </c>
      <c r="P114" s="343">
        <f t="shared" si="193"/>
        <v>0.11884868167387397</v>
      </c>
      <c r="Q114" s="343">
        <f t="shared" si="193"/>
        <v>0.29728365835478965</v>
      </c>
      <c r="R114" s="343">
        <f t="shared" si="193"/>
        <v>3.9248040908031349E-2</v>
      </c>
      <c r="S114" s="343">
        <f t="shared" si="193"/>
        <v>0.13060443812598738</v>
      </c>
      <c r="T114" s="344">
        <f t="shared" si="193"/>
        <v>0.14545930468240337</v>
      </c>
      <c r="U114" s="343">
        <f t="shared" si="193"/>
        <v>0.22248890324926457</v>
      </c>
      <c r="V114" s="343">
        <f t="shared" si="193"/>
        <v>0.5519883569096844</v>
      </c>
      <c r="W114" s="343">
        <f t="shared" si="193"/>
        <v>8.1638886464787508E-2</v>
      </c>
      <c r="X114" s="345" t="str">
        <f t="shared" ca="1" si="193"/>
        <v>#REF!</v>
      </c>
      <c r="Y114" s="344" t="str">
        <f t="shared" ca="1" si="193"/>
        <v>#REF!</v>
      </c>
      <c r="Z114" s="345" t="str">
        <f t="shared" ca="1" si="193"/>
        <v>#REF!</v>
      </c>
      <c r="AA114" s="345" t="str">
        <f t="shared" ca="1" si="193"/>
        <v>#REF!</v>
      </c>
      <c r="AB114" s="345" t="str">
        <f t="shared" ca="1" si="193"/>
        <v>#REF!</v>
      </c>
      <c r="AC114" s="345" t="str">
        <f t="shared" ca="1" si="193"/>
        <v>#REF!</v>
      </c>
      <c r="AD114" s="344" t="str">
        <f t="shared" ca="1" si="193"/>
        <v>#REF!</v>
      </c>
      <c r="AE114" s="344" t="str">
        <f t="shared" ca="1" si="193"/>
        <v>#REF!</v>
      </c>
      <c r="AF114" s="344" t="str">
        <f t="shared" ca="1" si="193"/>
        <v>#REF!</v>
      </c>
      <c r="AG114" s="344" t="str">
        <f t="shared" ca="1" si="193"/>
        <v>#REF!</v>
      </c>
      <c r="AH114" s="12"/>
      <c r="AI114" s="12"/>
      <c r="AJ114" s="12"/>
      <c r="AK114" s="12"/>
    </row>
    <row r="115" spans="1:37" ht="13.5" customHeight="1">
      <c r="A115" s="211"/>
      <c r="B115" s="12"/>
      <c r="C115" s="12" t="s">
        <v>327</v>
      </c>
      <c r="D115" s="12"/>
      <c r="E115" s="12"/>
      <c r="F115" s="316">
        <f t="shared" ref="F115:AG115" si="194">F112/F282</f>
        <v>1.4199454545454551</v>
      </c>
      <c r="G115" s="316">
        <f t="shared" si="194"/>
        <v>-0.10380319803198122</v>
      </c>
      <c r="H115" s="316">
        <f t="shared" si="194"/>
        <v>2.5136811414392062</v>
      </c>
      <c r="I115" s="316">
        <f t="shared" si="194"/>
        <v>-13.96698751560549</v>
      </c>
      <c r="J115" s="96">
        <f t="shared" si="194"/>
        <v>-10.080483146067413</v>
      </c>
      <c r="K115" s="316">
        <f t="shared" si="194"/>
        <v>-0.47348000000000012</v>
      </c>
      <c r="L115" s="316">
        <f t="shared" si="194"/>
        <v>3.9295719557195574</v>
      </c>
      <c r="M115" s="316">
        <f t="shared" si="194"/>
        <v>2.6064751861042166</v>
      </c>
      <c r="N115" s="316">
        <f t="shared" si="194"/>
        <v>2.7292159800249687</v>
      </c>
      <c r="O115" s="96">
        <f t="shared" si="194"/>
        <v>8.8527365792759038</v>
      </c>
      <c r="P115" s="316">
        <f t="shared" si="194"/>
        <v>1.6596</v>
      </c>
      <c r="Q115" s="316">
        <f t="shared" si="194"/>
        <v>4.3798603723404268</v>
      </c>
      <c r="R115" s="316">
        <f t="shared" si="194"/>
        <v>0.60074069148936116</v>
      </c>
      <c r="S115" s="316">
        <f t="shared" si="194"/>
        <v>2.1041216577540105</v>
      </c>
      <c r="T115" s="96">
        <f t="shared" si="194"/>
        <v>8.7864879679144376</v>
      </c>
      <c r="U115" s="316">
        <f t="shared" si="194"/>
        <v>3.7958704735376063</v>
      </c>
      <c r="V115" s="316">
        <f t="shared" si="194"/>
        <v>21.586268085106383</v>
      </c>
      <c r="W115" s="316">
        <f t="shared" si="194"/>
        <v>2.7115942028985507</v>
      </c>
      <c r="X115" s="317" t="str">
        <f t="shared" ca="1" si="194"/>
        <v>#REF!</v>
      </c>
      <c r="Y115" s="96" t="str">
        <f t="shared" ca="1" si="194"/>
        <v>#REF!</v>
      </c>
      <c r="Z115" s="317" t="str">
        <f t="shared" ca="1" si="194"/>
        <v>#REF!</v>
      </c>
      <c r="AA115" s="317" t="str">
        <f t="shared" ca="1" si="194"/>
        <v>#REF!</v>
      </c>
      <c r="AB115" s="317" t="str">
        <f t="shared" ca="1" si="194"/>
        <v>#REF!</v>
      </c>
      <c r="AC115" s="317" t="str">
        <f t="shared" ca="1" si="194"/>
        <v>#REF!</v>
      </c>
      <c r="AD115" s="96" t="str">
        <f t="shared" ca="1" si="194"/>
        <v>#REF!</v>
      </c>
      <c r="AE115" s="96" t="str">
        <f t="shared" ca="1" si="194"/>
        <v>#REF!</v>
      </c>
      <c r="AF115" s="96" t="str">
        <f t="shared" ca="1" si="194"/>
        <v>#REF!</v>
      </c>
      <c r="AG115" s="96" t="str">
        <f t="shared" ca="1" si="194"/>
        <v>#REF!</v>
      </c>
      <c r="AH115" s="12"/>
      <c r="AI115" s="12"/>
      <c r="AJ115" s="12"/>
      <c r="AK115" s="12"/>
    </row>
    <row r="116" spans="1:37" ht="13.5" customHeight="1">
      <c r="A116" s="211"/>
      <c r="B116" s="12"/>
      <c r="C116" s="12" t="s">
        <v>328</v>
      </c>
      <c r="D116" s="12"/>
      <c r="E116" s="12"/>
      <c r="F116" s="343">
        <f t="shared" ref="F116:I116" si="195">F115*4/F239</f>
        <v>6.6059337266594784E-2</v>
      </c>
      <c r="G116" s="343">
        <f t="shared" si="195"/>
        <v>-4.5230151647922103E-3</v>
      </c>
      <c r="H116" s="343">
        <f t="shared" si="195"/>
        <v>0.10509798856231656</v>
      </c>
      <c r="I116" s="343">
        <f t="shared" si="195"/>
        <v>-0.50209355677560841</v>
      </c>
      <c r="J116" s="344">
        <f>J115/J239</f>
        <v>-0.10722720164705242</v>
      </c>
      <c r="K116" s="343">
        <f t="shared" ref="K116:N116" si="196">K115*4/K239</f>
        <v>-1.8504347826086964E-2</v>
      </c>
      <c r="L116" s="343">
        <f t="shared" si="196"/>
        <v>0.15321461958161839</v>
      </c>
      <c r="M116" s="343">
        <f t="shared" si="196"/>
        <v>9.6171024300496885E-2</v>
      </c>
      <c r="N116" s="343">
        <f t="shared" si="196"/>
        <v>0.10360504811710994</v>
      </c>
      <c r="O116" s="344">
        <f>O115/O239</f>
        <v>8.5036506084260138E-2</v>
      </c>
      <c r="P116" s="343">
        <f t="shared" ref="P116:S116" si="197">P115*4/P239</f>
        <v>6.7203887426604575E-2</v>
      </c>
      <c r="Q116" s="343">
        <f t="shared" si="197"/>
        <v>0.17735818474753703</v>
      </c>
      <c r="R116" s="343">
        <f t="shared" si="197"/>
        <v>1.4198399127069624E-2</v>
      </c>
      <c r="S116" s="343">
        <f t="shared" si="197"/>
        <v>4.0170582132318347E-2</v>
      </c>
      <c r="T116" s="344">
        <f>T115/T239</f>
        <v>5.2200865620312085E-2</v>
      </c>
      <c r="U116" s="343">
        <f t="shared" ref="U116:X116" si="198">U115*4/U239</f>
        <v>8.3334148705545702E-2</v>
      </c>
      <c r="V116" s="343">
        <f t="shared" si="198"/>
        <v>0.45226577971664406</v>
      </c>
      <c r="W116" s="343">
        <f t="shared" si="198"/>
        <v>5.2559610830215334E-2</v>
      </c>
      <c r="X116" s="345" t="str">
        <f t="shared" ca="1" si="198"/>
        <v>#REF!</v>
      </c>
      <c r="Y116" s="344" t="str">
        <f ca="1">Y115/Y239</f>
        <v/>
      </c>
      <c r="Z116" s="345" t="str">
        <f t="shared" ref="Z116:AC116" ca="1" si="199">Z115*4/Z239</f>
        <v/>
      </c>
      <c r="AA116" s="345" t="str">
        <f t="shared" ca="1" si="199"/>
        <v>#REF!</v>
      </c>
      <c r="AB116" s="345" t="str">
        <f t="shared" ca="1" si="199"/>
        <v>#REF!</v>
      </c>
      <c r="AC116" s="345" t="str">
        <f t="shared" ca="1" si="199"/>
        <v>#REF!</v>
      </c>
      <c r="AD116" s="344" t="str">
        <f t="shared" ref="AD116:AG116" ca="1" si="200">AD115/AD239</f>
        <v/>
      </c>
      <c r="AE116" s="344" t="str">
        <f t="shared" ca="1" si="200"/>
        <v>#REF!</v>
      </c>
      <c r="AF116" s="344" t="str">
        <f t="shared" ca="1" si="200"/>
        <v>#REF!</v>
      </c>
      <c r="AG116" s="344" t="str">
        <f t="shared" ca="1" si="200"/>
        <v>#REF!</v>
      </c>
      <c r="AH116" s="12"/>
      <c r="AI116" s="12"/>
      <c r="AJ116" s="12"/>
      <c r="AK116" s="12"/>
    </row>
    <row r="117" spans="1:37" ht="13.5" customHeight="1">
      <c r="A117" s="211"/>
      <c r="B117" s="12"/>
      <c r="C117" s="12"/>
      <c r="D117" s="12"/>
      <c r="E117" s="12"/>
      <c r="F117" s="261"/>
      <c r="G117" s="261"/>
      <c r="H117" s="261"/>
      <c r="I117" s="261"/>
      <c r="J117" s="12"/>
      <c r="K117" s="261"/>
      <c r="L117" s="261"/>
      <c r="M117" s="261"/>
      <c r="N117" s="261"/>
      <c r="O117" s="12"/>
      <c r="P117" s="261"/>
      <c r="Q117" s="261"/>
      <c r="R117" s="261"/>
      <c r="S117" s="261"/>
      <c r="T117" s="12"/>
      <c r="U117" s="261"/>
      <c r="V117" s="261"/>
      <c r="W117" s="261"/>
      <c r="X117" s="262"/>
      <c r="Y117" s="12"/>
      <c r="Z117" s="262"/>
      <c r="AA117" s="262"/>
      <c r="AB117" s="262"/>
      <c r="AC117" s="262"/>
      <c r="AD117" s="12"/>
      <c r="AE117" s="12"/>
      <c r="AF117" s="12"/>
      <c r="AG117" s="12"/>
      <c r="AH117" s="12"/>
      <c r="AI117" s="12"/>
      <c r="AJ117" s="12"/>
      <c r="AK117" s="12"/>
    </row>
    <row r="118" spans="1:37" ht="13.5" customHeight="1">
      <c r="A118" s="211" t="s">
        <v>1</v>
      </c>
      <c r="B118" s="40"/>
      <c r="C118" s="55" t="s">
        <v>329</v>
      </c>
      <c r="D118" s="15"/>
      <c r="E118" s="15"/>
      <c r="F118" s="259" t="str">
        <f>F$25</f>
        <v>1Q23</v>
      </c>
      <c r="G118" s="56" t="str">
        <f t="shared" ref="G118:AG118" si="201">G$63</f>
        <v>2Q23</v>
      </c>
      <c r="H118" s="56" t="str">
        <f t="shared" si="201"/>
        <v>3Q23</v>
      </c>
      <c r="I118" s="56" t="str">
        <f t="shared" si="201"/>
        <v>4Q23</v>
      </c>
      <c r="J118" s="56">
        <f t="shared" si="201"/>
        <v>2023</v>
      </c>
      <c r="K118" s="56" t="str">
        <f t="shared" si="201"/>
        <v>1Q24</v>
      </c>
      <c r="L118" s="56" t="str">
        <f t="shared" si="201"/>
        <v>2Q24</v>
      </c>
      <c r="M118" s="56" t="str">
        <f t="shared" si="201"/>
        <v>3Q24</v>
      </c>
      <c r="N118" s="56" t="str">
        <f t="shared" si="201"/>
        <v>4Q24</v>
      </c>
      <c r="O118" s="56">
        <f t="shared" si="201"/>
        <v>2024</v>
      </c>
      <c r="P118" s="56" t="str">
        <f t="shared" si="201"/>
        <v>1Q25</v>
      </c>
      <c r="Q118" s="56" t="str">
        <f t="shared" si="201"/>
        <v>2Q25</v>
      </c>
      <c r="R118" s="56" t="str">
        <f t="shared" si="201"/>
        <v>3Q25</v>
      </c>
      <c r="S118" s="56" t="str">
        <f t="shared" si="201"/>
        <v>4Q25</v>
      </c>
      <c r="T118" s="56">
        <f t="shared" si="201"/>
        <v>2025</v>
      </c>
      <c r="U118" s="56" t="str">
        <f t="shared" si="201"/>
        <v>1Q26</v>
      </c>
      <c r="V118" s="56" t="str">
        <f t="shared" si="201"/>
        <v>2Q26</v>
      </c>
      <c r="W118" s="56" t="str">
        <f t="shared" si="201"/>
        <v>3Q26e</v>
      </c>
      <c r="X118" s="56" t="str">
        <f t="shared" si="201"/>
        <v>4Q26e</v>
      </c>
      <c r="Y118" s="56" t="str">
        <f t="shared" si="201"/>
        <v>2026e</v>
      </c>
      <c r="Z118" s="56" t="str">
        <f t="shared" si="201"/>
        <v>1Q27e</v>
      </c>
      <c r="AA118" s="56" t="str">
        <f t="shared" si="201"/>
        <v>2Q27e</v>
      </c>
      <c r="AB118" s="56" t="str">
        <f t="shared" si="201"/>
        <v>3Q27e</v>
      </c>
      <c r="AC118" s="56" t="str">
        <f t="shared" si="201"/>
        <v>4Q27e</v>
      </c>
      <c r="AD118" s="56" t="str">
        <f t="shared" si="201"/>
        <v>2027e</v>
      </c>
      <c r="AE118" s="56" t="str">
        <f t="shared" si="201"/>
        <v>2028e</v>
      </c>
      <c r="AF118" s="56" t="str">
        <f t="shared" si="201"/>
        <v>2029e</v>
      </c>
      <c r="AG118" s="57" t="str">
        <f t="shared" si="201"/>
        <v>2030e</v>
      </c>
      <c r="AH118" s="211" t="s">
        <v>1</v>
      </c>
      <c r="AI118" s="12"/>
      <c r="AJ118" s="12"/>
      <c r="AK118" s="12"/>
    </row>
    <row r="119" spans="1:37" ht="13.5" customHeight="1">
      <c r="A119" s="211"/>
      <c r="B119" s="12"/>
      <c r="C119" s="12"/>
      <c r="D119" s="12"/>
      <c r="E119" s="12"/>
      <c r="F119" s="261"/>
      <c r="G119" s="261"/>
      <c r="H119" s="261"/>
      <c r="I119" s="261"/>
      <c r="J119" s="12"/>
      <c r="K119" s="261"/>
      <c r="L119" s="261"/>
      <c r="M119" s="261"/>
      <c r="N119" s="261"/>
      <c r="O119" s="12"/>
      <c r="P119" s="261"/>
      <c r="Q119" s="261"/>
      <c r="R119" s="261"/>
      <c r="S119" s="261"/>
      <c r="T119" s="12"/>
      <c r="U119" s="261"/>
      <c r="V119" s="261"/>
      <c r="W119" s="261"/>
      <c r="X119" s="262"/>
      <c r="Y119" s="12"/>
      <c r="Z119" s="262"/>
      <c r="AA119" s="262"/>
      <c r="AB119" s="262"/>
      <c r="AC119" s="262"/>
      <c r="AD119" s="12"/>
      <c r="AE119" s="12"/>
      <c r="AF119" s="12"/>
      <c r="AG119" s="12"/>
      <c r="AH119" s="12"/>
      <c r="AI119" s="12"/>
      <c r="AJ119" s="12"/>
      <c r="AK119" s="12"/>
    </row>
    <row r="120" spans="1:37" ht="13.5" customHeight="1">
      <c r="A120" s="211"/>
      <c r="B120" s="12"/>
      <c r="C120" s="12" t="s">
        <v>330</v>
      </c>
      <c r="D120" s="12"/>
      <c r="E120" s="12"/>
      <c r="F120" s="338">
        <f>1565+205</f>
        <v>1770</v>
      </c>
      <c r="G120" s="338">
        <f>2251+391</f>
        <v>2642</v>
      </c>
      <c r="H120" s="338">
        <f>1668+208</f>
        <v>1876</v>
      </c>
      <c r="I120" s="338">
        <f>511+218</f>
        <v>729</v>
      </c>
      <c r="J120" s="228">
        <f t="shared" ref="J120:J124" si="202">I120</f>
        <v>729</v>
      </c>
      <c r="K120" s="338">
        <f>2973+190</f>
        <v>3163</v>
      </c>
      <c r="L120" s="338">
        <f>1796+275</f>
        <v>2071</v>
      </c>
      <c r="M120" s="338">
        <f>794+127</f>
        <v>921</v>
      </c>
      <c r="N120" s="338">
        <f>716+160</f>
        <v>876</v>
      </c>
      <c r="O120" s="228">
        <f t="shared" ref="O120:O124" si="203">N120</f>
        <v>876</v>
      </c>
      <c r="P120" s="338">
        <v>7199.848</v>
      </c>
      <c r="Q120" s="338">
        <v>8177.4049999999997</v>
      </c>
      <c r="R120" s="338">
        <v>9287.2870000000003</v>
      </c>
      <c r="S120" s="338">
        <v>9033.6810000000005</v>
      </c>
      <c r="T120" s="228">
        <f t="shared" ref="T120:T124" si="204">S120</f>
        <v>9033.6810000000005</v>
      </c>
      <c r="U120" s="338">
        <f>6692+454</f>
        <v>7146</v>
      </c>
      <c r="V120" s="338">
        <f>4835+1420</f>
        <v>6255</v>
      </c>
      <c r="W120" s="338">
        <f>6121+552</f>
        <v>6673</v>
      </c>
      <c r="X120" s="227" t="str">
        <f ca="1">X104</f>
        <v/>
      </c>
      <c r="Y120" s="228" t="str">
        <f t="shared" ref="Y120:Y124" ca="1" si="205">X120</f>
        <v/>
      </c>
      <c r="Z120" s="227" t="str">
        <f t="shared" ref="Z120:AC120" ca="1" si="206">Z104</f>
        <v/>
      </c>
      <c r="AA120" s="227" t="str">
        <f t="shared" ca="1" si="206"/>
        <v>#REF!</v>
      </c>
      <c r="AB120" s="227" t="str">
        <f t="shared" ca="1" si="206"/>
        <v>#REF!</v>
      </c>
      <c r="AC120" s="227" t="str">
        <f t="shared" ca="1" si="206"/>
        <v>#REF!</v>
      </c>
      <c r="AD120" s="228" t="str">
        <f t="shared" ref="AD120:AD124" ca="1" si="207">AC120</f>
        <v/>
      </c>
      <c r="AE120" s="228" t="str">
        <f t="shared" ref="AE120:AG120" ca="1" si="208">AE104</f>
        <v/>
      </c>
      <c r="AF120" s="228" t="str">
        <f t="shared" ca="1" si="208"/>
        <v>#REF!</v>
      </c>
      <c r="AG120" s="228" t="str">
        <f t="shared" ca="1" si="208"/>
        <v>#REF!</v>
      </c>
      <c r="AH120" s="12"/>
      <c r="AI120" s="12"/>
      <c r="AJ120" s="12"/>
      <c r="AK120" s="12"/>
    </row>
    <row r="121" spans="1:37" ht="13.5" customHeight="1">
      <c r="A121" s="211"/>
      <c r="B121" s="12"/>
      <c r="C121" s="12" t="s">
        <v>331</v>
      </c>
      <c r="D121" s="12"/>
      <c r="E121" s="12"/>
      <c r="F121" s="304">
        <v>0</v>
      </c>
      <c r="G121" s="304">
        <v>0</v>
      </c>
      <c r="H121" s="304">
        <v>0</v>
      </c>
      <c r="I121" s="304">
        <v>0</v>
      </c>
      <c r="J121" s="131">
        <f t="shared" si="202"/>
        <v>0</v>
      </c>
      <c r="K121" s="304">
        <v>0</v>
      </c>
      <c r="L121" s="304">
        <v>0</v>
      </c>
      <c r="M121" s="304">
        <v>0</v>
      </c>
      <c r="N121" s="304">
        <v>0</v>
      </c>
      <c r="O121" s="131">
        <f t="shared" si="203"/>
        <v>0</v>
      </c>
      <c r="P121" s="304">
        <v>0</v>
      </c>
      <c r="Q121" s="304">
        <v>0</v>
      </c>
      <c r="R121" s="304">
        <v>0</v>
      </c>
      <c r="S121" s="304">
        <v>0</v>
      </c>
      <c r="T121" s="131">
        <f t="shared" si="204"/>
        <v>0</v>
      </c>
      <c r="U121" s="304">
        <v>0</v>
      </c>
      <c r="V121" s="304">
        <v>0</v>
      </c>
      <c r="W121" s="304">
        <v>0</v>
      </c>
      <c r="X121" s="305">
        <f t="shared" ref="X121:X123" si="209">X162</f>
        <v>0</v>
      </c>
      <c r="Y121" s="131">
        <f t="shared" si="205"/>
        <v>0</v>
      </c>
      <c r="Z121" s="305">
        <f t="shared" ref="Z121:AC121" si="210">Z162</f>
        <v>0</v>
      </c>
      <c r="AA121" s="305">
        <f t="shared" si="210"/>
        <v>0</v>
      </c>
      <c r="AB121" s="305">
        <f t="shared" si="210"/>
        <v>0</v>
      </c>
      <c r="AC121" s="305">
        <f t="shared" si="210"/>
        <v>0</v>
      </c>
      <c r="AD121" s="131">
        <f t="shared" si="207"/>
        <v>0</v>
      </c>
      <c r="AE121" s="131">
        <f t="shared" ref="AE121:AG121" si="211">AE162</f>
        <v>0</v>
      </c>
      <c r="AF121" s="131">
        <f t="shared" si="211"/>
        <v>0</v>
      </c>
      <c r="AG121" s="131">
        <f t="shared" si="211"/>
        <v>0</v>
      </c>
      <c r="AH121" s="12"/>
      <c r="AI121" s="12"/>
      <c r="AJ121" s="12"/>
      <c r="AK121" s="12"/>
    </row>
    <row r="122" spans="1:37" ht="13.5" customHeight="1">
      <c r="A122" s="211"/>
      <c r="B122" s="12"/>
      <c r="C122" s="12" t="s">
        <v>332</v>
      </c>
      <c r="D122" s="12"/>
      <c r="E122" s="12"/>
      <c r="F122" s="304">
        <v>13204</v>
      </c>
      <c r="G122" s="304">
        <v>11885</v>
      </c>
      <c r="H122" s="304">
        <v>12365</v>
      </c>
      <c r="I122" s="304">
        <v>12561</v>
      </c>
      <c r="J122" s="131">
        <f t="shared" si="202"/>
        <v>12561</v>
      </c>
      <c r="K122" s="304">
        <v>15026</v>
      </c>
      <c r="L122" s="304">
        <v>13730</v>
      </c>
      <c r="M122" s="304">
        <v>13716</v>
      </c>
      <c r="N122" s="304">
        <v>13179</v>
      </c>
      <c r="O122" s="131">
        <f t="shared" si="203"/>
        <v>13179</v>
      </c>
      <c r="P122" s="304">
        <v>14283</v>
      </c>
      <c r="Q122" s="304">
        <v>13831</v>
      </c>
      <c r="R122" s="304">
        <v>15712</v>
      </c>
      <c r="S122" s="304">
        <v>16193</v>
      </c>
      <c r="T122" s="131">
        <f t="shared" si="204"/>
        <v>16193</v>
      </c>
      <c r="U122" s="304">
        <v>18382</v>
      </c>
      <c r="V122" s="304">
        <v>17322</v>
      </c>
      <c r="W122" s="304">
        <v>16685</v>
      </c>
      <c r="X122" s="305">
        <f t="shared" si="209"/>
        <v>18529.950326086957</v>
      </c>
      <c r="Y122" s="131">
        <f t="shared" si="205"/>
        <v>18529.950326086957</v>
      </c>
      <c r="Z122" s="305">
        <f t="shared" ref="Z122:AC122" si="212">Z163</f>
        <v>23065.506292307695</v>
      </c>
      <c r="AA122" s="305">
        <f t="shared" si="212"/>
        <v>22014.148331076922</v>
      </c>
      <c r="AB122" s="305">
        <f t="shared" si="212"/>
        <v>20954.804900326959</v>
      </c>
      <c r="AC122" s="305">
        <f t="shared" si="212"/>
        <v>20718.783200747737</v>
      </c>
      <c r="AD122" s="131">
        <f t="shared" si="207"/>
        <v>20718.783200747737</v>
      </c>
      <c r="AE122" s="131">
        <f t="shared" ref="AE122:AG122" si="213">AE163</f>
        <v>21269.509108004873</v>
      </c>
      <c r="AF122" s="131">
        <f t="shared" si="213"/>
        <v>21669.701962301831</v>
      </c>
      <c r="AG122" s="131">
        <f t="shared" si="213"/>
        <v>22051.693452707059</v>
      </c>
      <c r="AH122" s="12"/>
      <c r="AI122" s="12"/>
      <c r="AJ122" s="12"/>
      <c r="AK122" s="12"/>
    </row>
    <row r="123" spans="1:37" ht="13.5" customHeight="1">
      <c r="A123" s="211"/>
      <c r="B123" s="12"/>
      <c r="C123" s="12" t="s">
        <v>333</v>
      </c>
      <c r="D123" s="12"/>
      <c r="E123" s="12"/>
      <c r="F123" s="300">
        <v>3768.029</v>
      </c>
      <c r="G123" s="300">
        <v>3843.5479999999998</v>
      </c>
      <c r="H123" s="300">
        <v>3426.2289999999998</v>
      </c>
      <c r="I123" s="300">
        <v>2801.22</v>
      </c>
      <c r="J123" s="301">
        <f t="shared" si="202"/>
        <v>2801.22</v>
      </c>
      <c r="K123" s="300">
        <v>2896.547</v>
      </c>
      <c r="L123" s="300">
        <v>2990.614</v>
      </c>
      <c r="M123" s="300">
        <v>4672.0739999999996</v>
      </c>
      <c r="N123" s="300">
        <v>5295.6459999999997</v>
      </c>
      <c r="O123" s="301">
        <f t="shared" si="203"/>
        <v>5295.6459999999997</v>
      </c>
      <c r="P123" s="300">
        <v>4497.7839999999997</v>
      </c>
      <c r="Q123" s="300">
        <v>3815.701</v>
      </c>
      <c r="R123" s="300">
        <v>3675.6480000000001</v>
      </c>
      <c r="S123" s="300">
        <v>3986.51</v>
      </c>
      <c r="T123" s="301">
        <f t="shared" si="204"/>
        <v>3986.51</v>
      </c>
      <c r="U123" s="300">
        <v>4811.21</v>
      </c>
      <c r="V123" s="300">
        <v>1506</v>
      </c>
      <c r="W123" s="300">
        <v>1491</v>
      </c>
      <c r="X123" s="302">
        <f t="shared" si="209"/>
        <v>0</v>
      </c>
      <c r="Y123" s="301">
        <f t="shared" si="205"/>
        <v>0</v>
      </c>
      <c r="Z123" s="302">
        <f t="shared" ref="Z123:AC123" si="214">Z164</f>
        <v>1849.7576159999996</v>
      </c>
      <c r="AA123" s="302">
        <f t="shared" si="214"/>
        <v>2108.72368224</v>
      </c>
      <c r="AB123" s="302">
        <f t="shared" si="214"/>
        <v>1855.6768403711999</v>
      </c>
      <c r="AC123" s="302">
        <f t="shared" si="214"/>
        <v>1762.8929983526398</v>
      </c>
      <c r="AD123" s="301">
        <f t="shared" si="207"/>
        <v>1762.8929983526398</v>
      </c>
      <c r="AE123" s="301">
        <f t="shared" ref="AE123:AG123" si="215">AE164</f>
        <v>1932.1480399257787</v>
      </c>
      <c r="AF123" s="301">
        <f t="shared" si="215"/>
        <v>1970.7910007242942</v>
      </c>
      <c r="AG123" s="301">
        <f t="shared" si="215"/>
        <v>2010.2068207387802</v>
      </c>
      <c r="AH123" s="12"/>
      <c r="AI123" s="12"/>
      <c r="AJ123" s="12"/>
      <c r="AK123" s="12"/>
    </row>
    <row r="124" spans="1:37" ht="13.5" customHeight="1">
      <c r="A124" s="211"/>
      <c r="B124" s="12"/>
      <c r="C124" s="108" t="s">
        <v>334</v>
      </c>
      <c r="D124" s="12"/>
      <c r="E124" s="12"/>
      <c r="F124" s="299">
        <f t="shared" ref="F124:I124" si="216">SUM(F120:F123)</f>
        <v>18742.028999999999</v>
      </c>
      <c r="G124" s="299">
        <f t="shared" si="216"/>
        <v>18370.547999999999</v>
      </c>
      <c r="H124" s="299">
        <f t="shared" si="216"/>
        <v>17667.228999999999</v>
      </c>
      <c r="I124" s="299">
        <f t="shared" si="216"/>
        <v>16091.22</v>
      </c>
      <c r="J124" s="228">
        <f t="shared" si="202"/>
        <v>16091.22</v>
      </c>
      <c r="K124" s="299">
        <f t="shared" ref="K124:N124" si="217">SUM(K120:K123)</f>
        <v>21085.546999999999</v>
      </c>
      <c r="L124" s="299">
        <f t="shared" si="217"/>
        <v>18791.614000000001</v>
      </c>
      <c r="M124" s="299">
        <f t="shared" si="217"/>
        <v>19309.074000000001</v>
      </c>
      <c r="N124" s="299">
        <f t="shared" si="217"/>
        <v>19350.646000000001</v>
      </c>
      <c r="O124" s="228">
        <f t="shared" si="203"/>
        <v>19350.646000000001</v>
      </c>
      <c r="P124" s="299">
        <f t="shared" ref="P124:S124" si="218">SUM(P120:P123)</f>
        <v>25980.631999999998</v>
      </c>
      <c r="Q124" s="299">
        <f t="shared" si="218"/>
        <v>25824.106</v>
      </c>
      <c r="R124" s="299">
        <f t="shared" si="218"/>
        <v>28674.935000000001</v>
      </c>
      <c r="S124" s="299">
        <f t="shared" si="218"/>
        <v>29213.190999999999</v>
      </c>
      <c r="T124" s="228">
        <f t="shared" si="204"/>
        <v>29213.190999999999</v>
      </c>
      <c r="U124" s="299">
        <f t="shared" ref="U124:X124" si="219">SUM(U120:U123)</f>
        <v>30339.21</v>
      </c>
      <c r="V124" s="299">
        <f t="shared" si="219"/>
        <v>25083</v>
      </c>
      <c r="W124" s="299">
        <f t="shared" si="219"/>
        <v>24849</v>
      </c>
      <c r="X124" s="227" t="str">
        <f t="shared" ca="1" si="219"/>
        <v>#REF!</v>
      </c>
      <c r="Y124" s="228" t="str">
        <f t="shared" ca="1" si="205"/>
        <v>#REF!</v>
      </c>
      <c r="Z124" s="227" t="str">
        <f t="shared" ref="Z124:AC124" ca="1" si="220">SUM(Z120:Z123)</f>
        <v/>
      </c>
      <c r="AA124" s="227" t="str">
        <f t="shared" ca="1" si="220"/>
        <v>#REF!</v>
      </c>
      <c r="AB124" s="227" t="str">
        <f t="shared" ca="1" si="220"/>
        <v>#REF!</v>
      </c>
      <c r="AC124" s="227" t="str">
        <f t="shared" ca="1" si="220"/>
        <v>#REF!</v>
      </c>
      <c r="AD124" s="228" t="str">
        <f t="shared" ca="1" si="207"/>
        <v>#REF!</v>
      </c>
      <c r="AE124" s="228" t="str">
        <f t="shared" ref="AE124:AG124" ca="1" si="221">SUM(AE120:AE123)</f>
        <v/>
      </c>
      <c r="AF124" s="228" t="str">
        <f t="shared" ca="1" si="221"/>
        <v>#REF!</v>
      </c>
      <c r="AG124" s="228" t="str">
        <f t="shared" ca="1" si="221"/>
        <v>#REF!</v>
      </c>
      <c r="AH124" s="12"/>
      <c r="AI124" s="12"/>
      <c r="AJ124" s="12"/>
      <c r="AK124" s="12"/>
    </row>
    <row r="125" spans="1:37" ht="13.5" customHeight="1">
      <c r="A125" s="211"/>
      <c r="B125" s="12"/>
      <c r="C125" s="12"/>
      <c r="D125" s="12"/>
      <c r="E125" s="12"/>
      <c r="F125" s="261"/>
      <c r="G125" s="261"/>
      <c r="H125" s="261"/>
      <c r="I125" s="261"/>
      <c r="J125" s="12"/>
      <c r="K125" s="261"/>
      <c r="L125" s="261"/>
      <c r="M125" s="261"/>
      <c r="N125" s="261"/>
      <c r="O125" s="12"/>
      <c r="P125" s="261"/>
      <c r="Q125" s="261"/>
      <c r="R125" s="261"/>
      <c r="S125" s="261"/>
      <c r="T125" s="12"/>
      <c r="U125" s="261"/>
      <c r="V125" s="261"/>
      <c r="W125" s="261"/>
      <c r="X125" s="227"/>
      <c r="Y125" s="12"/>
      <c r="Z125" s="227"/>
      <c r="AA125" s="227"/>
      <c r="AB125" s="227"/>
      <c r="AC125" s="227"/>
      <c r="AD125" s="12"/>
      <c r="AE125" s="228"/>
      <c r="AF125" s="228"/>
      <c r="AG125" s="228"/>
      <c r="AH125" s="12"/>
      <c r="AI125" s="12"/>
      <c r="AJ125" s="12"/>
      <c r="AK125" s="12"/>
    </row>
    <row r="126" spans="1:37" ht="13.5" customHeight="1">
      <c r="A126" s="211"/>
      <c r="B126" s="12"/>
      <c r="C126" s="12" t="s">
        <v>335</v>
      </c>
      <c r="D126" s="12"/>
      <c r="E126" s="12"/>
      <c r="F126" s="338">
        <v>1413.0940000000001</v>
      </c>
      <c r="G126" s="338">
        <v>1471.9680000000001</v>
      </c>
      <c r="H126" s="338">
        <v>1498.3910000000001</v>
      </c>
      <c r="I126" s="338">
        <v>1491.444</v>
      </c>
      <c r="J126" s="228">
        <f t="shared" ref="J126:J130" si="222">I126</f>
        <v>1491.444</v>
      </c>
      <c r="K126" s="338">
        <v>1501.1679999999999</v>
      </c>
      <c r="L126" s="338">
        <v>1510.9580000000001</v>
      </c>
      <c r="M126" s="338">
        <v>1568.212</v>
      </c>
      <c r="N126" s="338">
        <v>1593.7560000000001</v>
      </c>
      <c r="O126" s="228">
        <f t="shared" ref="O126:O130" si="223">N126</f>
        <v>1593.7560000000001</v>
      </c>
      <c r="P126" s="338">
        <v>1644.346</v>
      </c>
      <c r="Q126" s="338">
        <v>1743.566</v>
      </c>
      <c r="R126" s="338">
        <v>1837.8889999999999</v>
      </c>
      <c r="S126" s="338">
        <v>2004.35</v>
      </c>
      <c r="T126" s="228">
        <f t="shared" ref="T126:T130" si="224">S126</f>
        <v>2004.35</v>
      </c>
      <c r="U126" s="338">
        <v>2147.8290000000002</v>
      </c>
      <c r="V126" s="338">
        <v>19031</v>
      </c>
      <c r="W126" s="338">
        <v>18925</v>
      </c>
      <c r="X126" s="227">
        <f>X196</f>
        <v>18963.938200000001</v>
      </c>
      <c r="Y126" s="228">
        <f t="shared" ref="Y126:Y130" si="225">X126</f>
        <v>18963.938200000001</v>
      </c>
      <c r="Z126" s="227">
        <f t="shared" ref="Z126:AC126" si="226">Z196</f>
        <v>19248.6551535</v>
      </c>
      <c r="AA126" s="227">
        <f t="shared" si="226"/>
        <v>19556.13592455375</v>
      </c>
      <c r="AB126" s="227">
        <f t="shared" si="226"/>
        <v>19652.049466517259</v>
      </c>
      <c r="AC126" s="227">
        <f t="shared" si="226"/>
        <v>19724.377225464246</v>
      </c>
      <c r="AD126" s="228">
        <f t="shared" ref="AD126:AD130" si="227">AC126</f>
        <v>19724.377225464246</v>
      </c>
      <c r="AE126" s="228">
        <f t="shared" ref="AE126:AG126" si="228">AE196</f>
        <v>20451.053220703907</v>
      </c>
      <c r="AF126" s="228">
        <f t="shared" si="228"/>
        <v>21168.345167395775</v>
      </c>
      <c r="AG126" s="228">
        <f t="shared" si="228"/>
        <v>21989.465606205191</v>
      </c>
      <c r="AH126" s="12"/>
      <c r="AI126" s="12"/>
      <c r="AJ126" s="12"/>
      <c r="AK126" s="12"/>
    </row>
    <row r="127" spans="1:37" ht="13.5" customHeight="1">
      <c r="A127" s="211"/>
      <c r="B127" s="12"/>
      <c r="C127" s="12" t="s">
        <v>336</v>
      </c>
      <c r="D127" s="12"/>
      <c r="E127" s="12"/>
      <c r="F127" s="304">
        <v>32349.184000000001</v>
      </c>
      <c r="G127" s="304">
        <v>32520.774000000001</v>
      </c>
      <c r="H127" s="304">
        <v>31749.861000000001</v>
      </c>
      <c r="I127" s="304">
        <v>31658.056</v>
      </c>
      <c r="J127" s="131">
        <f t="shared" si="222"/>
        <v>31658.056</v>
      </c>
      <c r="K127" s="304">
        <v>31662.1</v>
      </c>
      <c r="L127" s="304">
        <v>31927.355</v>
      </c>
      <c r="M127" s="304">
        <v>32175.382000000001</v>
      </c>
      <c r="N127" s="304">
        <v>32452.462</v>
      </c>
      <c r="O127" s="131">
        <f t="shared" si="223"/>
        <v>32452.462</v>
      </c>
      <c r="P127" s="304">
        <v>0</v>
      </c>
      <c r="Q127" s="304">
        <v>0</v>
      </c>
      <c r="R127" s="304">
        <v>0</v>
      </c>
      <c r="S127" s="304">
        <v>0</v>
      </c>
      <c r="T127" s="131">
        <f t="shared" si="224"/>
        <v>0</v>
      </c>
      <c r="U127" s="304">
        <v>0</v>
      </c>
      <c r="V127" s="304">
        <v>0</v>
      </c>
      <c r="W127" s="304">
        <v>0</v>
      </c>
      <c r="X127" s="305">
        <f>X210</f>
        <v>0</v>
      </c>
      <c r="Y127" s="131">
        <f t="shared" si="225"/>
        <v>0</v>
      </c>
      <c r="Z127" s="305">
        <f t="shared" ref="Z127:AC127" si="229">Z210</f>
        <v>0</v>
      </c>
      <c r="AA127" s="305">
        <f t="shared" si="229"/>
        <v>0</v>
      </c>
      <c r="AB127" s="305">
        <f t="shared" si="229"/>
        <v>0</v>
      </c>
      <c r="AC127" s="305">
        <f t="shared" si="229"/>
        <v>0</v>
      </c>
      <c r="AD127" s="131">
        <f t="shared" si="227"/>
        <v>0</v>
      </c>
      <c r="AE127" s="131">
        <f t="shared" ref="AE127:AG127" si="230">AE210</f>
        <v>0</v>
      </c>
      <c r="AF127" s="131">
        <f t="shared" si="230"/>
        <v>0</v>
      </c>
      <c r="AG127" s="131">
        <f t="shared" si="230"/>
        <v>0</v>
      </c>
      <c r="AH127" s="12"/>
      <c r="AI127" s="12"/>
      <c r="AJ127" s="12"/>
      <c r="AK127" s="12"/>
    </row>
    <row r="128" spans="1:37" ht="13.5" customHeight="1">
      <c r="A128" s="211"/>
      <c r="B128" s="12"/>
      <c r="C128" s="12" t="s">
        <v>337</v>
      </c>
      <c r="D128" s="12"/>
      <c r="E128" s="12"/>
      <c r="F128" s="304">
        <v>1288</v>
      </c>
      <c r="G128" s="304">
        <v>1271</v>
      </c>
      <c r="H128" s="304">
        <v>1272</v>
      </c>
      <c r="I128" s="304">
        <v>303</v>
      </c>
      <c r="J128" s="131">
        <f t="shared" si="222"/>
        <v>303</v>
      </c>
      <c r="K128" s="304">
        <v>303</v>
      </c>
      <c r="L128" s="304">
        <v>303</v>
      </c>
      <c r="M128" s="304">
        <v>303</v>
      </c>
      <c r="N128" s="304">
        <v>303</v>
      </c>
      <c r="O128" s="131">
        <f t="shared" si="223"/>
        <v>303</v>
      </c>
      <c r="P128" s="304">
        <v>0</v>
      </c>
      <c r="Q128" s="304">
        <v>0</v>
      </c>
      <c r="R128" s="304">
        <v>0</v>
      </c>
      <c r="S128" s="304">
        <v>311</v>
      </c>
      <c r="T128" s="131">
        <f t="shared" si="224"/>
        <v>311</v>
      </c>
      <c r="U128" s="304">
        <v>0</v>
      </c>
      <c r="V128" s="304">
        <v>0</v>
      </c>
      <c r="W128" s="304">
        <v>0</v>
      </c>
      <c r="X128" s="305">
        <f t="shared" ref="X128:X129" si="231">X218</f>
        <v>0</v>
      </c>
      <c r="Y128" s="131">
        <f t="shared" si="225"/>
        <v>0</v>
      </c>
      <c r="Z128" s="305">
        <f t="shared" ref="Z128:AC128" si="232">Z218</f>
        <v>0</v>
      </c>
      <c r="AA128" s="305">
        <f t="shared" si="232"/>
        <v>0</v>
      </c>
      <c r="AB128" s="305">
        <f t="shared" si="232"/>
        <v>0</v>
      </c>
      <c r="AC128" s="305">
        <f t="shared" si="232"/>
        <v>0</v>
      </c>
      <c r="AD128" s="131">
        <f t="shared" si="227"/>
        <v>0</v>
      </c>
      <c r="AE128" s="131">
        <f t="shared" ref="AE128:AG128" si="233">AE218</f>
        <v>0</v>
      </c>
      <c r="AF128" s="131">
        <f t="shared" si="233"/>
        <v>0</v>
      </c>
      <c r="AG128" s="131">
        <f t="shared" si="233"/>
        <v>0</v>
      </c>
      <c r="AH128" s="12"/>
      <c r="AI128" s="12"/>
      <c r="AJ128" s="12"/>
      <c r="AK128" s="12"/>
    </row>
    <row r="129" spans="1:37" ht="13.5" customHeight="1">
      <c r="A129" s="211"/>
      <c r="B129" s="12"/>
      <c r="C129" s="12" t="s">
        <v>338</v>
      </c>
      <c r="D129" s="12"/>
      <c r="E129" s="12"/>
      <c r="F129" s="300">
        <f>321+199+896</f>
        <v>1416</v>
      </c>
      <c r="G129" s="300">
        <f>87+249+843</f>
        <v>1179</v>
      </c>
      <c r="H129" s="300">
        <f>290+285+805</f>
        <v>1380</v>
      </c>
      <c r="I129" s="300">
        <f>256+294+995</f>
        <v>1545</v>
      </c>
      <c r="J129" s="301">
        <f t="shared" si="222"/>
        <v>1545</v>
      </c>
      <c r="K129" s="300">
        <f>3926+235+495+775</f>
        <v>5431</v>
      </c>
      <c r="L129" s="300">
        <f>3967+179+512+735</f>
        <v>5393</v>
      </c>
      <c r="M129" s="300">
        <f>3873+363+479+713</f>
        <v>5428</v>
      </c>
      <c r="N129" s="300">
        <f>3891+372+216+702</f>
        <v>5181</v>
      </c>
      <c r="O129" s="301">
        <f t="shared" si="223"/>
        <v>5181</v>
      </c>
      <c r="P129" s="300">
        <v>27512.965</v>
      </c>
      <c r="Q129" s="300">
        <v>29627.881999999983</v>
      </c>
      <c r="R129" s="300">
        <v>29125.295000000006</v>
      </c>
      <c r="S129" s="300">
        <v>28037.932000000004</v>
      </c>
      <c r="T129" s="301">
        <f t="shared" si="224"/>
        <v>28037.932000000004</v>
      </c>
      <c r="U129" s="300">
        <v>39455.027000000009</v>
      </c>
      <c r="V129" s="300">
        <f>3820+225+221+1024</f>
        <v>5290</v>
      </c>
      <c r="W129" s="300">
        <f>4161+213+220+1032</f>
        <v>5626</v>
      </c>
      <c r="X129" s="302">
        <f t="shared" si="231"/>
        <v>5738.52</v>
      </c>
      <c r="Y129" s="301">
        <f t="shared" si="225"/>
        <v>5738.52</v>
      </c>
      <c r="Z129" s="302">
        <f t="shared" ref="Z129:AC129" si="234">Z219</f>
        <v>5853.2904000000008</v>
      </c>
      <c r="AA129" s="302">
        <f t="shared" si="234"/>
        <v>5970.3562080000011</v>
      </c>
      <c r="AB129" s="302">
        <f t="shared" si="234"/>
        <v>6089.7633321600015</v>
      </c>
      <c r="AC129" s="302">
        <f t="shared" si="234"/>
        <v>6211.5585988032017</v>
      </c>
      <c r="AD129" s="301">
        <f t="shared" si="227"/>
        <v>6211.5585988032017</v>
      </c>
      <c r="AE129" s="301">
        <f t="shared" ref="AE129:AG129" si="235">AE219</f>
        <v>6335.7897707792654</v>
      </c>
      <c r="AF129" s="301">
        <f t="shared" si="235"/>
        <v>6462.5055661948509</v>
      </c>
      <c r="AG129" s="301">
        <f t="shared" si="235"/>
        <v>6591.7556775187477</v>
      </c>
      <c r="AH129" s="12"/>
      <c r="AI129" s="12"/>
      <c r="AJ129" s="12"/>
      <c r="AK129" s="12"/>
    </row>
    <row r="130" spans="1:37" ht="13.5" customHeight="1">
      <c r="A130" s="211"/>
      <c r="B130" s="12"/>
      <c r="C130" s="108" t="s">
        <v>339</v>
      </c>
      <c r="D130" s="12"/>
      <c r="E130" s="12"/>
      <c r="F130" s="299">
        <f t="shared" ref="F130:I130" si="236">SUM(F126:F129)</f>
        <v>36466.277999999998</v>
      </c>
      <c r="G130" s="299">
        <f t="shared" si="236"/>
        <v>36442.741999999998</v>
      </c>
      <c r="H130" s="299">
        <f t="shared" si="236"/>
        <v>35900.252</v>
      </c>
      <c r="I130" s="299">
        <f t="shared" si="236"/>
        <v>34997.5</v>
      </c>
      <c r="J130" s="228">
        <f t="shared" si="222"/>
        <v>34997.5</v>
      </c>
      <c r="K130" s="299">
        <f t="shared" ref="K130:N130" si="237">SUM(K126:K129)</f>
        <v>38897.267999999996</v>
      </c>
      <c r="L130" s="299">
        <f t="shared" si="237"/>
        <v>39134.313000000002</v>
      </c>
      <c r="M130" s="299">
        <f t="shared" si="237"/>
        <v>39474.594000000005</v>
      </c>
      <c r="N130" s="299">
        <f t="shared" si="237"/>
        <v>39530.218000000001</v>
      </c>
      <c r="O130" s="228">
        <f t="shared" si="223"/>
        <v>39530.218000000001</v>
      </c>
      <c r="P130" s="299">
        <f t="shared" ref="P130:S130" si="238">SUM(P126:P129)</f>
        <v>29157.311000000002</v>
      </c>
      <c r="Q130" s="299">
        <f t="shared" si="238"/>
        <v>31371.447999999982</v>
      </c>
      <c r="R130" s="299">
        <f t="shared" si="238"/>
        <v>30963.184000000005</v>
      </c>
      <c r="S130" s="299">
        <f t="shared" si="238"/>
        <v>30353.282000000003</v>
      </c>
      <c r="T130" s="228">
        <f t="shared" si="224"/>
        <v>30353.282000000003</v>
      </c>
      <c r="U130" s="299">
        <f t="shared" ref="U130:X130" si="239">SUM(U126:U129)</f>
        <v>41602.856000000007</v>
      </c>
      <c r="V130" s="299">
        <f t="shared" si="239"/>
        <v>24321</v>
      </c>
      <c r="W130" s="299">
        <f t="shared" si="239"/>
        <v>24551</v>
      </c>
      <c r="X130" s="227">
        <f t="shared" si="239"/>
        <v>24702.458200000001</v>
      </c>
      <c r="Y130" s="228">
        <f t="shared" si="225"/>
        <v>24702.458200000001</v>
      </c>
      <c r="Z130" s="227">
        <f t="shared" ref="Z130:AC130" si="240">SUM(Z126:Z129)</f>
        <v>25101.945553500002</v>
      </c>
      <c r="AA130" s="227">
        <f t="shared" si="240"/>
        <v>25526.492132553751</v>
      </c>
      <c r="AB130" s="227">
        <f t="shared" si="240"/>
        <v>25741.81279867726</v>
      </c>
      <c r="AC130" s="227">
        <f t="shared" si="240"/>
        <v>25935.93582426745</v>
      </c>
      <c r="AD130" s="228">
        <f t="shared" si="227"/>
        <v>25935.93582426745</v>
      </c>
      <c r="AE130" s="228">
        <f t="shared" ref="AE130:AG130" si="241">SUM(AE126:AE129)</f>
        <v>26786.842991483172</v>
      </c>
      <c r="AF130" s="228">
        <f t="shared" si="241"/>
        <v>27630.850733590625</v>
      </c>
      <c r="AG130" s="228">
        <f t="shared" si="241"/>
        <v>28581.221283723939</v>
      </c>
      <c r="AH130" s="12"/>
      <c r="AI130" s="12"/>
      <c r="AJ130" s="12"/>
      <c r="AK130" s="12"/>
    </row>
    <row r="131" spans="1:37" ht="13.5" customHeight="1">
      <c r="A131" s="211"/>
      <c r="B131" s="12"/>
      <c r="C131" s="12"/>
      <c r="D131" s="12"/>
      <c r="E131" s="12"/>
      <c r="F131" s="261"/>
      <c r="G131" s="261"/>
      <c r="H131" s="261"/>
      <c r="I131" s="261"/>
      <c r="J131" s="12"/>
      <c r="K131" s="261"/>
      <c r="L131" s="261"/>
      <c r="M131" s="261"/>
      <c r="N131" s="261"/>
      <c r="O131" s="12"/>
      <c r="P131" s="261"/>
      <c r="Q131" s="261"/>
      <c r="R131" s="261"/>
      <c r="S131" s="261"/>
      <c r="T131" s="12"/>
      <c r="U131" s="261"/>
      <c r="V131" s="261"/>
      <c r="W131" s="261"/>
      <c r="X131" s="227"/>
      <c r="Y131" s="12"/>
      <c r="Z131" s="227"/>
      <c r="AA131" s="227"/>
      <c r="AB131" s="227"/>
      <c r="AC131" s="227"/>
      <c r="AD131" s="12"/>
      <c r="AE131" s="228"/>
      <c r="AF131" s="228"/>
      <c r="AG131" s="228"/>
      <c r="AH131" s="12"/>
      <c r="AI131" s="12"/>
      <c r="AJ131" s="12"/>
      <c r="AK131" s="12"/>
    </row>
    <row r="132" spans="1:37" ht="13.5" customHeight="1">
      <c r="A132" s="211"/>
      <c r="B132" s="12"/>
      <c r="C132" s="108" t="s">
        <v>340</v>
      </c>
      <c r="D132" s="12"/>
      <c r="E132" s="12"/>
      <c r="F132" s="299">
        <f t="shared" ref="F132:AG132" si="242">SUM(F124,F130)</f>
        <v>55208.307000000001</v>
      </c>
      <c r="G132" s="299">
        <f t="shared" si="242"/>
        <v>54813.289999999994</v>
      </c>
      <c r="H132" s="299">
        <f t="shared" si="242"/>
        <v>53567.481</v>
      </c>
      <c r="I132" s="299">
        <f t="shared" si="242"/>
        <v>51088.72</v>
      </c>
      <c r="J132" s="228">
        <f t="shared" si="242"/>
        <v>51088.72</v>
      </c>
      <c r="K132" s="299">
        <f t="shared" si="242"/>
        <v>59982.814999999995</v>
      </c>
      <c r="L132" s="299">
        <f t="shared" si="242"/>
        <v>57925.927000000003</v>
      </c>
      <c r="M132" s="299">
        <f t="shared" si="242"/>
        <v>58783.668000000005</v>
      </c>
      <c r="N132" s="299">
        <f t="shared" si="242"/>
        <v>58880.864000000001</v>
      </c>
      <c r="O132" s="228">
        <f t="shared" si="242"/>
        <v>58880.864000000001</v>
      </c>
      <c r="P132" s="299">
        <f t="shared" si="242"/>
        <v>55137.942999999999</v>
      </c>
      <c r="Q132" s="299">
        <f t="shared" si="242"/>
        <v>57195.553999999982</v>
      </c>
      <c r="R132" s="299">
        <f t="shared" si="242"/>
        <v>59638.119000000006</v>
      </c>
      <c r="S132" s="299">
        <f t="shared" si="242"/>
        <v>59566.472999999998</v>
      </c>
      <c r="T132" s="228">
        <f t="shared" si="242"/>
        <v>59566.472999999998</v>
      </c>
      <c r="U132" s="299">
        <f t="shared" si="242"/>
        <v>71942.066000000006</v>
      </c>
      <c r="V132" s="299">
        <f t="shared" si="242"/>
        <v>49404</v>
      </c>
      <c r="W132" s="299">
        <f t="shared" si="242"/>
        <v>49400</v>
      </c>
      <c r="X132" s="227" t="str">
        <f t="shared" ca="1" si="242"/>
        <v>#REF!</v>
      </c>
      <c r="Y132" s="228" t="str">
        <f t="shared" ca="1" si="242"/>
        <v>#REF!</v>
      </c>
      <c r="Z132" s="227" t="str">
        <f t="shared" ca="1" si="242"/>
        <v>#REF!</v>
      </c>
      <c r="AA132" s="227" t="str">
        <f t="shared" ca="1" si="242"/>
        <v>#REF!</v>
      </c>
      <c r="AB132" s="227" t="str">
        <f t="shared" ca="1" si="242"/>
        <v>#REF!</v>
      </c>
      <c r="AC132" s="227" t="str">
        <f t="shared" ca="1" si="242"/>
        <v>#REF!</v>
      </c>
      <c r="AD132" s="228" t="str">
        <f t="shared" ca="1" si="242"/>
        <v>#REF!</v>
      </c>
      <c r="AE132" s="228" t="str">
        <f t="shared" ca="1" si="242"/>
        <v>#REF!</v>
      </c>
      <c r="AF132" s="228" t="str">
        <f t="shared" ca="1" si="242"/>
        <v>#REF!</v>
      </c>
      <c r="AG132" s="228" t="str">
        <f t="shared" ca="1" si="242"/>
        <v>#REF!</v>
      </c>
      <c r="AH132" s="12"/>
      <c r="AI132" s="12"/>
      <c r="AJ132" s="12"/>
      <c r="AK132" s="12"/>
    </row>
    <row r="133" spans="1:37" ht="13.5" customHeight="1">
      <c r="A133" s="211"/>
      <c r="B133" s="12"/>
      <c r="C133" s="12"/>
      <c r="D133" s="12"/>
      <c r="E133" s="12"/>
      <c r="F133" s="261"/>
      <c r="G133" s="261"/>
      <c r="H133" s="261"/>
      <c r="I133" s="261"/>
      <c r="J133" s="12"/>
      <c r="K133" s="261"/>
      <c r="L133" s="261"/>
      <c r="M133" s="261"/>
      <c r="N133" s="261"/>
      <c r="O133" s="12"/>
      <c r="P133" s="261"/>
      <c r="Q133" s="261"/>
      <c r="R133" s="261"/>
      <c r="S133" s="261"/>
      <c r="T133" s="12"/>
      <c r="U133" s="261"/>
      <c r="V133" s="261"/>
      <c r="W133" s="261"/>
      <c r="X133" s="262"/>
      <c r="Y133" s="12"/>
      <c r="Z133" s="262"/>
      <c r="AA133" s="262"/>
      <c r="AB133" s="262"/>
      <c r="AC133" s="262"/>
      <c r="AD133" s="12"/>
      <c r="AE133" s="12"/>
      <c r="AF133" s="12"/>
      <c r="AG133" s="12"/>
      <c r="AH133" s="12"/>
      <c r="AI133" s="12"/>
      <c r="AJ133" s="12"/>
      <c r="AK133" s="12"/>
    </row>
    <row r="134" spans="1:37" ht="13.5" customHeight="1">
      <c r="A134" s="211"/>
      <c r="B134" s="12"/>
      <c r="C134" s="12" t="s">
        <v>341</v>
      </c>
      <c r="D134" s="12"/>
      <c r="E134" s="12"/>
      <c r="F134" s="338">
        <v>591.98699999999997</v>
      </c>
      <c r="G134" s="338">
        <v>615.37400000000002</v>
      </c>
      <c r="H134" s="338">
        <v>534.42899999999997</v>
      </c>
      <c r="I134" s="338">
        <v>747.41200000000003</v>
      </c>
      <c r="J134" s="228">
        <f t="shared" ref="J134:J137" si="243">I134</f>
        <v>747.41200000000003</v>
      </c>
      <c r="K134" s="338">
        <v>607.34799999999996</v>
      </c>
      <c r="L134" s="338">
        <v>598.55700000000002</v>
      </c>
      <c r="M134" s="338">
        <v>641.95299999999997</v>
      </c>
      <c r="N134" s="338">
        <v>899.90899999999999</v>
      </c>
      <c r="O134" s="228">
        <f t="shared" ref="O134:O137" si="244">N134</f>
        <v>899.90899999999999</v>
      </c>
      <c r="P134" s="338">
        <v>614.48900000000003</v>
      </c>
      <c r="Q134" s="338">
        <v>632.71799999999996</v>
      </c>
      <c r="R134" s="338">
        <v>793.23299999999995</v>
      </c>
      <c r="S134" s="338">
        <v>900.61199999999997</v>
      </c>
      <c r="T134" s="228">
        <f t="shared" ref="T134:T137" si="245">S134</f>
        <v>900.61199999999997</v>
      </c>
      <c r="U134" s="338">
        <v>894.68100000000004</v>
      </c>
      <c r="V134" s="338">
        <v>12011</v>
      </c>
      <c r="W134" s="338">
        <v>11334</v>
      </c>
      <c r="X134" s="227">
        <f t="shared" ref="X134:X136" si="246">X167</f>
        <v>11323.858532608696</v>
      </c>
      <c r="Y134" s="228">
        <f t="shared" ref="Y134:Y137" si="247">X134</f>
        <v>11323.858532608696</v>
      </c>
      <c r="Z134" s="227">
        <f t="shared" ref="Z134:AC134" si="248">Z167</f>
        <v>14082.098578461539</v>
      </c>
      <c r="AA134" s="227">
        <f t="shared" si="248"/>
        <v>13208.488998646155</v>
      </c>
      <c r="AB134" s="227">
        <f t="shared" si="248"/>
        <v>13065.937173145043</v>
      </c>
      <c r="AC134" s="227">
        <f t="shared" si="248"/>
        <v>12661.478622679173</v>
      </c>
      <c r="AD134" s="228">
        <f t="shared" ref="AD134:AD137" si="249">AC134</f>
        <v>12661.478622679173</v>
      </c>
      <c r="AE134" s="228">
        <f t="shared" ref="AE134:AG134" si="250">AE167</f>
        <v>13673.255855145992</v>
      </c>
      <c r="AF134" s="228">
        <f t="shared" si="250"/>
        <v>13930.522690051177</v>
      </c>
      <c r="AG134" s="228">
        <f t="shared" si="250"/>
        <v>14176.088648168821</v>
      </c>
      <c r="AH134" s="12"/>
      <c r="AI134" s="12"/>
      <c r="AJ134" s="12"/>
      <c r="AK134" s="12"/>
    </row>
    <row r="135" spans="1:37" ht="13.5" customHeight="1">
      <c r="A135" s="211"/>
      <c r="B135" s="12"/>
      <c r="C135" s="12" t="s">
        <v>342</v>
      </c>
      <c r="D135" s="12"/>
      <c r="E135" s="12"/>
      <c r="F135" s="304">
        <v>1718.069</v>
      </c>
      <c r="G135" s="304">
        <v>1908.7139999999999</v>
      </c>
      <c r="H135" s="304">
        <v>1838.9079999999999</v>
      </c>
      <c r="I135" s="304">
        <v>1803.96</v>
      </c>
      <c r="J135" s="131">
        <f t="shared" si="243"/>
        <v>1803.96</v>
      </c>
      <c r="K135" s="304">
        <v>1977.4280000000001</v>
      </c>
      <c r="L135" s="304">
        <v>1876.2439999999999</v>
      </c>
      <c r="M135" s="304">
        <v>2241.7579999999998</v>
      </c>
      <c r="N135" s="304">
        <v>2156.5439999999999</v>
      </c>
      <c r="O135" s="131">
        <f t="shared" si="244"/>
        <v>2156.5439999999999</v>
      </c>
      <c r="P135" s="304">
        <v>2359.518</v>
      </c>
      <c r="Q135" s="304">
        <v>2489.4859999999999</v>
      </c>
      <c r="R135" s="304">
        <v>3111.3110000000001</v>
      </c>
      <c r="S135" s="304">
        <v>3220.8690000000001</v>
      </c>
      <c r="T135" s="131">
        <f t="shared" si="245"/>
        <v>3220.8690000000001</v>
      </c>
      <c r="U135" s="304">
        <v>4441.9859999999999</v>
      </c>
      <c r="V135" s="304">
        <v>1331</v>
      </c>
      <c r="W135" s="304">
        <v>1353</v>
      </c>
      <c r="X135" s="227">
        <f t="shared" si="246"/>
        <v>947.08635000000004</v>
      </c>
      <c r="Y135" s="131">
        <f t="shared" si="247"/>
        <v>947.08635000000004</v>
      </c>
      <c r="Z135" s="227">
        <f t="shared" ref="Z135:AC135" si="251">Z168</f>
        <v>1104.7163539999999</v>
      </c>
      <c r="AA135" s="227">
        <f t="shared" si="251"/>
        <v>1252.0546863300001</v>
      </c>
      <c r="AB135" s="227">
        <f t="shared" si="251"/>
        <v>1134.0247357824001</v>
      </c>
      <c r="AC135" s="227">
        <f t="shared" si="251"/>
        <v>1058.9600302604401</v>
      </c>
      <c r="AD135" s="131">
        <f t="shared" si="249"/>
        <v>1058.9600302604401</v>
      </c>
      <c r="AE135" s="228">
        <f t="shared" ref="AE135:AG135" si="252">AE168</f>
        <v>1201.4740561605136</v>
      </c>
      <c r="AF135" s="228">
        <f t="shared" si="252"/>
        <v>1224.0801882276451</v>
      </c>
      <c r="AG135" s="228">
        <f t="shared" si="252"/>
        <v>1245.6581599177973</v>
      </c>
      <c r="AH135" s="12"/>
      <c r="AI135" s="12"/>
      <c r="AJ135" s="12"/>
      <c r="AK135" s="12"/>
    </row>
    <row r="136" spans="1:37" ht="13.5" customHeight="1">
      <c r="A136" s="211"/>
      <c r="B136" s="12"/>
      <c r="C136" s="12" t="s">
        <v>343</v>
      </c>
      <c r="D136" s="12"/>
      <c r="E136" s="12"/>
      <c r="F136" s="300">
        <f>1439+2620</f>
        <v>4059</v>
      </c>
      <c r="G136" s="300">
        <f>1449+2583</f>
        <v>4032</v>
      </c>
      <c r="H136" s="300">
        <f>1356+2507</f>
        <v>3863</v>
      </c>
      <c r="I136" s="300">
        <f>722+1299+2425</f>
        <v>4446</v>
      </c>
      <c r="J136" s="301">
        <f t="shared" si="243"/>
        <v>4446</v>
      </c>
      <c r="K136" s="300">
        <f>500+1376+2643</f>
        <v>4519</v>
      </c>
      <c r="L136" s="300">
        <f>1324+2794+492</f>
        <v>4610</v>
      </c>
      <c r="M136" s="300">
        <f>637+499+1222+2530</f>
        <v>4888</v>
      </c>
      <c r="N136" s="300">
        <f>1941+501+1219+2581</f>
        <v>6242</v>
      </c>
      <c r="O136" s="301">
        <f t="shared" si="244"/>
        <v>6242</v>
      </c>
      <c r="P136" s="300">
        <v>8788.93</v>
      </c>
      <c r="Q136" s="300">
        <v>9916.0210000000006</v>
      </c>
      <c r="R136" s="300">
        <v>10530.599</v>
      </c>
      <c r="S136" s="300">
        <v>9662.0640000000003</v>
      </c>
      <c r="T136" s="301">
        <f t="shared" si="245"/>
        <v>9662.0640000000003</v>
      </c>
      <c r="U136" s="300">
        <f>551+2022+3705</f>
        <v>6278</v>
      </c>
      <c r="V136" s="300">
        <f>1000+557+2041+3380</f>
        <v>6978</v>
      </c>
      <c r="W136" s="300">
        <f>1000+573+1954+3268</f>
        <v>6795</v>
      </c>
      <c r="X136" s="302">
        <f t="shared" si="246"/>
        <v>9470.8634999999995</v>
      </c>
      <c r="Y136" s="301">
        <f t="shared" si="247"/>
        <v>9470.8634999999995</v>
      </c>
      <c r="Z136" s="302">
        <f t="shared" ref="Z136:AC136" si="253">Z169</f>
        <v>9721.503915199999</v>
      </c>
      <c r="AA136" s="302">
        <f t="shared" si="253"/>
        <v>11018.081239704001</v>
      </c>
      <c r="AB136" s="302">
        <f t="shared" si="253"/>
        <v>11340.247357824001</v>
      </c>
      <c r="AC136" s="302">
        <f t="shared" si="253"/>
        <v>10589.6003026044</v>
      </c>
      <c r="AD136" s="301">
        <f t="shared" si="249"/>
        <v>10589.6003026044</v>
      </c>
      <c r="AE136" s="301">
        <f t="shared" ref="AE136:AG136" si="254">AE169</f>
        <v>11090.529749173971</v>
      </c>
      <c r="AF136" s="301">
        <f t="shared" si="254"/>
        <v>11299.201737485955</v>
      </c>
      <c r="AG136" s="301">
        <f t="shared" si="254"/>
        <v>11498.383014625822</v>
      </c>
      <c r="AH136" s="12"/>
      <c r="AI136" s="12"/>
      <c r="AJ136" s="12"/>
      <c r="AK136" s="12"/>
    </row>
    <row r="137" spans="1:37" ht="13.5" customHeight="1">
      <c r="A137" s="211"/>
      <c r="B137" s="12"/>
      <c r="C137" s="108" t="s">
        <v>344</v>
      </c>
      <c r="D137" s="12"/>
      <c r="E137" s="12"/>
      <c r="F137" s="299">
        <f t="shared" ref="F137:I137" si="255">SUM(F134:F136)</f>
        <v>6369.0560000000005</v>
      </c>
      <c r="G137" s="299">
        <f t="shared" si="255"/>
        <v>6556.0879999999997</v>
      </c>
      <c r="H137" s="299">
        <f t="shared" si="255"/>
        <v>6236.3369999999995</v>
      </c>
      <c r="I137" s="299">
        <f t="shared" si="255"/>
        <v>6997.3720000000003</v>
      </c>
      <c r="J137" s="228">
        <f t="shared" si="243"/>
        <v>6997.3720000000003</v>
      </c>
      <c r="K137" s="299">
        <f t="shared" ref="K137:N137" si="256">SUM(K134:K136)</f>
        <v>7103.7759999999998</v>
      </c>
      <c r="L137" s="299">
        <f t="shared" si="256"/>
        <v>7084.8009999999995</v>
      </c>
      <c r="M137" s="299">
        <f t="shared" si="256"/>
        <v>7771.7109999999993</v>
      </c>
      <c r="N137" s="299">
        <f t="shared" si="256"/>
        <v>9298.4529999999995</v>
      </c>
      <c r="O137" s="228">
        <f t="shared" si="244"/>
        <v>9298.4529999999995</v>
      </c>
      <c r="P137" s="299">
        <f t="shared" ref="P137:S137" si="257">SUM(P134:P136)</f>
        <v>11762.937</v>
      </c>
      <c r="Q137" s="299">
        <f t="shared" si="257"/>
        <v>13038.225</v>
      </c>
      <c r="R137" s="299">
        <f t="shared" si="257"/>
        <v>14435.143</v>
      </c>
      <c r="S137" s="299">
        <f t="shared" si="257"/>
        <v>13783.545</v>
      </c>
      <c r="T137" s="228">
        <f t="shared" si="245"/>
        <v>13783.545</v>
      </c>
      <c r="U137" s="299">
        <f t="shared" ref="U137:X137" si="258">SUM(U134:U136)</f>
        <v>11614.666999999999</v>
      </c>
      <c r="V137" s="299">
        <f t="shared" si="258"/>
        <v>20320</v>
      </c>
      <c r="W137" s="299">
        <f t="shared" si="258"/>
        <v>19482</v>
      </c>
      <c r="X137" s="227">
        <f t="shared" si="258"/>
        <v>21741.808382608695</v>
      </c>
      <c r="Y137" s="228">
        <f t="shared" si="247"/>
        <v>21741.808382608695</v>
      </c>
      <c r="Z137" s="227">
        <f t="shared" ref="Z137:AC137" si="259">SUM(Z134:Z136)</f>
        <v>24908.31884766154</v>
      </c>
      <c r="AA137" s="227">
        <f t="shared" si="259"/>
        <v>25478.624924680156</v>
      </c>
      <c r="AB137" s="227">
        <f t="shared" si="259"/>
        <v>25540.209266751444</v>
      </c>
      <c r="AC137" s="227">
        <f t="shared" si="259"/>
        <v>24310.038955544012</v>
      </c>
      <c r="AD137" s="228">
        <f t="shared" si="249"/>
        <v>24310.038955544012</v>
      </c>
      <c r="AE137" s="228">
        <f t="shared" ref="AE137:AG137" si="260">SUM(AE134:AE136)</f>
        <v>25965.259660480478</v>
      </c>
      <c r="AF137" s="228">
        <f t="shared" si="260"/>
        <v>26453.804615764777</v>
      </c>
      <c r="AG137" s="228">
        <f t="shared" si="260"/>
        <v>26920.129822712443</v>
      </c>
      <c r="AH137" s="12"/>
      <c r="AI137" s="12"/>
      <c r="AJ137" s="12"/>
      <c r="AK137" s="12"/>
    </row>
    <row r="138" spans="1:37" ht="13.5" customHeight="1">
      <c r="A138" s="211"/>
      <c r="B138" s="12"/>
      <c r="C138" s="12"/>
      <c r="D138" s="12"/>
      <c r="E138" s="12"/>
      <c r="F138" s="330"/>
      <c r="G138" s="330"/>
      <c r="H138" s="330"/>
      <c r="I138" s="330"/>
      <c r="J138" s="12"/>
      <c r="K138" s="330"/>
      <c r="L138" s="330"/>
      <c r="M138" s="330"/>
      <c r="N138" s="330"/>
      <c r="O138" s="12"/>
      <c r="P138" s="330"/>
      <c r="Q138" s="330"/>
      <c r="R138" s="330"/>
      <c r="S138" s="330"/>
      <c r="T138" s="12"/>
      <c r="U138" s="330"/>
      <c r="V138" s="330"/>
      <c r="W138" s="330"/>
      <c r="X138" s="262"/>
      <c r="Y138" s="12"/>
      <c r="Z138" s="262"/>
      <c r="AA138" s="262"/>
      <c r="AB138" s="262"/>
      <c r="AC138" s="262"/>
      <c r="AD138" s="12"/>
      <c r="AE138" s="12"/>
      <c r="AF138" s="12"/>
      <c r="AG138" s="12"/>
      <c r="AH138" s="12"/>
      <c r="AI138" s="12"/>
      <c r="AJ138" s="12"/>
      <c r="AK138" s="12"/>
    </row>
    <row r="139" spans="1:37" ht="13.5" customHeight="1">
      <c r="A139" s="211"/>
      <c r="B139" s="12"/>
      <c r="C139" s="12" t="s">
        <v>345</v>
      </c>
      <c r="D139" s="12"/>
      <c r="E139" s="12"/>
      <c r="F139" s="338">
        <v>0</v>
      </c>
      <c r="G139" s="338">
        <v>0</v>
      </c>
      <c r="H139" s="338">
        <v>0</v>
      </c>
      <c r="I139" s="338">
        <v>0</v>
      </c>
      <c r="J139" s="228">
        <f t="shared" ref="J139:J143" si="261">I139</f>
        <v>0</v>
      </c>
      <c r="K139" s="338">
        <v>0</v>
      </c>
      <c r="L139" s="338">
        <v>0</v>
      </c>
      <c r="M139" s="338">
        <v>0</v>
      </c>
      <c r="N139" s="338">
        <v>0</v>
      </c>
      <c r="O139" s="228">
        <f t="shared" ref="O139:O143" si="262">N139</f>
        <v>0</v>
      </c>
      <c r="P139" s="338">
        <v>0</v>
      </c>
      <c r="Q139" s="338">
        <v>0</v>
      </c>
      <c r="R139" s="338">
        <v>0</v>
      </c>
      <c r="S139" s="338">
        <v>0</v>
      </c>
      <c r="T139" s="228">
        <f t="shared" ref="T139:T143" si="263">S139</f>
        <v>0</v>
      </c>
      <c r="U139" s="338">
        <v>0</v>
      </c>
      <c r="V139" s="338">
        <v>0</v>
      </c>
      <c r="W139" s="338">
        <v>0</v>
      </c>
      <c r="X139" s="227" t="str">
        <f ca="1">X304</f>
        <v/>
      </c>
      <c r="Y139" s="228" t="str">
        <f t="shared" ref="Y139:Y143" ca="1" si="264">X139</f>
        <v/>
      </c>
      <c r="Z139" s="227" t="str">
        <f t="shared" ref="Z139:AC139" ca="1" si="265">Z304</f>
        <v/>
      </c>
      <c r="AA139" s="227" t="str">
        <f t="shared" ca="1" si="265"/>
        <v>#REF!</v>
      </c>
      <c r="AB139" s="227" t="str">
        <f t="shared" ca="1" si="265"/>
        <v>#REF!</v>
      </c>
      <c r="AC139" s="227" t="str">
        <f t="shared" ca="1" si="265"/>
        <v>#REF!</v>
      </c>
      <c r="AD139" s="228" t="str">
        <f t="shared" ref="AD139:AD143" ca="1" si="266">AC139</f>
        <v/>
      </c>
      <c r="AE139" s="228" t="str">
        <f t="shared" ref="AE139:AG139" ca="1" si="267">AE304</f>
        <v/>
      </c>
      <c r="AF139" s="228" t="str">
        <f t="shared" ca="1" si="267"/>
        <v>#REF!</v>
      </c>
      <c r="AG139" s="228" t="str">
        <f t="shared" ca="1" si="267"/>
        <v>#REF!</v>
      </c>
      <c r="AH139" s="12"/>
      <c r="AI139" s="12"/>
      <c r="AJ139" s="12"/>
      <c r="AK139" s="12"/>
    </row>
    <row r="140" spans="1:37" ht="13.5" customHeight="1">
      <c r="A140" s="211"/>
      <c r="B140" s="12"/>
      <c r="C140" s="12" t="s">
        <v>346</v>
      </c>
      <c r="D140" s="12"/>
      <c r="E140" s="12"/>
      <c r="F140" s="304">
        <f>896+14948</f>
        <v>15844</v>
      </c>
      <c r="G140" s="304">
        <f>14937+894</f>
        <v>15831</v>
      </c>
      <c r="H140" s="304">
        <f>1117+14460</f>
        <v>15577</v>
      </c>
      <c r="I140" s="304">
        <f>1110+14391</f>
        <v>15501</v>
      </c>
      <c r="J140" s="131">
        <f t="shared" si="261"/>
        <v>15501</v>
      </c>
      <c r="K140" s="304">
        <f>1008+16542</f>
        <v>17550</v>
      </c>
      <c r="L140" s="304">
        <f>1009+16538</f>
        <v>17547</v>
      </c>
      <c r="M140" s="304">
        <f>574+16635</f>
        <v>17209</v>
      </c>
      <c r="N140" s="304">
        <f>597+16768</f>
        <v>17365</v>
      </c>
      <c r="O140" s="131">
        <f t="shared" si="262"/>
        <v>17365</v>
      </c>
      <c r="P140" s="304">
        <v>15016.918</v>
      </c>
      <c r="Q140" s="304">
        <v>14453.206</v>
      </c>
      <c r="R140" s="304">
        <v>14463.02</v>
      </c>
      <c r="S140" s="304">
        <v>14462.835999999999</v>
      </c>
      <c r="T140" s="131">
        <f t="shared" si="263"/>
        <v>14462.835999999999</v>
      </c>
      <c r="U140" s="304">
        <f>1338+21906</f>
        <v>23244</v>
      </c>
      <c r="V140" s="304">
        <f>21967+1344</f>
        <v>23311</v>
      </c>
      <c r="W140" s="304">
        <f>23881+1352</f>
        <v>25233</v>
      </c>
      <c r="X140" s="305">
        <f>X310</f>
        <v>24733</v>
      </c>
      <c r="Y140" s="131">
        <f t="shared" si="264"/>
        <v>24733</v>
      </c>
      <c r="Z140" s="305">
        <f t="shared" ref="Z140:AC140" si="268">Z310</f>
        <v>24233</v>
      </c>
      <c r="AA140" s="305">
        <f t="shared" si="268"/>
        <v>23733</v>
      </c>
      <c r="AB140" s="305">
        <f t="shared" si="268"/>
        <v>23233</v>
      </c>
      <c r="AC140" s="305">
        <f t="shared" si="268"/>
        <v>22733</v>
      </c>
      <c r="AD140" s="131">
        <f t="shared" si="266"/>
        <v>22733</v>
      </c>
      <c r="AE140" s="131">
        <f t="shared" ref="AE140:AG140" si="269">AE310</f>
        <v>21333</v>
      </c>
      <c r="AF140" s="131">
        <f t="shared" si="269"/>
        <v>20033</v>
      </c>
      <c r="AG140" s="131">
        <f t="shared" si="269"/>
        <v>18833</v>
      </c>
      <c r="AH140" s="12"/>
      <c r="AI140" s="12"/>
      <c r="AJ140" s="12"/>
      <c r="AK140" s="12"/>
    </row>
    <row r="141" spans="1:37" ht="13.5" customHeight="1">
      <c r="A141" s="211"/>
      <c r="B141" s="12"/>
      <c r="C141" s="12" t="s">
        <v>347</v>
      </c>
      <c r="D141" s="12"/>
      <c r="E141" s="12"/>
      <c r="F141" s="304">
        <v>0</v>
      </c>
      <c r="G141" s="304">
        <v>0</v>
      </c>
      <c r="H141" s="304">
        <v>0</v>
      </c>
      <c r="I141" s="304">
        <v>0</v>
      </c>
      <c r="J141" s="131">
        <f t="shared" si="261"/>
        <v>0</v>
      </c>
      <c r="K141" s="304">
        <v>0</v>
      </c>
      <c r="L141" s="304">
        <v>0</v>
      </c>
      <c r="M141" s="304">
        <v>0</v>
      </c>
      <c r="N141" s="304">
        <v>0</v>
      </c>
      <c r="O141" s="131">
        <f t="shared" si="262"/>
        <v>0</v>
      </c>
      <c r="P141" s="304">
        <v>0</v>
      </c>
      <c r="Q141" s="304">
        <v>0</v>
      </c>
      <c r="R141" s="304">
        <v>0</v>
      </c>
      <c r="S141" s="304">
        <v>168</v>
      </c>
      <c r="T141" s="131">
        <f t="shared" si="263"/>
        <v>168</v>
      </c>
      <c r="U141" s="304">
        <v>0</v>
      </c>
      <c r="V141" s="304">
        <v>0</v>
      </c>
      <c r="W141" s="304">
        <v>0</v>
      </c>
      <c r="X141" s="305">
        <f t="shared" ref="X141:X142" si="270">X223</f>
        <v>0</v>
      </c>
      <c r="Y141" s="131">
        <f t="shared" si="264"/>
        <v>0</v>
      </c>
      <c r="Z141" s="305">
        <f t="shared" ref="Z141:AC141" si="271">Z223</f>
        <v>0</v>
      </c>
      <c r="AA141" s="305">
        <f t="shared" si="271"/>
        <v>0</v>
      </c>
      <c r="AB141" s="305">
        <f t="shared" si="271"/>
        <v>0</v>
      </c>
      <c r="AC141" s="305">
        <f t="shared" si="271"/>
        <v>0</v>
      </c>
      <c r="AD141" s="131">
        <f t="shared" si="266"/>
        <v>0</v>
      </c>
      <c r="AE141" s="131">
        <f t="shared" ref="AE141:AG141" si="272">AE223</f>
        <v>0</v>
      </c>
      <c r="AF141" s="131">
        <f t="shared" si="272"/>
        <v>0</v>
      </c>
      <c r="AG141" s="131">
        <f t="shared" si="272"/>
        <v>0</v>
      </c>
      <c r="AH141" s="12"/>
      <c r="AI141" s="12"/>
      <c r="AJ141" s="12"/>
      <c r="AK141" s="12"/>
    </row>
    <row r="142" spans="1:37" ht="13.5" customHeight="1">
      <c r="A142" s="211"/>
      <c r="B142" s="12"/>
      <c r="C142" s="12" t="s">
        <v>348</v>
      </c>
      <c r="D142" s="12"/>
      <c r="E142" s="12"/>
      <c r="F142" s="300">
        <v>11167.055</v>
      </c>
      <c r="G142" s="300">
        <v>9593.9869999999937</v>
      </c>
      <c r="H142" s="300">
        <v>9646.5169999999998</v>
      </c>
      <c r="I142" s="300">
        <v>8002.0350000000035</v>
      </c>
      <c r="J142" s="301">
        <f t="shared" si="261"/>
        <v>8002.0350000000035</v>
      </c>
      <c r="K142" s="300">
        <v>13963.629000000001</v>
      </c>
      <c r="L142" s="300">
        <v>11181.433000000005</v>
      </c>
      <c r="M142" s="300">
        <v>11082.221000000005</v>
      </c>
      <c r="N142" s="300">
        <v>7473.8439999999973</v>
      </c>
      <c r="O142" s="301">
        <f t="shared" si="262"/>
        <v>7473.8439999999973</v>
      </c>
      <c r="P142" s="300">
        <v>4330.0150000000003</v>
      </c>
      <c r="Q142" s="300">
        <v>4752.2240000000002</v>
      </c>
      <c r="R142" s="300">
        <v>4785.9210000000003</v>
      </c>
      <c r="S142" s="300">
        <v>4536.6040000000003</v>
      </c>
      <c r="T142" s="301">
        <f t="shared" si="263"/>
        <v>4536.6040000000003</v>
      </c>
      <c r="U142" s="300">
        <f>3925+1050+982</f>
        <v>5957</v>
      </c>
      <c r="V142" s="300">
        <f>3841+1010+1097</f>
        <v>5948</v>
      </c>
      <c r="W142" s="300">
        <f>4136+1119+1006</f>
        <v>6261</v>
      </c>
      <c r="X142" s="302">
        <f t="shared" si="270"/>
        <v>6261</v>
      </c>
      <c r="Y142" s="301">
        <f t="shared" si="264"/>
        <v>6261</v>
      </c>
      <c r="Z142" s="302">
        <f t="shared" ref="Z142:AC142" si="273">Z224</f>
        <v>6261</v>
      </c>
      <c r="AA142" s="302">
        <f t="shared" si="273"/>
        <v>6261</v>
      </c>
      <c r="AB142" s="302">
        <f t="shared" si="273"/>
        <v>6261</v>
      </c>
      <c r="AC142" s="302">
        <f t="shared" si="273"/>
        <v>6261</v>
      </c>
      <c r="AD142" s="301">
        <f t="shared" si="266"/>
        <v>6261</v>
      </c>
      <c r="AE142" s="301">
        <f t="shared" ref="AE142:AG142" si="274">AE224</f>
        <v>6261</v>
      </c>
      <c r="AF142" s="301">
        <f t="shared" si="274"/>
        <v>6261</v>
      </c>
      <c r="AG142" s="301">
        <f t="shared" si="274"/>
        <v>6261</v>
      </c>
      <c r="AH142" s="12"/>
      <c r="AI142" s="12"/>
      <c r="AJ142" s="12"/>
      <c r="AK142" s="12"/>
    </row>
    <row r="143" spans="1:37" ht="13.5" customHeight="1">
      <c r="A143" s="211"/>
      <c r="B143" s="12"/>
      <c r="C143" s="108" t="s">
        <v>349</v>
      </c>
      <c r="D143" s="12"/>
      <c r="E143" s="12"/>
      <c r="F143" s="299">
        <f t="shared" ref="F143:I143" si="275">SUM(F139:F142)</f>
        <v>27011.055</v>
      </c>
      <c r="G143" s="299">
        <f t="shared" si="275"/>
        <v>25424.986999999994</v>
      </c>
      <c r="H143" s="299">
        <f t="shared" si="275"/>
        <v>25223.517</v>
      </c>
      <c r="I143" s="299">
        <f t="shared" si="275"/>
        <v>23503.035000000003</v>
      </c>
      <c r="J143" s="228">
        <f t="shared" si="261"/>
        <v>23503.035000000003</v>
      </c>
      <c r="K143" s="299">
        <f t="shared" ref="K143:N143" si="276">SUM(K139:K142)</f>
        <v>31513.629000000001</v>
      </c>
      <c r="L143" s="299">
        <f t="shared" si="276"/>
        <v>28728.433000000005</v>
      </c>
      <c r="M143" s="299">
        <f t="shared" si="276"/>
        <v>28291.221000000005</v>
      </c>
      <c r="N143" s="299">
        <f t="shared" si="276"/>
        <v>24838.843999999997</v>
      </c>
      <c r="O143" s="228">
        <f t="shared" si="262"/>
        <v>24838.843999999997</v>
      </c>
      <c r="P143" s="299">
        <f t="shared" ref="P143:S143" si="277">SUM(P139:P142)</f>
        <v>19346.933000000001</v>
      </c>
      <c r="Q143" s="299">
        <f t="shared" si="277"/>
        <v>19205.43</v>
      </c>
      <c r="R143" s="299">
        <f t="shared" si="277"/>
        <v>19248.940999999999</v>
      </c>
      <c r="S143" s="299">
        <f t="shared" si="277"/>
        <v>19167.439999999999</v>
      </c>
      <c r="T143" s="228">
        <f t="shared" si="263"/>
        <v>19167.439999999999</v>
      </c>
      <c r="U143" s="299">
        <f t="shared" ref="U143:X143" si="278">SUM(U139:U142)</f>
        <v>29201</v>
      </c>
      <c r="V143" s="299">
        <f t="shared" si="278"/>
        <v>29259</v>
      </c>
      <c r="W143" s="299">
        <f t="shared" si="278"/>
        <v>31494</v>
      </c>
      <c r="X143" s="227" t="str">
        <f t="shared" ca="1" si="278"/>
        <v>#REF!</v>
      </c>
      <c r="Y143" s="228" t="str">
        <f t="shared" ca="1" si="264"/>
        <v>#REF!</v>
      </c>
      <c r="Z143" s="227" t="str">
        <f t="shared" ref="Z143:AC143" ca="1" si="279">SUM(Z139:Z142)</f>
        <v/>
      </c>
      <c r="AA143" s="227" t="str">
        <f t="shared" ca="1" si="279"/>
        <v>#REF!</v>
      </c>
      <c r="AB143" s="227" t="str">
        <f t="shared" ca="1" si="279"/>
        <v>#REF!</v>
      </c>
      <c r="AC143" s="227" t="str">
        <f t="shared" ca="1" si="279"/>
        <v>#REF!</v>
      </c>
      <c r="AD143" s="228" t="str">
        <f t="shared" ca="1" si="266"/>
        <v>#REF!</v>
      </c>
      <c r="AE143" s="228" t="str">
        <f t="shared" ref="AE143:AG143" ca="1" si="280">SUM(AE139:AE142)</f>
        <v/>
      </c>
      <c r="AF143" s="228" t="str">
        <f t="shared" ca="1" si="280"/>
        <v>#REF!</v>
      </c>
      <c r="AG143" s="228" t="str">
        <f t="shared" ca="1" si="280"/>
        <v>#REF!</v>
      </c>
      <c r="AH143" s="12"/>
      <c r="AI143" s="12"/>
      <c r="AJ143" s="12"/>
      <c r="AK143" s="12"/>
    </row>
    <row r="144" spans="1:37" ht="13.5" customHeight="1">
      <c r="A144" s="211"/>
      <c r="B144" s="12"/>
      <c r="C144" s="12"/>
      <c r="D144" s="12"/>
      <c r="E144" s="12"/>
      <c r="F144" s="261"/>
      <c r="G144" s="261"/>
      <c r="H144" s="261"/>
      <c r="I144" s="261"/>
      <c r="J144" s="12"/>
      <c r="K144" s="261"/>
      <c r="L144" s="261"/>
      <c r="M144" s="261"/>
      <c r="N144" s="261"/>
      <c r="O144" s="12"/>
      <c r="P144" s="261"/>
      <c r="Q144" s="261"/>
      <c r="R144" s="261"/>
      <c r="S144" s="261"/>
      <c r="T144" s="12"/>
      <c r="U144" s="261"/>
      <c r="V144" s="261"/>
      <c r="W144" s="261"/>
      <c r="X144" s="262"/>
      <c r="Y144" s="12"/>
      <c r="Z144" s="262"/>
      <c r="AA144" s="262"/>
      <c r="AB144" s="262"/>
      <c r="AC144" s="262"/>
      <c r="AD144" s="12"/>
      <c r="AE144" s="12"/>
      <c r="AF144" s="12"/>
      <c r="AG144" s="12"/>
      <c r="AH144" s="12"/>
      <c r="AI144" s="12"/>
      <c r="AJ144" s="12"/>
      <c r="AK144" s="12"/>
    </row>
    <row r="145" spans="1:37" ht="13.5" customHeight="1">
      <c r="A145" s="211"/>
      <c r="B145" s="12"/>
      <c r="C145" s="108" t="s">
        <v>350</v>
      </c>
      <c r="D145" s="12"/>
      <c r="E145" s="12"/>
      <c r="F145" s="299">
        <f t="shared" ref="F145:AG145" si="281">SUM(F137,F143)</f>
        <v>33380.111000000004</v>
      </c>
      <c r="G145" s="299">
        <f t="shared" si="281"/>
        <v>31981.074999999993</v>
      </c>
      <c r="H145" s="299">
        <f t="shared" si="281"/>
        <v>31459.853999999999</v>
      </c>
      <c r="I145" s="299">
        <f t="shared" si="281"/>
        <v>30500.407000000003</v>
      </c>
      <c r="J145" s="228">
        <f t="shared" si="281"/>
        <v>30500.407000000003</v>
      </c>
      <c r="K145" s="299">
        <f t="shared" si="281"/>
        <v>38617.404999999999</v>
      </c>
      <c r="L145" s="299">
        <f t="shared" si="281"/>
        <v>35813.234000000004</v>
      </c>
      <c r="M145" s="299">
        <f t="shared" si="281"/>
        <v>36062.932000000001</v>
      </c>
      <c r="N145" s="299">
        <f t="shared" si="281"/>
        <v>34137.296999999999</v>
      </c>
      <c r="O145" s="228">
        <f t="shared" si="281"/>
        <v>34137.296999999999</v>
      </c>
      <c r="P145" s="299">
        <f t="shared" si="281"/>
        <v>31109.870000000003</v>
      </c>
      <c r="Q145" s="299">
        <f t="shared" si="281"/>
        <v>32243.654999999999</v>
      </c>
      <c r="R145" s="299">
        <f t="shared" si="281"/>
        <v>33684.084000000003</v>
      </c>
      <c r="S145" s="299">
        <f t="shared" si="281"/>
        <v>32950.985000000001</v>
      </c>
      <c r="T145" s="228">
        <f t="shared" si="281"/>
        <v>32950.985000000001</v>
      </c>
      <c r="U145" s="299">
        <f t="shared" si="281"/>
        <v>40815.667000000001</v>
      </c>
      <c r="V145" s="299">
        <f t="shared" si="281"/>
        <v>49579</v>
      </c>
      <c r="W145" s="299">
        <f t="shared" si="281"/>
        <v>50976</v>
      </c>
      <c r="X145" s="227" t="str">
        <f t="shared" ca="1" si="281"/>
        <v>#REF!</v>
      </c>
      <c r="Y145" s="228" t="str">
        <f t="shared" ca="1" si="281"/>
        <v>#REF!</v>
      </c>
      <c r="Z145" s="227" t="str">
        <f t="shared" ca="1" si="281"/>
        <v>#REF!</v>
      </c>
      <c r="AA145" s="227" t="str">
        <f t="shared" ca="1" si="281"/>
        <v>#REF!</v>
      </c>
      <c r="AB145" s="227" t="str">
        <f t="shared" ca="1" si="281"/>
        <v>#REF!</v>
      </c>
      <c r="AC145" s="227" t="str">
        <f t="shared" ca="1" si="281"/>
        <v>#REF!</v>
      </c>
      <c r="AD145" s="228" t="str">
        <f t="shared" ca="1" si="281"/>
        <v>#REF!</v>
      </c>
      <c r="AE145" s="228" t="str">
        <f t="shared" ca="1" si="281"/>
        <v>#REF!</v>
      </c>
      <c r="AF145" s="228" t="str">
        <f t="shared" ca="1" si="281"/>
        <v>#REF!</v>
      </c>
      <c r="AG145" s="228" t="str">
        <f t="shared" ca="1" si="281"/>
        <v>#REF!</v>
      </c>
      <c r="AH145" s="12"/>
      <c r="AI145" s="12"/>
      <c r="AJ145" s="12"/>
      <c r="AK145" s="12"/>
    </row>
    <row r="146" spans="1:37" ht="13.5" customHeight="1">
      <c r="A146" s="211"/>
      <c r="B146" s="12"/>
      <c r="C146" s="12"/>
      <c r="D146" s="12"/>
      <c r="E146" s="12"/>
      <c r="F146" s="261"/>
      <c r="G146" s="261"/>
      <c r="H146" s="261"/>
      <c r="I146" s="261"/>
      <c r="J146" s="12"/>
      <c r="K146" s="261"/>
      <c r="L146" s="261"/>
      <c r="M146" s="261"/>
      <c r="N146" s="261"/>
      <c r="O146" s="12"/>
      <c r="P146" s="261"/>
      <c r="Q146" s="261"/>
      <c r="R146" s="261"/>
      <c r="S146" s="261"/>
      <c r="T146" s="12"/>
      <c r="U146" s="261"/>
      <c r="V146" s="261"/>
      <c r="W146" s="261"/>
      <c r="X146" s="262"/>
      <c r="Y146" s="12"/>
      <c r="Z146" s="262"/>
      <c r="AA146" s="262"/>
      <c r="AB146" s="262"/>
      <c r="AC146" s="262"/>
      <c r="AD146" s="12"/>
      <c r="AE146" s="12"/>
      <c r="AF146" s="12"/>
      <c r="AG146" s="12"/>
      <c r="AH146" s="12"/>
      <c r="AI146" s="12"/>
      <c r="AJ146" s="12"/>
      <c r="AK146" s="12"/>
    </row>
    <row r="147" spans="1:37" ht="13.5" customHeight="1">
      <c r="A147" s="211"/>
      <c r="B147" s="12"/>
      <c r="C147" s="12" t="s">
        <v>351</v>
      </c>
      <c r="D147" s="12"/>
      <c r="E147" s="12"/>
      <c r="F147" s="338">
        <v>3533.4749999999999</v>
      </c>
      <c r="G147" s="338">
        <v>2997.4549999999999</v>
      </c>
      <c r="H147" s="338">
        <v>611.75</v>
      </c>
      <c r="I147" s="338">
        <v>-1777.028</v>
      </c>
      <c r="J147" s="228">
        <f t="shared" ref="J147:J151" si="282">I147</f>
        <v>-1777.028</v>
      </c>
      <c r="K147" s="338">
        <v>-3444.2060000000001</v>
      </c>
      <c r="L147" s="338">
        <v>-4866.9939999999997</v>
      </c>
      <c r="M147" s="338">
        <v>-6366.9520000000002</v>
      </c>
      <c r="N147" s="338">
        <v>-6919.5119999999997</v>
      </c>
      <c r="O147" s="228">
        <f t="shared" ref="O147:O151" si="283">N147</f>
        <v>-6919.5119999999997</v>
      </c>
      <c r="P147" s="338">
        <v>-10077.459999999999</v>
      </c>
      <c r="Q147" s="338">
        <v>-11460.114</v>
      </c>
      <c r="R147" s="338">
        <v>-13190.306</v>
      </c>
      <c r="S147" s="338">
        <v>-15086.248</v>
      </c>
      <c r="T147" s="228">
        <f t="shared" ref="T147:T151" si="284">S147</f>
        <v>-15086.248</v>
      </c>
      <c r="U147" s="338">
        <v>-16203.478999999999</v>
      </c>
      <c r="V147" s="338">
        <v>350</v>
      </c>
      <c r="W147" s="338">
        <v>343</v>
      </c>
      <c r="X147" s="227">
        <f>X247</f>
        <v>394.3</v>
      </c>
      <c r="Y147" s="228">
        <f t="shared" ref="Y147:Y151" si="285">X147</f>
        <v>394.3</v>
      </c>
      <c r="Z147" s="227">
        <f t="shared" ref="Z147:AC147" si="286">Z247</f>
        <v>454.834</v>
      </c>
      <c r="AA147" s="227">
        <f t="shared" si="286"/>
        <v>523.84276</v>
      </c>
      <c r="AB147" s="227">
        <f t="shared" si="286"/>
        <v>584.57046879999996</v>
      </c>
      <c r="AC147" s="227">
        <f t="shared" si="286"/>
        <v>642.26179215999991</v>
      </c>
      <c r="AD147" s="228">
        <f t="shared" ref="AD147:AD151" si="287">AC147</f>
        <v>642.26179215999991</v>
      </c>
      <c r="AE147" s="228">
        <f t="shared" ref="AE147:AG147" si="288">AE247</f>
        <v>895.18282016319995</v>
      </c>
      <c r="AF147" s="228">
        <f t="shared" si="288"/>
        <v>1153.1622687264639</v>
      </c>
      <c r="AG147" s="228">
        <f t="shared" si="288"/>
        <v>1416.3013062609932</v>
      </c>
      <c r="AH147" s="12"/>
      <c r="AI147" s="12"/>
      <c r="AJ147" s="12"/>
      <c r="AK147" s="12"/>
    </row>
    <row r="148" spans="1:37" ht="13.5" customHeight="1">
      <c r="A148" s="211"/>
      <c r="B148" s="12"/>
      <c r="C148" s="12" t="s">
        <v>352</v>
      </c>
      <c r="D148" s="12"/>
      <c r="E148" s="12"/>
      <c r="F148" s="304">
        <v>18486.416000000001</v>
      </c>
      <c r="G148" s="304">
        <v>19974.026000000002</v>
      </c>
      <c r="H148" s="304">
        <v>21651.448</v>
      </c>
      <c r="I148" s="304">
        <v>22589.286</v>
      </c>
      <c r="J148" s="131">
        <f t="shared" si="282"/>
        <v>22589.286</v>
      </c>
      <c r="K148" s="304">
        <v>24921.494999999999</v>
      </c>
      <c r="L148" s="304">
        <v>27068.800999999999</v>
      </c>
      <c r="M148" s="304">
        <v>29432.31</v>
      </c>
      <c r="N148" s="304">
        <v>31300.917000000001</v>
      </c>
      <c r="O148" s="131">
        <f t="shared" si="283"/>
        <v>31300.917000000001</v>
      </c>
      <c r="P148" s="304">
        <v>34191.267999999996</v>
      </c>
      <c r="Q148" s="304">
        <v>37316.680999999997</v>
      </c>
      <c r="R148" s="304">
        <v>39863.597000000002</v>
      </c>
      <c r="S148" s="304">
        <v>42282.118000000002</v>
      </c>
      <c r="T148" s="131">
        <f t="shared" si="284"/>
        <v>42282.118000000002</v>
      </c>
      <c r="U148" s="304">
        <v>47564.909</v>
      </c>
      <c r="V148" s="304">
        <f>-460</f>
        <v>-460</v>
      </c>
      <c r="W148" s="304">
        <f>-1913</f>
        <v>-1913</v>
      </c>
      <c r="X148" s="305" t="str">
        <f ca="1">X256</f>
        <v/>
      </c>
      <c r="Y148" s="131" t="str">
        <f t="shared" ca="1" si="285"/>
        <v>#REF!</v>
      </c>
      <c r="Z148" s="305" t="str">
        <f t="shared" ref="Z148:AC148" ca="1" si="289">Z256</f>
        <v/>
      </c>
      <c r="AA148" s="305" t="str">
        <f t="shared" ca="1" si="289"/>
        <v>#REF!</v>
      </c>
      <c r="AB148" s="305" t="str">
        <f t="shared" ca="1" si="289"/>
        <v>#REF!</v>
      </c>
      <c r="AC148" s="305" t="str">
        <f t="shared" ca="1" si="289"/>
        <v>#REF!</v>
      </c>
      <c r="AD148" s="131" t="str">
        <f t="shared" ca="1" si="287"/>
        <v>#REF!</v>
      </c>
      <c r="AE148" s="131" t="str">
        <f t="shared" ref="AE148:AG148" ca="1" si="290">AE256</f>
        <v/>
      </c>
      <c r="AF148" s="131" t="str">
        <f t="shared" ca="1" si="290"/>
        <v>#REF!</v>
      </c>
      <c r="AG148" s="131" t="str">
        <f t="shared" ca="1" si="290"/>
        <v>#REF!</v>
      </c>
      <c r="AH148" s="12"/>
      <c r="AI148" s="12"/>
      <c r="AJ148" s="12"/>
      <c r="AK148" s="12"/>
    </row>
    <row r="149" spans="1:37" ht="13.5" customHeight="1">
      <c r="A149" s="211"/>
      <c r="B149" s="12"/>
      <c r="C149" s="12" t="s">
        <v>353</v>
      </c>
      <c r="D149" s="12"/>
      <c r="E149" s="12"/>
      <c r="F149" s="304">
        <v>0</v>
      </c>
      <c r="G149" s="304">
        <v>0</v>
      </c>
      <c r="H149" s="304">
        <v>0</v>
      </c>
      <c r="I149" s="304">
        <v>0</v>
      </c>
      <c r="J149" s="131">
        <f t="shared" si="282"/>
        <v>0</v>
      </c>
      <c r="K149" s="304">
        <v>0</v>
      </c>
      <c r="L149" s="304">
        <v>0</v>
      </c>
      <c r="M149" s="304">
        <v>0</v>
      </c>
      <c r="N149" s="304">
        <v>0</v>
      </c>
      <c r="O149" s="131">
        <f t="shared" si="283"/>
        <v>0</v>
      </c>
      <c r="P149" s="304">
        <v>0</v>
      </c>
      <c r="Q149" s="304">
        <v>0</v>
      </c>
      <c r="R149" s="304">
        <v>0</v>
      </c>
      <c r="S149" s="304">
        <v>0</v>
      </c>
      <c r="T149" s="131">
        <f t="shared" si="284"/>
        <v>0</v>
      </c>
      <c r="U149" s="304">
        <v>0</v>
      </c>
      <c r="V149" s="304">
        <v>0</v>
      </c>
      <c r="W149" s="304">
        <v>0</v>
      </c>
      <c r="X149" s="305">
        <f>-X241+W149</f>
        <v>-500</v>
      </c>
      <c r="Y149" s="131">
        <f t="shared" si="285"/>
        <v>-500</v>
      </c>
      <c r="Z149" s="305">
        <f t="shared" ref="Z149:AC149" si="291">-Z241+Y149</f>
        <v>-1000</v>
      </c>
      <c r="AA149" s="305">
        <f t="shared" si="291"/>
        <v>-1500</v>
      </c>
      <c r="AB149" s="305">
        <f t="shared" si="291"/>
        <v>-2000</v>
      </c>
      <c r="AC149" s="305">
        <f t="shared" si="291"/>
        <v>-2500</v>
      </c>
      <c r="AD149" s="131">
        <f t="shared" si="287"/>
        <v>-2500</v>
      </c>
      <c r="AE149" s="131">
        <f t="shared" ref="AE149:AG149" si="292">-AE241+AD149</f>
        <v>-5500</v>
      </c>
      <c r="AF149" s="131">
        <f t="shared" si="292"/>
        <v>-8500</v>
      </c>
      <c r="AG149" s="131">
        <f t="shared" si="292"/>
        <v>-11500</v>
      </c>
      <c r="AH149" s="12"/>
      <c r="AI149" s="12"/>
      <c r="AJ149" s="12"/>
      <c r="AK149" s="12"/>
    </row>
    <row r="150" spans="1:37" ht="13.5" customHeight="1">
      <c r="A150" s="211"/>
      <c r="B150" s="12"/>
      <c r="C150" s="12" t="s">
        <v>354</v>
      </c>
      <c r="D150" s="12"/>
      <c r="E150" s="12"/>
      <c r="F150" s="300">
        <v>-191.69499999999999</v>
      </c>
      <c r="G150" s="300">
        <v>-139.26599999999999</v>
      </c>
      <c r="H150" s="300">
        <v>-155.571</v>
      </c>
      <c r="I150" s="300">
        <v>-223.94499999999999</v>
      </c>
      <c r="J150" s="301">
        <f t="shared" si="282"/>
        <v>-223.94499999999999</v>
      </c>
      <c r="K150" s="300">
        <v>-111.879</v>
      </c>
      <c r="L150" s="300">
        <v>-89.114000000000004</v>
      </c>
      <c r="M150" s="300">
        <v>-344.62200000000001</v>
      </c>
      <c r="N150" s="300">
        <v>362.16199999999998</v>
      </c>
      <c r="O150" s="301">
        <f t="shared" si="283"/>
        <v>362.16199999999998</v>
      </c>
      <c r="P150" s="300">
        <v>-85.734999999999999</v>
      </c>
      <c r="Q150" s="300">
        <v>-904.66800000000001</v>
      </c>
      <c r="R150" s="300">
        <v>-719.25599999999997</v>
      </c>
      <c r="S150" s="300">
        <v>-580.38199999999995</v>
      </c>
      <c r="T150" s="301">
        <f t="shared" si="284"/>
        <v>-580.38199999999995</v>
      </c>
      <c r="U150" s="300">
        <v>-235.03100000000001</v>
      </c>
      <c r="V150" s="300">
        <f>-65</f>
        <v>-65</v>
      </c>
      <c r="W150" s="300">
        <v>-6</v>
      </c>
      <c r="X150" s="302">
        <f>X261</f>
        <v>-6</v>
      </c>
      <c r="Y150" s="301">
        <f t="shared" si="285"/>
        <v>-6</v>
      </c>
      <c r="Z150" s="302">
        <f t="shared" ref="Z150:AC150" si="293">Z261</f>
        <v>-6</v>
      </c>
      <c r="AA150" s="302">
        <f t="shared" si="293"/>
        <v>-6</v>
      </c>
      <c r="AB150" s="302">
        <f t="shared" si="293"/>
        <v>-6</v>
      </c>
      <c r="AC150" s="302">
        <f t="shared" si="293"/>
        <v>-6</v>
      </c>
      <c r="AD150" s="301">
        <f t="shared" si="287"/>
        <v>-6</v>
      </c>
      <c r="AE150" s="301">
        <f t="shared" ref="AE150:AG150" si="294">AE261</f>
        <v>-6</v>
      </c>
      <c r="AF150" s="301">
        <f t="shared" si="294"/>
        <v>-6</v>
      </c>
      <c r="AG150" s="301">
        <f t="shared" si="294"/>
        <v>-6</v>
      </c>
      <c r="AH150" s="12"/>
      <c r="AI150" s="12"/>
      <c r="AJ150" s="12"/>
      <c r="AK150" s="12"/>
    </row>
    <row r="151" spans="1:37" ht="13.5" customHeight="1">
      <c r="A151" s="211"/>
      <c r="B151" s="12"/>
      <c r="C151" s="108" t="s">
        <v>355</v>
      </c>
      <c r="D151" s="12"/>
      <c r="E151" s="12"/>
      <c r="F151" s="299">
        <f t="shared" ref="F151:I151" si="295">SUM(F147:F150)</f>
        <v>21828.196</v>
      </c>
      <c r="G151" s="299">
        <f t="shared" si="295"/>
        <v>22832.215</v>
      </c>
      <c r="H151" s="299">
        <f t="shared" si="295"/>
        <v>22107.627</v>
      </c>
      <c r="I151" s="299">
        <f t="shared" si="295"/>
        <v>20588.313000000002</v>
      </c>
      <c r="J151" s="228">
        <f t="shared" si="282"/>
        <v>20588.313000000002</v>
      </c>
      <c r="K151" s="299">
        <f t="shared" ref="K151:N151" si="296">SUM(K147:K150)</f>
        <v>21365.409999999996</v>
      </c>
      <c r="L151" s="299">
        <f t="shared" si="296"/>
        <v>22112.692999999999</v>
      </c>
      <c r="M151" s="299">
        <f t="shared" si="296"/>
        <v>22720.736000000001</v>
      </c>
      <c r="N151" s="299">
        <f t="shared" si="296"/>
        <v>24743.567000000003</v>
      </c>
      <c r="O151" s="228">
        <f t="shared" si="283"/>
        <v>24743.567000000003</v>
      </c>
      <c r="P151" s="299">
        <f t="shared" ref="P151:S151" si="297">SUM(P147:P150)</f>
        <v>24028.072999999997</v>
      </c>
      <c r="Q151" s="299">
        <f t="shared" si="297"/>
        <v>24951.898999999994</v>
      </c>
      <c r="R151" s="299">
        <f t="shared" si="297"/>
        <v>25954.035</v>
      </c>
      <c r="S151" s="299">
        <f t="shared" si="297"/>
        <v>26615.488000000001</v>
      </c>
      <c r="T151" s="228">
        <f t="shared" si="284"/>
        <v>26615.488000000001</v>
      </c>
      <c r="U151" s="299">
        <f t="shared" ref="U151:X151" si="298">SUM(U147:U150)</f>
        <v>31126.399000000001</v>
      </c>
      <c r="V151" s="299">
        <f t="shared" si="298"/>
        <v>-175</v>
      </c>
      <c r="W151" s="299">
        <f t="shared" si="298"/>
        <v>-1576</v>
      </c>
      <c r="X151" s="227" t="str">
        <f t="shared" ca="1" si="298"/>
        <v>#REF!</v>
      </c>
      <c r="Y151" s="228" t="str">
        <f t="shared" ca="1" si="285"/>
        <v>#REF!</v>
      </c>
      <c r="Z151" s="227" t="str">
        <f t="shared" ref="Z151:AC151" ca="1" si="299">SUM(Z147:Z150)</f>
        <v/>
      </c>
      <c r="AA151" s="227" t="str">
        <f t="shared" ca="1" si="299"/>
        <v>#REF!</v>
      </c>
      <c r="AB151" s="227" t="str">
        <f t="shared" ca="1" si="299"/>
        <v>#REF!</v>
      </c>
      <c r="AC151" s="227" t="str">
        <f t="shared" ca="1" si="299"/>
        <v>#REF!</v>
      </c>
      <c r="AD151" s="228" t="str">
        <f t="shared" ca="1" si="287"/>
        <v>#REF!</v>
      </c>
      <c r="AE151" s="228" t="str">
        <f t="shared" ref="AE151:AG151" ca="1" si="300">SUM(AE147:AE150)</f>
        <v/>
      </c>
      <c r="AF151" s="228" t="str">
        <f t="shared" ca="1" si="300"/>
        <v>#REF!</v>
      </c>
      <c r="AG151" s="228" t="str">
        <f t="shared" ca="1" si="300"/>
        <v>#REF!</v>
      </c>
      <c r="AH151" s="12"/>
      <c r="AI151" s="12"/>
      <c r="AJ151" s="12"/>
      <c r="AK151" s="12"/>
    </row>
    <row r="152" spans="1:37" ht="13.5" customHeight="1">
      <c r="A152" s="211"/>
      <c r="B152" s="12"/>
      <c r="C152" s="12"/>
      <c r="D152" s="12"/>
      <c r="E152" s="12"/>
      <c r="F152" s="261"/>
      <c r="G152" s="261"/>
      <c r="H152" s="261"/>
      <c r="I152" s="261"/>
      <c r="J152" s="12"/>
      <c r="K152" s="261"/>
      <c r="L152" s="261"/>
      <c r="M152" s="261"/>
      <c r="N152" s="261"/>
      <c r="O152" s="12"/>
      <c r="P152" s="261"/>
      <c r="Q152" s="261"/>
      <c r="R152" s="261"/>
      <c r="S152" s="261"/>
      <c r="T152" s="12"/>
      <c r="U152" s="261"/>
      <c r="V152" s="261"/>
      <c r="W152" s="261"/>
      <c r="X152" s="262"/>
      <c r="Y152" s="12"/>
      <c r="Z152" s="262"/>
      <c r="AA152" s="262"/>
      <c r="AB152" s="262"/>
      <c r="AC152" s="262"/>
      <c r="AD152" s="12"/>
      <c r="AE152" s="12"/>
      <c r="AF152" s="12"/>
      <c r="AG152" s="12"/>
      <c r="AH152" s="12"/>
      <c r="AI152" s="12"/>
      <c r="AJ152" s="12"/>
      <c r="AK152" s="12"/>
    </row>
    <row r="153" spans="1:37" ht="13.5" customHeight="1">
      <c r="A153" s="211"/>
      <c r="B153" s="12"/>
      <c r="C153" s="12" t="s">
        <v>356</v>
      </c>
      <c r="D153" s="12"/>
      <c r="E153" s="12"/>
      <c r="F153" s="300">
        <v>0</v>
      </c>
      <c r="G153" s="300">
        <v>0</v>
      </c>
      <c r="H153" s="300">
        <v>0</v>
      </c>
      <c r="I153" s="300">
        <v>0</v>
      </c>
      <c r="J153" s="301">
        <f t="shared" ref="J153:J154" si="301">I153</f>
        <v>0</v>
      </c>
      <c r="K153" s="300">
        <v>0</v>
      </c>
      <c r="L153" s="300">
        <v>0</v>
      </c>
      <c r="M153" s="300">
        <v>0</v>
      </c>
      <c r="N153" s="300">
        <v>0</v>
      </c>
      <c r="O153" s="301">
        <f t="shared" ref="O153:O154" si="302">N153</f>
        <v>0</v>
      </c>
      <c r="P153" s="300">
        <v>0</v>
      </c>
      <c r="Q153" s="300">
        <v>0</v>
      </c>
      <c r="R153" s="300">
        <v>0</v>
      </c>
      <c r="S153" s="300">
        <v>0</v>
      </c>
      <c r="T153" s="301">
        <f t="shared" ref="T153:T154" si="303">S153</f>
        <v>0</v>
      </c>
      <c r="U153" s="300">
        <v>0</v>
      </c>
      <c r="V153" s="300">
        <v>0</v>
      </c>
      <c r="W153" s="300">
        <v>0</v>
      </c>
      <c r="X153" s="302">
        <f>W153+Drivers!X106</f>
        <v>0</v>
      </c>
      <c r="Y153" s="301">
        <f t="shared" ref="Y153:Y154" si="304">X153</f>
        <v>0</v>
      </c>
      <c r="Z153" s="302">
        <f>Y153+Drivers!Z106</f>
        <v>0</v>
      </c>
      <c r="AA153" s="302">
        <f>Z153+Drivers!AA106</f>
        <v>0</v>
      </c>
      <c r="AB153" s="302">
        <f>AA153+Drivers!AB106</f>
        <v>0</v>
      </c>
      <c r="AC153" s="302">
        <f>AB153+Drivers!AC106</f>
        <v>0</v>
      </c>
      <c r="AD153" s="301">
        <f t="shared" ref="AD153:AD154" si="305">AC153</f>
        <v>0</v>
      </c>
      <c r="AE153" s="301">
        <f>AD153+Drivers!AE106</f>
        <v>0</v>
      </c>
      <c r="AF153" s="301">
        <f>AE153+Drivers!AF106</f>
        <v>0</v>
      </c>
      <c r="AG153" s="301">
        <f>AF153+Drivers!AG106</f>
        <v>0</v>
      </c>
      <c r="AH153" s="12"/>
      <c r="AI153" s="12"/>
      <c r="AJ153" s="12"/>
      <c r="AK153" s="12"/>
    </row>
    <row r="154" spans="1:37" ht="13.5" customHeight="1">
      <c r="A154" s="211"/>
      <c r="B154" s="12"/>
      <c r="C154" s="108" t="s">
        <v>357</v>
      </c>
      <c r="D154" s="12"/>
      <c r="E154" s="12"/>
      <c r="F154" s="299">
        <f t="shared" ref="F154:I154" si="306">SUM(F151:F153)</f>
        <v>21828.196</v>
      </c>
      <c r="G154" s="299">
        <f t="shared" si="306"/>
        <v>22832.215</v>
      </c>
      <c r="H154" s="299">
        <f t="shared" si="306"/>
        <v>22107.627</v>
      </c>
      <c r="I154" s="299">
        <f t="shared" si="306"/>
        <v>20588.313000000002</v>
      </c>
      <c r="J154" s="228">
        <f t="shared" si="301"/>
        <v>20588.313000000002</v>
      </c>
      <c r="K154" s="299">
        <f t="shared" ref="K154:N154" si="307">SUM(K151:K153)</f>
        <v>21365.409999999996</v>
      </c>
      <c r="L154" s="299">
        <f t="shared" si="307"/>
        <v>22112.692999999999</v>
      </c>
      <c r="M154" s="299">
        <f t="shared" si="307"/>
        <v>22720.736000000001</v>
      </c>
      <c r="N154" s="299">
        <f t="shared" si="307"/>
        <v>24743.567000000003</v>
      </c>
      <c r="O154" s="228">
        <f t="shared" si="302"/>
        <v>24743.567000000003</v>
      </c>
      <c r="P154" s="299">
        <f t="shared" ref="P154:S154" si="308">SUM(P151:P153)</f>
        <v>24028.072999999997</v>
      </c>
      <c r="Q154" s="299">
        <f t="shared" si="308"/>
        <v>24951.898999999994</v>
      </c>
      <c r="R154" s="299">
        <f t="shared" si="308"/>
        <v>25954.035</v>
      </c>
      <c r="S154" s="299">
        <f t="shared" si="308"/>
        <v>26615.488000000001</v>
      </c>
      <c r="T154" s="228">
        <f t="shared" si="303"/>
        <v>26615.488000000001</v>
      </c>
      <c r="U154" s="299">
        <f t="shared" ref="U154:X154" si="309">SUM(U151:U153)</f>
        <v>31126.399000000001</v>
      </c>
      <c r="V154" s="299">
        <f t="shared" si="309"/>
        <v>-175</v>
      </c>
      <c r="W154" s="299">
        <f t="shared" si="309"/>
        <v>-1576</v>
      </c>
      <c r="X154" s="227" t="str">
        <f t="shared" ca="1" si="309"/>
        <v>#REF!</v>
      </c>
      <c r="Y154" s="228" t="str">
        <f t="shared" ca="1" si="304"/>
        <v>#REF!</v>
      </c>
      <c r="Z154" s="227" t="str">
        <f t="shared" ref="Z154:AC154" ca="1" si="310">SUM(Z151:Z153)</f>
        <v/>
      </c>
      <c r="AA154" s="227" t="str">
        <f t="shared" ca="1" si="310"/>
        <v>#REF!</v>
      </c>
      <c r="AB154" s="227" t="str">
        <f t="shared" ca="1" si="310"/>
        <v>#REF!</v>
      </c>
      <c r="AC154" s="227" t="str">
        <f t="shared" ca="1" si="310"/>
        <v>#REF!</v>
      </c>
      <c r="AD154" s="228" t="str">
        <f t="shared" ca="1" si="305"/>
        <v>#REF!</v>
      </c>
      <c r="AE154" s="228" t="str">
        <f t="shared" ref="AE154:AG154" ca="1" si="311">SUM(AE151:AE153)</f>
        <v/>
      </c>
      <c r="AF154" s="228" t="str">
        <f t="shared" ca="1" si="311"/>
        <v>#REF!</v>
      </c>
      <c r="AG154" s="228" t="str">
        <f t="shared" ca="1" si="311"/>
        <v>#REF!</v>
      </c>
      <c r="AH154" s="12"/>
      <c r="AI154" s="12"/>
      <c r="AJ154" s="12"/>
      <c r="AK154" s="12"/>
    </row>
    <row r="155" spans="1:37" ht="13.5" customHeight="1">
      <c r="A155" s="211"/>
      <c r="B155" s="12"/>
      <c r="C155" s="108"/>
      <c r="D155" s="12"/>
      <c r="E155" s="12"/>
      <c r="F155" s="261"/>
      <c r="G155" s="261"/>
      <c r="H155" s="261"/>
      <c r="I155" s="261"/>
      <c r="J155" s="12"/>
      <c r="K155" s="261"/>
      <c r="L155" s="261"/>
      <c r="M155" s="261"/>
      <c r="N155" s="261"/>
      <c r="O155" s="12"/>
      <c r="P155" s="261"/>
      <c r="Q155" s="261"/>
      <c r="R155" s="261"/>
      <c r="S155" s="261"/>
      <c r="T155" s="12"/>
      <c r="U155" s="261"/>
      <c r="V155" s="261"/>
      <c r="W155" s="261"/>
      <c r="X155" s="262"/>
      <c r="Y155" s="12"/>
      <c r="Z155" s="262"/>
      <c r="AA155" s="262"/>
      <c r="AB155" s="262"/>
      <c r="AC155" s="262"/>
      <c r="AD155" s="12"/>
      <c r="AE155" s="12"/>
      <c r="AF155" s="12"/>
      <c r="AG155" s="12"/>
      <c r="AH155" s="12"/>
      <c r="AI155" s="12"/>
      <c r="AJ155" s="12"/>
      <c r="AK155" s="12"/>
    </row>
    <row r="156" spans="1:37" ht="13.5" customHeight="1">
      <c r="A156" s="211"/>
      <c r="B156" s="12"/>
      <c r="C156" s="108" t="s">
        <v>358</v>
      </c>
      <c r="D156" s="12"/>
      <c r="E156" s="12"/>
      <c r="F156" s="299">
        <f t="shared" ref="F156:AG156" si="312">SUM(F145,F154)</f>
        <v>55208.307000000001</v>
      </c>
      <c r="G156" s="299">
        <f t="shared" si="312"/>
        <v>54813.289999999994</v>
      </c>
      <c r="H156" s="299">
        <f t="shared" si="312"/>
        <v>53567.481</v>
      </c>
      <c r="I156" s="299">
        <f t="shared" si="312"/>
        <v>51088.72</v>
      </c>
      <c r="J156" s="228">
        <f t="shared" si="312"/>
        <v>51088.72</v>
      </c>
      <c r="K156" s="299">
        <f t="shared" si="312"/>
        <v>59982.814999999995</v>
      </c>
      <c r="L156" s="299">
        <f t="shared" si="312"/>
        <v>57925.927000000003</v>
      </c>
      <c r="M156" s="299">
        <f t="shared" si="312"/>
        <v>58783.668000000005</v>
      </c>
      <c r="N156" s="299">
        <f t="shared" si="312"/>
        <v>58880.864000000001</v>
      </c>
      <c r="O156" s="228">
        <f t="shared" si="312"/>
        <v>58880.864000000001</v>
      </c>
      <c r="P156" s="299">
        <f t="shared" si="312"/>
        <v>55137.942999999999</v>
      </c>
      <c r="Q156" s="299">
        <f t="shared" si="312"/>
        <v>57195.553999999989</v>
      </c>
      <c r="R156" s="299">
        <f t="shared" si="312"/>
        <v>59638.119000000006</v>
      </c>
      <c r="S156" s="299">
        <f t="shared" si="312"/>
        <v>59566.472999999998</v>
      </c>
      <c r="T156" s="228">
        <f t="shared" si="312"/>
        <v>59566.472999999998</v>
      </c>
      <c r="U156" s="299">
        <f t="shared" si="312"/>
        <v>71942.066000000006</v>
      </c>
      <c r="V156" s="299">
        <f t="shared" si="312"/>
        <v>49404</v>
      </c>
      <c r="W156" s="299">
        <f t="shared" si="312"/>
        <v>49400</v>
      </c>
      <c r="X156" s="227" t="str">
        <f t="shared" ca="1" si="312"/>
        <v>#REF!</v>
      </c>
      <c r="Y156" s="228" t="str">
        <f t="shared" ca="1" si="312"/>
        <v>#REF!</v>
      </c>
      <c r="Z156" s="227" t="str">
        <f t="shared" ca="1" si="312"/>
        <v>#REF!</v>
      </c>
      <c r="AA156" s="227" t="str">
        <f t="shared" ca="1" si="312"/>
        <v>#REF!</v>
      </c>
      <c r="AB156" s="227" t="str">
        <f t="shared" ca="1" si="312"/>
        <v>#REF!</v>
      </c>
      <c r="AC156" s="227" t="str">
        <f t="shared" ca="1" si="312"/>
        <v>#REF!</v>
      </c>
      <c r="AD156" s="228" t="str">
        <f t="shared" ca="1" si="312"/>
        <v>#REF!</v>
      </c>
      <c r="AE156" s="228" t="str">
        <f t="shared" ca="1" si="312"/>
        <v>#REF!</v>
      </c>
      <c r="AF156" s="228" t="str">
        <f t="shared" ca="1" si="312"/>
        <v>#REF!</v>
      </c>
      <c r="AG156" s="228" t="str">
        <f t="shared" ca="1" si="312"/>
        <v>#REF!</v>
      </c>
      <c r="AH156" s="12"/>
      <c r="AI156" s="12"/>
      <c r="AJ156" s="12"/>
      <c r="AK156" s="12"/>
    </row>
    <row r="157" spans="1:37" ht="13.5" customHeight="1">
      <c r="A157" s="211"/>
      <c r="B157" s="12"/>
      <c r="C157" s="108"/>
      <c r="D157" s="12"/>
      <c r="E157" s="12"/>
      <c r="F157" s="261"/>
      <c r="G157" s="261"/>
      <c r="H157" s="261"/>
      <c r="I157" s="261"/>
      <c r="J157" s="12"/>
      <c r="K157" s="261"/>
      <c r="L157" s="261"/>
      <c r="M157" s="261"/>
      <c r="N157" s="261"/>
      <c r="O157" s="12"/>
      <c r="P157" s="261"/>
      <c r="Q157" s="261"/>
      <c r="R157" s="261"/>
      <c r="S157" s="261"/>
      <c r="T157" s="12"/>
      <c r="U157" s="261"/>
      <c r="V157" s="261"/>
      <c r="W157" s="261"/>
      <c r="X157" s="262"/>
      <c r="Y157" s="12"/>
      <c r="Z157" s="262"/>
      <c r="AA157" s="262"/>
      <c r="AB157" s="262"/>
      <c r="AC157" s="262"/>
      <c r="AD157" s="12"/>
      <c r="AE157" s="12"/>
      <c r="AF157" s="12"/>
      <c r="AG157" s="12"/>
      <c r="AH157" s="12"/>
      <c r="AI157" s="12"/>
      <c r="AJ157" s="12"/>
      <c r="AK157" s="12"/>
    </row>
    <row r="158" spans="1:37" ht="13.5" customHeight="1">
      <c r="A158" s="211"/>
      <c r="B158" s="332"/>
      <c r="C158" s="346" t="s">
        <v>359</v>
      </c>
      <c r="D158" s="347"/>
      <c r="E158" s="347"/>
      <c r="F158" s="348">
        <f t="shared" ref="F158:AG158" si="313">F132-F156</f>
        <v>0</v>
      </c>
      <c r="G158" s="348">
        <f t="shared" si="313"/>
        <v>0</v>
      </c>
      <c r="H158" s="348">
        <f t="shared" si="313"/>
        <v>0</v>
      </c>
      <c r="I158" s="348">
        <f t="shared" si="313"/>
        <v>0</v>
      </c>
      <c r="J158" s="349">
        <f t="shared" si="313"/>
        <v>0</v>
      </c>
      <c r="K158" s="348">
        <f t="shared" si="313"/>
        <v>0</v>
      </c>
      <c r="L158" s="348">
        <f t="shared" si="313"/>
        <v>0</v>
      </c>
      <c r="M158" s="348">
        <f t="shared" si="313"/>
        <v>0</v>
      </c>
      <c r="N158" s="348">
        <f t="shared" si="313"/>
        <v>0</v>
      </c>
      <c r="O158" s="349">
        <f t="shared" si="313"/>
        <v>0</v>
      </c>
      <c r="P158" s="348">
        <f t="shared" si="313"/>
        <v>0</v>
      </c>
      <c r="Q158" s="348">
        <f t="shared" si="313"/>
        <v>0</v>
      </c>
      <c r="R158" s="348">
        <f t="shared" si="313"/>
        <v>0</v>
      </c>
      <c r="S158" s="348">
        <f t="shared" si="313"/>
        <v>0</v>
      </c>
      <c r="T158" s="349">
        <f t="shared" si="313"/>
        <v>0</v>
      </c>
      <c r="U158" s="348">
        <f t="shared" si="313"/>
        <v>0</v>
      </c>
      <c r="V158" s="348">
        <f t="shared" si="313"/>
        <v>0</v>
      </c>
      <c r="W158" s="348">
        <f t="shared" si="313"/>
        <v>0</v>
      </c>
      <c r="X158" s="350" t="str">
        <f t="shared" ca="1" si="313"/>
        <v>#REF!</v>
      </c>
      <c r="Y158" s="349" t="str">
        <f t="shared" ca="1" si="313"/>
        <v>#REF!</v>
      </c>
      <c r="Z158" s="350" t="str">
        <f t="shared" ca="1" si="313"/>
        <v>#REF!</v>
      </c>
      <c r="AA158" s="350" t="str">
        <f t="shared" ca="1" si="313"/>
        <v>#REF!</v>
      </c>
      <c r="AB158" s="350" t="str">
        <f t="shared" ca="1" si="313"/>
        <v>#REF!</v>
      </c>
      <c r="AC158" s="350" t="str">
        <f t="shared" ca="1" si="313"/>
        <v>#REF!</v>
      </c>
      <c r="AD158" s="349" t="str">
        <f t="shared" ca="1" si="313"/>
        <v>#REF!</v>
      </c>
      <c r="AE158" s="349" t="str">
        <f t="shared" ca="1" si="313"/>
        <v>#REF!</v>
      </c>
      <c r="AF158" s="349" t="str">
        <f t="shared" ca="1" si="313"/>
        <v>#REF!</v>
      </c>
      <c r="AG158" s="351" t="str">
        <f t="shared" ca="1" si="313"/>
        <v>#REF!</v>
      </c>
      <c r="AH158" s="249"/>
      <c r="AI158" s="249"/>
      <c r="AJ158" s="249"/>
      <c r="AK158" s="249"/>
    </row>
    <row r="159" spans="1:37" ht="13.5" customHeight="1">
      <c r="A159" s="211"/>
      <c r="B159" s="12"/>
      <c r="C159" s="12"/>
      <c r="D159" s="12"/>
      <c r="E159" s="12"/>
      <c r="F159" s="261"/>
      <c r="G159" s="261"/>
      <c r="H159" s="261"/>
      <c r="I159" s="261"/>
      <c r="J159" s="12"/>
      <c r="K159" s="261"/>
      <c r="L159" s="261"/>
      <c r="M159" s="261"/>
      <c r="N159" s="261"/>
      <c r="O159" s="12"/>
      <c r="P159" s="261"/>
      <c r="Q159" s="261"/>
      <c r="R159" s="261"/>
      <c r="S159" s="261"/>
      <c r="T159" s="12"/>
      <c r="U159" s="261"/>
      <c r="V159" s="261"/>
      <c r="W159" s="261"/>
      <c r="X159" s="262"/>
      <c r="Y159" s="12"/>
      <c r="Z159" s="262"/>
      <c r="AA159" s="262"/>
      <c r="AB159" s="262"/>
      <c r="AC159" s="262"/>
      <c r="AD159" s="12"/>
      <c r="AE159" s="12"/>
      <c r="AF159" s="12"/>
      <c r="AG159" s="12"/>
      <c r="AH159" s="12"/>
      <c r="AI159" s="12"/>
      <c r="AJ159" s="12"/>
      <c r="AK159" s="12"/>
    </row>
    <row r="160" spans="1:37" ht="13.5" customHeight="1">
      <c r="A160" s="211" t="s">
        <v>1</v>
      </c>
      <c r="B160" s="40"/>
      <c r="C160" s="55" t="s">
        <v>360</v>
      </c>
      <c r="D160" s="15"/>
      <c r="E160" s="15"/>
      <c r="F160" s="259" t="str">
        <f>F$25</f>
        <v>1Q23</v>
      </c>
      <c r="G160" s="56" t="str">
        <f t="shared" ref="G160:AG160" si="314">G$63</f>
        <v>2Q23</v>
      </c>
      <c r="H160" s="56" t="str">
        <f t="shared" si="314"/>
        <v>3Q23</v>
      </c>
      <c r="I160" s="56" t="str">
        <f t="shared" si="314"/>
        <v>4Q23</v>
      </c>
      <c r="J160" s="56">
        <f t="shared" si="314"/>
        <v>2023</v>
      </c>
      <c r="K160" s="56" t="str">
        <f t="shared" si="314"/>
        <v>1Q24</v>
      </c>
      <c r="L160" s="56" t="str">
        <f t="shared" si="314"/>
        <v>2Q24</v>
      </c>
      <c r="M160" s="56" t="str">
        <f t="shared" si="314"/>
        <v>3Q24</v>
      </c>
      <c r="N160" s="56" t="str">
        <f t="shared" si="314"/>
        <v>4Q24</v>
      </c>
      <c r="O160" s="56">
        <f t="shared" si="314"/>
        <v>2024</v>
      </c>
      <c r="P160" s="56" t="str">
        <f t="shared" si="314"/>
        <v>1Q25</v>
      </c>
      <c r="Q160" s="56" t="str">
        <f t="shared" si="314"/>
        <v>2Q25</v>
      </c>
      <c r="R160" s="56" t="str">
        <f t="shared" si="314"/>
        <v>3Q25</v>
      </c>
      <c r="S160" s="56" t="str">
        <f t="shared" si="314"/>
        <v>4Q25</v>
      </c>
      <c r="T160" s="56">
        <f t="shared" si="314"/>
        <v>2025</v>
      </c>
      <c r="U160" s="56" t="str">
        <f t="shared" si="314"/>
        <v>1Q26</v>
      </c>
      <c r="V160" s="56" t="str">
        <f t="shared" si="314"/>
        <v>2Q26</v>
      </c>
      <c r="W160" s="56" t="str">
        <f t="shared" si="314"/>
        <v>3Q26e</v>
      </c>
      <c r="X160" s="56" t="str">
        <f t="shared" si="314"/>
        <v>4Q26e</v>
      </c>
      <c r="Y160" s="56" t="str">
        <f t="shared" si="314"/>
        <v>2026e</v>
      </c>
      <c r="Z160" s="56" t="str">
        <f t="shared" si="314"/>
        <v>1Q27e</v>
      </c>
      <c r="AA160" s="56" t="str">
        <f t="shared" si="314"/>
        <v>2Q27e</v>
      </c>
      <c r="AB160" s="56" t="str">
        <f t="shared" si="314"/>
        <v>3Q27e</v>
      </c>
      <c r="AC160" s="56" t="str">
        <f t="shared" si="314"/>
        <v>4Q27e</v>
      </c>
      <c r="AD160" s="56" t="str">
        <f t="shared" si="314"/>
        <v>2027e</v>
      </c>
      <c r="AE160" s="56" t="str">
        <f t="shared" si="314"/>
        <v>2028e</v>
      </c>
      <c r="AF160" s="56" t="str">
        <f t="shared" si="314"/>
        <v>2029e</v>
      </c>
      <c r="AG160" s="57" t="str">
        <f t="shared" si="314"/>
        <v>2030e</v>
      </c>
      <c r="AH160" s="211" t="s">
        <v>1</v>
      </c>
      <c r="AI160" s="12"/>
      <c r="AJ160" s="12"/>
      <c r="AK160" s="12"/>
    </row>
    <row r="161" spans="1:37" ht="13.5" customHeight="1">
      <c r="A161" s="211"/>
      <c r="B161" s="12"/>
      <c r="C161" s="12"/>
      <c r="D161" s="12"/>
      <c r="E161" s="12"/>
      <c r="F161" s="261"/>
      <c r="G161" s="261"/>
      <c r="H161" s="261"/>
      <c r="I161" s="261"/>
      <c r="J161" s="12"/>
      <c r="K161" s="261"/>
      <c r="L161" s="261"/>
      <c r="M161" s="261"/>
      <c r="N161" s="261"/>
      <c r="O161" s="12"/>
      <c r="P161" s="261"/>
      <c r="Q161" s="261"/>
      <c r="R161" s="261"/>
      <c r="S161" s="261"/>
      <c r="T161" s="12"/>
      <c r="U161" s="261"/>
      <c r="V161" s="261"/>
      <c r="W161" s="261"/>
      <c r="X161" s="262"/>
      <c r="Y161" s="12"/>
      <c r="Z161" s="262"/>
      <c r="AA161" s="262"/>
      <c r="AB161" s="262"/>
      <c r="AC161" s="262"/>
      <c r="AD161" s="12"/>
      <c r="AE161" s="12"/>
      <c r="AF161" s="12"/>
      <c r="AG161" s="12"/>
      <c r="AH161" s="12"/>
      <c r="AI161" s="12"/>
      <c r="AJ161" s="12"/>
      <c r="AK161" s="12"/>
    </row>
    <row r="162" spans="1:37" ht="13.5" customHeight="1">
      <c r="A162" s="211"/>
      <c r="B162" s="12"/>
      <c r="C162" s="108" t="str">
        <f t="shared" ref="C162:C164" si="315">C121</f>
        <v>Accounts Receivable</v>
      </c>
      <c r="D162" s="12"/>
      <c r="E162" s="12"/>
      <c r="F162" s="299">
        <f t="shared" ref="F162:W162" si="316">F121</f>
        <v>0</v>
      </c>
      <c r="G162" s="299">
        <f t="shared" si="316"/>
        <v>0</v>
      </c>
      <c r="H162" s="299">
        <f t="shared" si="316"/>
        <v>0</v>
      </c>
      <c r="I162" s="299">
        <f t="shared" si="316"/>
        <v>0</v>
      </c>
      <c r="J162" s="228">
        <f t="shared" si="316"/>
        <v>0</v>
      </c>
      <c r="K162" s="299">
        <f t="shared" si="316"/>
        <v>0</v>
      </c>
      <c r="L162" s="299">
        <f t="shared" si="316"/>
        <v>0</v>
      </c>
      <c r="M162" s="299">
        <f t="shared" si="316"/>
        <v>0</v>
      </c>
      <c r="N162" s="299">
        <f t="shared" si="316"/>
        <v>0</v>
      </c>
      <c r="O162" s="228">
        <f t="shared" si="316"/>
        <v>0</v>
      </c>
      <c r="P162" s="299">
        <f t="shared" si="316"/>
        <v>0</v>
      </c>
      <c r="Q162" s="299">
        <f t="shared" si="316"/>
        <v>0</v>
      </c>
      <c r="R162" s="299">
        <f t="shared" si="316"/>
        <v>0</v>
      </c>
      <c r="S162" s="299">
        <f t="shared" si="316"/>
        <v>0</v>
      </c>
      <c r="T162" s="228">
        <f t="shared" si="316"/>
        <v>0</v>
      </c>
      <c r="U162" s="299">
        <f t="shared" si="316"/>
        <v>0</v>
      </c>
      <c r="V162" s="299">
        <f t="shared" si="316"/>
        <v>0</v>
      </c>
      <c r="W162" s="299">
        <f t="shared" si="316"/>
        <v>0</v>
      </c>
      <c r="X162" s="227">
        <f>X182*X28/X$26</f>
        <v>0</v>
      </c>
      <c r="Y162" s="228">
        <f t="shared" ref="Y162:Y164" si="317">X162</f>
        <v>0</v>
      </c>
      <c r="Z162" s="227">
        <f t="shared" ref="Z162:AC162" si="318">Z182*Z28/Z$26</f>
        <v>0</v>
      </c>
      <c r="AA162" s="227">
        <f t="shared" si="318"/>
        <v>0</v>
      </c>
      <c r="AB162" s="227">
        <f t="shared" si="318"/>
        <v>0</v>
      </c>
      <c r="AC162" s="227">
        <f t="shared" si="318"/>
        <v>0</v>
      </c>
      <c r="AD162" s="228">
        <f t="shared" ref="AD162:AD164" si="319">AC162</f>
        <v>0</v>
      </c>
      <c r="AE162" s="228">
        <f t="shared" ref="AE162:AG162" si="320">AE182*AE28/AE$26</f>
        <v>0</v>
      </c>
      <c r="AF162" s="228">
        <f t="shared" si="320"/>
        <v>0</v>
      </c>
      <c r="AG162" s="228">
        <f t="shared" si="320"/>
        <v>0</v>
      </c>
      <c r="AH162" s="12"/>
      <c r="AI162" s="12"/>
      <c r="AJ162" s="12"/>
      <c r="AK162" s="12"/>
    </row>
    <row r="163" spans="1:37" ht="13.5" customHeight="1">
      <c r="A163" s="211"/>
      <c r="B163" s="12"/>
      <c r="C163" s="108" t="str">
        <f t="shared" si="315"/>
        <v>Inventory</v>
      </c>
      <c r="D163" s="12"/>
      <c r="E163" s="12"/>
      <c r="F163" s="330">
        <f t="shared" ref="F163:W163" si="321">F122</f>
        <v>13204</v>
      </c>
      <c r="G163" s="330">
        <f t="shared" si="321"/>
        <v>11885</v>
      </c>
      <c r="H163" s="330">
        <f t="shared" si="321"/>
        <v>12365</v>
      </c>
      <c r="I163" s="330">
        <f t="shared" si="321"/>
        <v>12561</v>
      </c>
      <c r="J163" s="131">
        <f t="shared" si="321"/>
        <v>12561</v>
      </c>
      <c r="K163" s="330">
        <f t="shared" si="321"/>
        <v>15026</v>
      </c>
      <c r="L163" s="330">
        <f t="shared" si="321"/>
        <v>13730</v>
      </c>
      <c r="M163" s="330">
        <f t="shared" si="321"/>
        <v>13716</v>
      </c>
      <c r="N163" s="330">
        <f t="shared" si="321"/>
        <v>13179</v>
      </c>
      <c r="O163" s="131">
        <f t="shared" si="321"/>
        <v>13179</v>
      </c>
      <c r="P163" s="330">
        <f t="shared" si="321"/>
        <v>14283</v>
      </c>
      <c r="Q163" s="330">
        <f t="shared" si="321"/>
        <v>13831</v>
      </c>
      <c r="R163" s="330">
        <f t="shared" si="321"/>
        <v>15712</v>
      </c>
      <c r="S163" s="330">
        <f t="shared" si="321"/>
        <v>16193</v>
      </c>
      <c r="T163" s="131">
        <f t="shared" si="321"/>
        <v>16193</v>
      </c>
      <c r="U163" s="330">
        <f t="shared" si="321"/>
        <v>18382</v>
      </c>
      <c r="V163" s="330">
        <f t="shared" si="321"/>
        <v>17322</v>
      </c>
      <c r="W163" s="330">
        <f t="shared" si="321"/>
        <v>16685</v>
      </c>
      <c r="X163" s="305">
        <f>X183*-X29/X$26</f>
        <v>18529.950326086957</v>
      </c>
      <c r="Y163" s="131">
        <f t="shared" si="317"/>
        <v>18529.950326086957</v>
      </c>
      <c r="Z163" s="305">
        <f t="shared" ref="Z163:AC163" si="322">Z183*-Z29/Z$26</f>
        <v>23065.506292307695</v>
      </c>
      <c r="AA163" s="305">
        <f t="shared" si="322"/>
        <v>22014.148331076922</v>
      </c>
      <c r="AB163" s="305">
        <f t="shared" si="322"/>
        <v>20954.804900326959</v>
      </c>
      <c r="AC163" s="305">
        <f t="shared" si="322"/>
        <v>20718.783200747737</v>
      </c>
      <c r="AD163" s="131">
        <f t="shared" si="319"/>
        <v>20718.783200747737</v>
      </c>
      <c r="AE163" s="131">
        <f t="shared" ref="AE163:AG163" si="323">AE183*-AE29/AE$26</f>
        <v>21269.509108004873</v>
      </c>
      <c r="AF163" s="131">
        <f t="shared" si="323"/>
        <v>21669.701962301831</v>
      </c>
      <c r="AG163" s="131">
        <f t="shared" si="323"/>
        <v>22051.693452707059</v>
      </c>
      <c r="AH163" s="12"/>
      <c r="AI163" s="12"/>
      <c r="AJ163" s="12"/>
      <c r="AK163" s="12"/>
    </row>
    <row r="164" spans="1:37" ht="13.5" customHeight="1">
      <c r="A164" s="211"/>
      <c r="B164" s="12"/>
      <c r="C164" s="108" t="str">
        <f t="shared" si="315"/>
        <v>Prepaid &amp; Other Current Assets</v>
      </c>
      <c r="D164" s="12"/>
      <c r="E164" s="12"/>
      <c r="F164" s="318">
        <f t="shared" ref="F164:W164" si="324">F123</f>
        <v>3768.029</v>
      </c>
      <c r="G164" s="318">
        <f t="shared" si="324"/>
        <v>3843.5479999999998</v>
      </c>
      <c r="H164" s="318">
        <f t="shared" si="324"/>
        <v>3426.2289999999998</v>
      </c>
      <c r="I164" s="318">
        <f t="shared" si="324"/>
        <v>2801.22</v>
      </c>
      <c r="J164" s="301">
        <f t="shared" si="324"/>
        <v>2801.22</v>
      </c>
      <c r="K164" s="318">
        <f t="shared" si="324"/>
        <v>2896.547</v>
      </c>
      <c r="L164" s="318">
        <f t="shared" si="324"/>
        <v>2990.614</v>
      </c>
      <c r="M164" s="318">
        <f t="shared" si="324"/>
        <v>4672.0739999999996</v>
      </c>
      <c r="N164" s="318">
        <f t="shared" si="324"/>
        <v>5295.6459999999997</v>
      </c>
      <c r="O164" s="301">
        <f t="shared" si="324"/>
        <v>5295.6459999999997</v>
      </c>
      <c r="P164" s="318">
        <f t="shared" si="324"/>
        <v>4497.7839999999997</v>
      </c>
      <c r="Q164" s="318">
        <f t="shared" si="324"/>
        <v>3815.701</v>
      </c>
      <c r="R164" s="318">
        <f t="shared" si="324"/>
        <v>3675.6480000000001</v>
      </c>
      <c r="S164" s="318">
        <f t="shared" si="324"/>
        <v>3986.51</v>
      </c>
      <c r="T164" s="301">
        <f t="shared" si="324"/>
        <v>3986.51</v>
      </c>
      <c r="U164" s="318">
        <f t="shared" si="324"/>
        <v>4811.21</v>
      </c>
      <c r="V164" s="318">
        <f t="shared" si="324"/>
        <v>1506</v>
      </c>
      <c r="W164" s="318">
        <f t="shared" si="324"/>
        <v>1491</v>
      </c>
      <c r="X164" s="302">
        <f>X186*X28*4</f>
        <v>0</v>
      </c>
      <c r="Y164" s="301">
        <f t="shared" si="317"/>
        <v>0</v>
      </c>
      <c r="Z164" s="302">
        <f t="shared" ref="Z164:AC164" si="325">Z186*Z28*4</f>
        <v>1849.7576159999996</v>
      </c>
      <c r="AA164" s="302">
        <f t="shared" si="325"/>
        <v>2108.72368224</v>
      </c>
      <c r="AB164" s="302">
        <f t="shared" si="325"/>
        <v>1855.6768403711999</v>
      </c>
      <c r="AC164" s="302">
        <f t="shared" si="325"/>
        <v>1762.8929983526398</v>
      </c>
      <c r="AD164" s="301">
        <f t="shared" si="319"/>
        <v>1762.8929983526398</v>
      </c>
      <c r="AE164" s="301">
        <f t="shared" ref="AE164:AG164" si="326">AE186*AE28</f>
        <v>1932.1480399257787</v>
      </c>
      <c r="AF164" s="301">
        <f t="shared" si="326"/>
        <v>1970.7910007242942</v>
      </c>
      <c r="AG164" s="301">
        <f t="shared" si="326"/>
        <v>2010.2068207387802</v>
      </c>
      <c r="AH164" s="12"/>
      <c r="AI164" s="12"/>
      <c r="AJ164" s="12"/>
      <c r="AK164" s="12"/>
    </row>
    <row r="165" spans="1:37" ht="13.5" customHeight="1">
      <c r="A165" s="211"/>
      <c r="B165" s="12"/>
      <c r="C165" s="12" t="s">
        <v>361</v>
      </c>
      <c r="D165" s="12"/>
      <c r="E165" s="12"/>
      <c r="F165" s="299">
        <f t="shared" ref="F165:AG165" si="327">SUM(F162:F164)</f>
        <v>16972.028999999999</v>
      </c>
      <c r="G165" s="299">
        <f t="shared" si="327"/>
        <v>15728.547999999999</v>
      </c>
      <c r="H165" s="299">
        <f t="shared" si="327"/>
        <v>15791.228999999999</v>
      </c>
      <c r="I165" s="299">
        <f t="shared" si="327"/>
        <v>15362.22</v>
      </c>
      <c r="J165" s="228">
        <f t="shared" si="327"/>
        <v>15362.22</v>
      </c>
      <c r="K165" s="299">
        <f t="shared" si="327"/>
        <v>17922.546999999999</v>
      </c>
      <c r="L165" s="299">
        <f t="shared" si="327"/>
        <v>16720.614000000001</v>
      </c>
      <c r="M165" s="299">
        <f t="shared" si="327"/>
        <v>18388.074000000001</v>
      </c>
      <c r="N165" s="299">
        <f t="shared" si="327"/>
        <v>18474.646000000001</v>
      </c>
      <c r="O165" s="228">
        <f t="shared" si="327"/>
        <v>18474.646000000001</v>
      </c>
      <c r="P165" s="299">
        <f t="shared" si="327"/>
        <v>18780.784</v>
      </c>
      <c r="Q165" s="299">
        <f t="shared" si="327"/>
        <v>17646.701000000001</v>
      </c>
      <c r="R165" s="299">
        <f t="shared" si="327"/>
        <v>19387.648000000001</v>
      </c>
      <c r="S165" s="299">
        <f t="shared" si="327"/>
        <v>20179.510000000002</v>
      </c>
      <c r="T165" s="228">
        <f t="shared" si="327"/>
        <v>20179.510000000002</v>
      </c>
      <c r="U165" s="299">
        <f t="shared" si="327"/>
        <v>23193.21</v>
      </c>
      <c r="V165" s="299">
        <f t="shared" si="327"/>
        <v>18828</v>
      </c>
      <c r="W165" s="299">
        <f t="shared" si="327"/>
        <v>18176</v>
      </c>
      <c r="X165" s="227">
        <f t="shared" si="327"/>
        <v>18529.950326086957</v>
      </c>
      <c r="Y165" s="228">
        <f t="shared" si="327"/>
        <v>18529.950326086957</v>
      </c>
      <c r="Z165" s="227">
        <f t="shared" si="327"/>
        <v>24915.263908307694</v>
      </c>
      <c r="AA165" s="227">
        <f t="shared" si="327"/>
        <v>24122.872013316923</v>
      </c>
      <c r="AB165" s="227">
        <f t="shared" si="327"/>
        <v>22810.48174069816</v>
      </c>
      <c r="AC165" s="227">
        <f t="shared" si="327"/>
        <v>22481.676199100377</v>
      </c>
      <c r="AD165" s="228">
        <f t="shared" si="327"/>
        <v>22481.676199100377</v>
      </c>
      <c r="AE165" s="228">
        <f t="shared" si="327"/>
        <v>23201.657147930651</v>
      </c>
      <c r="AF165" s="228">
        <f t="shared" si="327"/>
        <v>23640.492963026125</v>
      </c>
      <c r="AG165" s="228">
        <f t="shared" si="327"/>
        <v>24061.900273445841</v>
      </c>
      <c r="AH165" s="12"/>
      <c r="AI165" s="12"/>
      <c r="AJ165" s="12"/>
      <c r="AK165" s="12"/>
    </row>
    <row r="166" spans="1:37" ht="13.5" customHeight="1">
      <c r="A166" s="211"/>
      <c r="B166" s="12"/>
      <c r="C166" s="12"/>
      <c r="D166" s="12"/>
      <c r="E166" s="12"/>
      <c r="F166" s="261"/>
      <c r="G166" s="261"/>
      <c r="H166" s="261"/>
      <c r="I166" s="261"/>
      <c r="J166" s="12"/>
      <c r="K166" s="261"/>
      <c r="L166" s="261"/>
      <c r="M166" s="261"/>
      <c r="N166" s="261"/>
      <c r="O166" s="12"/>
      <c r="P166" s="261"/>
      <c r="Q166" s="261"/>
      <c r="R166" s="261"/>
      <c r="S166" s="261"/>
      <c r="T166" s="12"/>
      <c r="U166" s="261"/>
      <c r="V166" s="261"/>
      <c r="W166" s="261"/>
      <c r="X166" s="262"/>
      <c r="Y166" s="12"/>
      <c r="Z166" s="262"/>
      <c r="AA166" s="262"/>
      <c r="AB166" s="262"/>
      <c r="AC166" s="262"/>
      <c r="AD166" s="12"/>
      <c r="AE166" s="12"/>
      <c r="AF166" s="12"/>
      <c r="AG166" s="12"/>
      <c r="AH166" s="12"/>
      <c r="AI166" s="12"/>
      <c r="AJ166" s="12"/>
      <c r="AK166" s="12"/>
    </row>
    <row r="167" spans="1:37" ht="13.5" customHeight="1">
      <c r="A167" s="211"/>
      <c r="B167" s="12"/>
      <c r="C167" s="108" t="str">
        <f t="shared" ref="C167:C169" si="328">C134</f>
        <v>Accounts Payable</v>
      </c>
      <c r="D167" s="12"/>
      <c r="E167" s="12"/>
      <c r="F167" s="299">
        <f t="shared" ref="F167:W167" si="329">F134</f>
        <v>591.98699999999997</v>
      </c>
      <c r="G167" s="299">
        <f t="shared" si="329"/>
        <v>615.37400000000002</v>
      </c>
      <c r="H167" s="299">
        <f t="shared" si="329"/>
        <v>534.42899999999997</v>
      </c>
      <c r="I167" s="299">
        <f t="shared" si="329"/>
        <v>747.41200000000003</v>
      </c>
      <c r="J167" s="228">
        <f t="shared" si="329"/>
        <v>747.41200000000003</v>
      </c>
      <c r="K167" s="299">
        <f t="shared" si="329"/>
        <v>607.34799999999996</v>
      </c>
      <c r="L167" s="299">
        <f t="shared" si="329"/>
        <v>598.55700000000002</v>
      </c>
      <c r="M167" s="299">
        <f t="shared" si="329"/>
        <v>641.95299999999997</v>
      </c>
      <c r="N167" s="299">
        <f t="shared" si="329"/>
        <v>899.90899999999999</v>
      </c>
      <c r="O167" s="228">
        <f t="shared" si="329"/>
        <v>899.90899999999999</v>
      </c>
      <c r="P167" s="299">
        <f t="shared" si="329"/>
        <v>614.48900000000003</v>
      </c>
      <c r="Q167" s="299">
        <f t="shared" si="329"/>
        <v>632.71799999999996</v>
      </c>
      <c r="R167" s="299">
        <f t="shared" si="329"/>
        <v>793.23299999999995</v>
      </c>
      <c r="S167" s="299">
        <f t="shared" si="329"/>
        <v>900.61199999999997</v>
      </c>
      <c r="T167" s="228">
        <f t="shared" si="329"/>
        <v>900.61199999999997</v>
      </c>
      <c r="U167" s="299">
        <f t="shared" si="329"/>
        <v>894.68100000000004</v>
      </c>
      <c r="V167" s="299">
        <f t="shared" si="329"/>
        <v>12011</v>
      </c>
      <c r="W167" s="299">
        <f t="shared" si="329"/>
        <v>11334</v>
      </c>
      <c r="X167" s="227">
        <f>X184*-X29/X26</f>
        <v>11323.858532608696</v>
      </c>
      <c r="Y167" s="228">
        <f t="shared" ref="Y167:Y169" si="330">X167</f>
        <v>11323.858532608696</v>
      </c>
      <c r="Z167" s="227">
        <f t="shared" ref="Z167:AC167" si="331">Z184*-Z29/Z26</f>
        <v>14082.098578461539</v>
      </c>
      <c r="AA167" s="227">
        <f t="shared" si="331"/>
        <v>13208.488998646155</v>
      </c>
      <c r="AB167" s="227">
        <f t="shared" si="331"/>
        <v>13065.937173145043</v>
      </c>
      <c r="AC167" s="227">
        <f t="shared" si="331"/>
        <v>12661.478622679173</v>
      </c>
      <c r="AD167" s="228">
        <f t="shared" ref="AD167:AD169" si="332">AC167</f>
        <v>12661.478622679173</v>
      </c>
      <c r="AE167" s="228">
        <f t="shared" ref="AE167:AG167" si="333">AE184*-AE29/AE26</f>
        <v>13673.255855145992</v>
      </c>
      <c r="AF167" s="228">
        <f t="shared" si="333"/>
        <v>13930.522690051177</v>
      </c>
      <c r="AG167" s="228">
        <f t="shared" si="333"/>
        <v>14176.088648168821</v>
      </c>
      <c r="AH167" s="12"/>
      <c r="AI167" s="12"/>
      <c r="AJ167" s="12"/>
      <c r="AK167" s="12"/>
    </row>
    <row r="168" spans="1:37" ht="13.5" customHeight="1">
      <c r="A168" s="211"/>
      <c r="B168" s="12"/>
      <c r="C168" s="108" t="str">
        <f t="shared" si="328"/>
        <v>Accrued Liabilities</v>
      </c>
      <c r="D168" s="12"/>
      <c r="E168" s="12"/>
      <c r="F168" s="330">
        <f t="shared" ref="F168:W168" si="334">F135</f>
        <v>1718.069</v>
      </c>
      <c r="G168" s="330">
        <f t="shared" si="334"/>
        <v>1908.7139999999999</v>
      </c>
      <c r="H168" s="330">
        <f t="shared" si="334"/>
        <v>1838.9079999999999</v>
      </c>
      <c r="I168" s="330">
        <f t="shared" si="334"/>
        <v>1803.96</v>
      </c>
      <c r="J168" s="131">
        <f t="shared" si="334"/>
        <v>1803.96</v>
      </c>
      <c r="K168" s="330">
        <f t="shared" si="334"/>
        <v>1977.4280000000001</v>
      </c>
      <c r="L168" s="330">
        <f t="shared" si="334"/>
        <v>1876.2439999999999</v>
      </c>
      <c r="M168" s="330">
        <f t="shared" si="334"/>
        <v>2241.7579999999998</v>
      </c>
      <c r="N168" s="330">
        <f t="shared" si="334"/>
        <v>2156.5439999999999</v>
      </c>
      <c r="O168" s="131">
        <f t="shared" si="334"/>
        <v>2156.5439999999999</v>
      </c>
      <c r="P168" s="330">
        <f t="shared" si="334"/>
        <v>2359.518</v>
      </c>
      <c r="Q168" s="330">
        <f t="shared" si="334"/>
        <v>2489.4859999999999</v>
      </c>
      <c r="R168" s="330">
        <f t="shared" si="334"/>
        <v>3111.3110000000001</v>
      </c>
      <c r="S168" s="330">
        <f t="shared" si="334"/>
        <v>3220.8690000000001</v>
      </c>
      <c r="T168" s="131">
        <f t="shared" si="334"/>
        <v>3220.8690000000001</v>
      </c>
      <c r="U168" s="330">
        <f t="shared" si="334"/>
        <v>4441.9859999999999</v>
      </c>
      <c r="V168" s="330">
        <f t="shared" si="334"/>
        <v>1331</v>
      </c>
      <c r="W168" s="330">
        <f t="shared" si="334"/>
        <v>1353</v>
      </c>
      <c r="X168" s="305">
        <f>X187*-X29*4</f>
        <v>947.08635000000004</v>
      </c>
      <c r="Y168" s="131">
        <f t="shared" si="330"/>
        <v>947.08635000000004</v>
      </c>
      <c r="Z168" s="305">
        <f t="shared" ref="Z168:AC168" si="335">Z187*-Z29*4</f>
        <v>1104.7163539999999</v>
      </c>
      <c r="AA168" s="305">
        <f t="shared" si="335"/>
        <v>1252.0546863300001</v>
      </c>
      <c r="AB168" s="305">
        <f t="shared" si="335"/>
        <v>1134.0247357824001</v>
      </c>
      <c r="AC168" s="305">
        <f t="shared" si="335"/>
        <v>1058.9600302604401</v>
      </c>
      <c r="AD168" s="131">
        <f t="shared" si="332"/>
        <v>1058.9600302604401</v>
      </c>
      <c r="AE168" s="131">
        <f t="shared" ref="AE168:AG168" si="336">AE187*-AE29</f>
        <v>1201.4740561605136</v>
      </c>
      <c r="AF168" s="131">
        <f t="shared" si="336"/>
        <v>1224.0801882276451</v>
      </c>
      <c r="AG168" s="131">
        <f t="shared" si="336"/>
        <v>1245.6581599177973</v>
      </c>
      <c r="AH168" s="12"/>
      <c r="AI168" s="12"/>
      <c r="AJ168" s="12"/>
      <c r="AK168" s="12"/>
    </row>
    <row r="169" spans="1:37" ht="13.5" customHeight="1">
      <c r="A169" s="211"/>
      <c r="B169" s="12"/>
      <c r="C169" s="108" t="str">
        <f t="shared" si="328"/>
        <v>Other Current Liabilities</v>
      </c>
      <c r="D169" s="12"/>
      <c r="E169" s="12"/>
      <c r="F169" s="318">
        <f t="shared" ref="F169:W169" si="337">F136</f>
        <v>4059</v>
      </c>
      <c r="G169" s="318">
        <f t="shared" si="337"/>
        <v>4032</v>
      </c>
      <c r="H169" s="318">
        <f t="shared" si="337"/>
        <v>3863</v>
      </c>
      <c r="I169" s="318">
        <f t="shared" si="337"/>
        <v>4446</v>
      </c>
      <c r="J169" s="301">
        <f t="shared" si="337"/>
        <v>4446</v>
      </c>
      <c r="K169" s="318">
        <f t="shared" si="337"/>
        <v>4519</v>
      </c>
      <c r="L169" s="318">
        <f t="shared" si="337"/>
        <v>4610</v>
      </c>
      <c r="M169" s="318">
        <f t="shared" si="337"/>
        <v>4888</v>
      </c>
      <c r="N169" s="318">
        <f t="shared" si="337"/>
        <v>6242</v>
      </c>
      <c r="O169" s="301">
        <f t="shared" si="337"/>
        <v>6242</v>
      </c>
      <c r="P169" s="318">
        <f t="shared" si="337"/>
        <v>8788.93</v>
      </c>
      <c r="Q169" s="318">
        <f t="shared" si="337"/>
        <v>9916.0210000000006</v>
      </c>
      <c r="R169" s="318">
        <f t="shared" si="337"/>
        <v>10530.599</v>
      </c>
      <c r="S169" s="318">
        <f t="shared" si="337"/>
        <v>9662.0640000000003</v>
      </c>
      <c r="T169" s="301">
        <f t="shared" si="337"/>
        <v>9662.0640000000003</v>
      </c>
      <c r="U169" s="318">
        <f t="shared" si="337"/>
        <v>6278</v>
      </c>
      <c r="V169" s="318">
        <f t="shared" si="337"/>
        <v>6978</v>
      </c>
      <c r="W169" s="318">
        <f t="shared" si="337"/>
        <v>6795</v>
      </c>
      <c r="X169" s="302">
        <f>X188*-X29*4</f>
        <v>9470.8634999999995</v>
      </c>
      <c r="Y169" s="301">
        <f t="shared" si="330"/>
        <v>9470.8634999999995</v>
      </c>
      <c r="Z169" s="302">
        <f t="shared" ref="Z169:AC169" si="338">Z188*-Z29*4</f>
        <v>9721.503915199999</v>
      </c>
      <c r="AA169" s="302">
        <f t="shared" si="338"/>
        <v>11018.081239704001</v>
      </c>
      <c r="AB169" s="302">
        <f t="shared" si="338"/>
        <v>11340.247357824001</v>
      </c>
      <c r="AC169" s="302">
        <f t="shared" si="338"/>
        <v>10589.6003026044</v>
      </c>
      <c r="AD169" s="301">
        <f t="shared" si="332"/>
        <v>10589.6003026044</v>
      </c>
      <c r="AE169" s="301">
        <f t="shared" ref="AE169:AG169" si="339">AE188*-AE29</f>
        <v>11090.529749173971</v>
      </c>
      <c r="AF169" s="301">
        <f t="shared" si="339"/>
        <v>11299.201737485955</v>
      </c>
      <c r="AG169" s="301">
        <f t="shared" si="339"/>
        <v>11498.383014625822</v>
      </c>
      <c r="AH169" s="12"/>
      <c r="AI169" s="12"/>
      <c r="AJ169" s="12"/>
      <c r="AK169" s="12"/>
    </row>
    <row r="170" spans="1:37" ht="13.5" customHeight="1">
      <c r="A170" s="211"/>
      <c r="B170" s="12"/>
      <c r="C170" s="12" t="s">
        <v>362</v>
      </c>
      <c r="D170" s="12"/>
      <c r="E170" s="12"/>
      <c r="F170" s="299">
        <f t="shared" ref="F170:AG170" si="340">SUM(F167:F169)</f>
        <v>6369.0560000000005</v>
      </c>
      <c r="G170" s="299">
        <f t="shared" si="340"/>
        <v>6556.0879999999997</v>
      </c>
      <c r="H170" s="299">
        <f t="shared" si="340"/>
        <v>6236.3369999999995</v>
      </c>
      <c r="I170" s="299">
        <f t="shared" si="340"/>
        <v>6997.3720000000003</v>
      </c>
      <c r="J170" s="228">
        <f t="shared" si="340"/>
        <v>6997.3720000000003</v>
      </c>
      <c r="K170" s="299">
        <f t="shared" si="340"/>
        <v>7103.7759999999998</v>
      </c>
      <c r="L170" s="299">
        <f t="shared" si="340"/>
        <v>7084.8009999999995</v>
      </c>
      <c r="M170" s="299">
        <f t="shared" si="340"/>
        <v>7771.7109999999993</v>
      </c>
      <c r="N170" s="299">
        <f t="shared" si="340"/>
        <v>9298.4529999999995</v>
      </c>
      <c r="O170" s="228">
        <f t="shared" si="340"/>
        <v>9298.4529999999995</v>
      </c>
      <c r="P170" s="299">
        <f t="shared" si="340"/>
        <v>11762.937</v>
      </c>
      <c r="Q170" s="299">
        <f t="shared" si="340"/>
        <v>13038.225</v>
      </c>
      <c r="R170" s="299">
        <f t="shared" si="340"/>
        <v>14435.143</v>
      </c>
      <c r="S170" s="299">
        <f t="shared" si="340"/>
        <v>13783.545</v>
      </c>
      <c r="T170" s="228">
        <f t="shared" si="340"/>
        <v>13783.545</v>
      </c>
      <c r="U170" s="299">
        <f t="shared" si="340"/>
        <v>11614.666999999999</v>
      </c>
      <c r="V170" s="299">
        <f t="shared" si="340"/>
        <v>20320</v>
      </c>
      <c r="W170" s="299">
        <f t="shared" si="340"/>
        <v>19482</v>
      </c>
      <c r="X170" s="227">
        <f t="shared" si="340"/>
        <v>21741.808382608695</v>
      </c>
      <c r="Y170" s="228">
        <f t="shared" si="340"/>
        <v>21741.808382608695</v>
      </c>
      <c r="Z170" s="227">
        <f t="shared" si="340"/>
        <v>24908.31884766154</v>
      </c>
      <c r="AA170" s="227">
        <f t="shared" si="340"/>
        <v>25478.624924680156</v>
      </c>
      <c r="AB170" s="227">
        <f t="shared" si="340"/>
        <v>25540.209266751444</v>
      </c>
      <c r="AC170" s="227">
        <f t="shared" si="340"/>
        <v>24310.038955544012</v>
      </c>
      <c r="AD170" s="228">
        <f t="shared" si="340"/>
        <v>24310.038955544012</v>
      </c>
      <c r="AE170" s="228">
        <f t="shared" si="340"/>
        <v>25965.259660480478</v>
      </c>
      <c r="AF170" s="228">
        <f t="shared" si="340"/>
        <v>26453.804615764777</v>
      </c>
      <c r="AG170" s="228">
        <f t="shared" si="340"/>
        <v>26920.129822712443</v>
      </c>
      <c r="AH170" s="12"/>
      <c r="AI170" s="12"/>
      <c r="AJ170" s="12"/>
      <c r="AK170" s="12"/>
    </row>
    <row r="171" spans="1:37" ht="13.5" customHeight="1">
      <c r="A171" s="211"/>
      <c r="B171" s="12"/>
      <c r="C171" s="12"/>
      <c r="D171" s="12"/>
      <c r="E171" s="12"/>
      <c r="F171" s="261"/>
      <c r="G171" s="261"/>
      <c r="H171" s="261"/>
      <c r="I171" s="261"/>
      <c r="J171" s="12"/>
      <c r="K171" s="261"/>
      <c r="L171" s="261"/>
      <c r="M171" s="261"/>
      <c r="N171" s="261"/>
      <c r="O171" s="12"/>
      <c r="P171" s="261"/>
      <c r="Q171" s="261"/>
      <c r="R171" s="261"/>
      <c r="S171" s="261"/>
      <c r="T171" s="12"/>
      <c r="U171" s="261"/>
      <c r="V171" s="261"/>
      <c r="W171" s="261"/>
      <c r="X171" s="262"/>
      <c r="Y171" s="12"/>
      <c r="Z171" s="262"/>
      <c r="AA171" s="262"/>
      <c r="AB171" s="262"/>
      <c r="AC171" s="262"/>
      <c r="AD171" s="12"/>
      <c r="AE171" s="12"/>
      <c r="AF171" s="12"/>
      <c r="AG171" s="12"/>
      <c r="AH171" s="12"/>
      <c r="AI171" s="12"/>
      <c r="AJ171" s="12"/>
      <c r="AK171" s="12"/>
    </row>
    <row r="172" spans="1:37" ht="13.5" customHeight="1">
      <c r="A172" s="211"/>
      <c r="B172" s="12"/>
      <c r="C172" s="12" t="s">
        <v>363</v>
      </c>
      <c r="D172" s="12"/>
      <c r="E172" s="12"/>
      <c r="F172" s="299">
        <f t="shared" ref="F172:AG172" si="341">F165-F170</f>
        <v>10602.972999999998</v>
      </c>
      <c r="G172" s="299">
        <f t="shared" si="341"/>
        <v>9172.4599999999991</v>
      </c>
      <c r="H172" s="299">
        <f t="shared" si="341"/>
        <v>9554.8919999999998</v>
      </c>
      <c r="I172" s="299">
        <f t="shared" si="341"/>
        <v>8364.8479999999981</v>
      </c>
      <c r="J172" s="228">
        <f t="shared" si="341"/>
        <v>8364.8479999999981</v>
      </c>
      <c r="K172" s="299">
        <f t="shared" si="341"/>
        <v>10818.770999999999</v>
      </c>
      <c r="L172" s="299">
        <f t="shared" si="341"/>
        <v>9635.8130000000019</v>
      </c>
      <c r="M172" s="299">
        <f t="shared" si="341"/>
        <v>10616.363000000001</v>
      </c>
      <c r="N172" s="299">
        <f t="shared" si="341"/>
        <v>9176.1930000000011</v>
      </c>
      <c r="O172" s="228">
        <f t="shared" si="341"/>
        <v>9176.1930000000011</v>
      </c>
      <c r="P172" s="299">
        <f t="shared" si="341"/>
        <v>7017.8469999999998</v>
      </c>
      <c r="Q172" s="299">
        <f t="shared" si="341"/>
        <v>4608.4760000000006</v>
      </c>
      <c r="R172" s="299">
        <f t="shared" si="341"/>
        <v>4952.505000000001</v>
      </c>
      <c r="S172" s="299">
        <f t="shared" si="341"/>
        <v>6395.965000000002</v>
      </c>
      <c r="T172" s="228">
        <f t="shared" si="341"/>
        <v>6395.965000000002</v>
      </c>
      <c r="U172" s="299">
        <f t="shared" si="341"/>
        <v>11578.543</v>
      </c>
      <c r="V172" s="299">
        <f t="shared" si="341"/>
        <v>-1492</v>
      </c>
      <c r="W172" s="299">
        <f t="shared" si="341"/>
        <v>-1306</v>
      </c>
      <c r="X172" s="227">
        <f t="shared" si="341"/>
        <v>-3211.858056521738</v>
      </c>
      <c r="Y172" s="228">
        <f t="shared" si="341"/>
        <v>-3211.858056521738</v>
      </c>
      <c r="Z172" s="227">
        <f t="shared" si="341"/>
        <v>6.9450606461541611</v>
      </c>
      <c r="AA172" s="227">
        <f t="shared" si="341"/>
        <v>-1355.7529113632336</v>
      </c>
      <c r="AB172" s="227">
        <f t="shared" si="341"/>
        <v>-2729.7275260532842</v>
      </c>
      <c r="AC172" s="227">
        <f t="shared" si="341"/>
        <v>-1828.3627564436356</v>
      </c>
      <c r="AD172" s="228">
        <f t="shared" si="341"/>
        <v>-1828.3627564436356</v>
      </c>
      <c r="AE172" s="228">
        <f t="shared" si="341"/>
        <v>-2763.6025125498272</v>
      </c>
      <c r="AF172" s="228">
        <f t="shared" si="341"/>
        <v>-2813.3116527386519</v>
      </c>
      <c r="AG172" s="228">
        <f t="shared" si="341"/>
        <v>-2858.2295492666017</v>
      </c>
      <c r="AH172" s="12"/>
      <c r="AI172" s="12"/>
      <c r="AJ172" s="12"/>
      <c r="AK172" s="12"/>
    </row>
    <row r="173" spans="1:37" ht="13.5" customHeight="1">
      <c r="A173" s="211"/>
      <c r="B173" s="12"/>
      <c r="C173" s="12"/>
      <c r="D173" s="12"/>
      <c r="E173" s="12"/>
      <c r="F173" s="261"/>
      <c r="G173" s="261"/>
      <c r="H173" s="261"/>
      <c r="I173" s="261"/>
      <c r="J173" s="12"/>
      <c r="K173" s="261"/>
      <c r="L173" s="261"/>
      <c r="M173" s="261"/>
      <c r="N173" s="261"/>
      <c r="O173" s="12"/>
      <c r="P173" s="261"/>
      <c r="Q173" s="261"/>
      <c r="R173" s="261"/>
      <c r="S173" s="261"/>
      <c r="T173" s="12"/>
      <c r="U173" s="261"/>
      <c r="V173" s="261"/>
      <c r="W173" s="261"/>
      <c r="X173" s="262"/>
      <c r="Y173" s="12"/>
      <c r="Z173" s="262"/>
      <c r="AA173" s="262"/>
      <c r="AB173" s="262"/>
      <c r="AC173" s="262"/>
      <c r="AD173" s="12"/>
      <c r="AE173" s="12"/>
      <c r="AF173" s="12"/>
      <c r="AG173" s="12"/>
      <c r="AH173" s="12"/>
      <c r="AI173" s="12"/>
      <c r="AJ173" s="12"/>
      <c r="AK173" s="12"/>
    </row>
    <row r="174" spans="1:37" ht="13.5" customHeight="1">
      <c r="A174" s="211"/>
      <c r="B174" s="12"/>
      <c r="C174" s="352" t="s">
        <v>364</v>
      </c>
      <c r="D174" s="75"/>
      <c r="E174" s="75"/>
      <c r="F174" s="334"/>
      <c r="G174" s="334">
        <f t="shared" ref="G174:I174" si="342">G172-F172</f>
        <v>-1430.512999999999</v>
      </c>
      <c r="H174" s="334">
        <f t="shared" si="342"/>
        <v>382.4320000000007</v>
      </c>
      <c r="I174" s="334">
        <f t="shared" si="342"/>
        <v>-1190.0440000000017</v>
      </c>
      <c r="J174" s="75"/>
      <c r="K174" s="334">
        <f t="shared" ref="K174:N174" si="343">-(K172-J172)</f>
        <v>-2453.9230000000007</v>
      </c>
      <c r="L174" s="334">
        <f t="shared" si="343"/>
        <v>1182.9579999999969</v>
      </c>
      <c r="M174" s="334">
        <f t="shared" si="343"/>
        <v>-980.54999999999927</v>
      </c>
      <c r="N174" s="334">
        <f t="shared" si="343"/>
        <v>1440.17</v>
      </c>
      <c r="O174" s="335">
        <f>-(O172-J172)</f>
        <v>-811.34500000000298</v>
      </c>
      <c r="P174" s="334">
        <f t="shared" ref="P174:S174" si="344">-(P172-O172)</f>
        <v>2158.3460000000014</v>
      </c>
      <c r="Q174" s="334">
        <f t="shared" si="344"/>
        <v>2409.3709999999992</v>
      </c>
      <c r="R174" s="334">
        <f t="shared" si="344"/>
        <v>-344.02900000000045</v>
      </c>
      <c r="S174" s="334">
        <f t="shared" si="344"/>
        <v>-1443.4600000000009</v>
      </c>
      <c r="T174" s="335">
        <f>-(T172-O172)</f>
        <v>2780.2279999999992</v>
      </c>
      <c r="U174" s="334">
        <f t="shared" ref="U174:X174" si="345">-(U172-T172)</f>
        <v>-5182.5779999999977</v>
      </c>
      <c r="V174" s="334">
        <f t="shared" si="345"/>
        <v>13070.543</v>
      </c>
      <c r="W174" s="334">
        <f t="shared" si="345"/>
        <v>-186</v>
      </c>
      <c r="X174" s="336">
        <f t="shared" si="345"/>
        <v>1905.858056521738</v>
      </c>
      <c r="Y174" s="335">
        <f>-(Y172-T172)</f>
        <v>9607.82305652174</v>
      </c>
      <c r="Z174" s="336">
        <f t="shared" ref="Z174:AC174" si="346">-(Z172-Y172)</f>
        <v>-3218.8031171678922</v>
      </c>
      <c r="AA174" s="336">
        <f t="shared" si="346"/>
        <v>1362.6979720093877</v>
      </c>
      <c r="AB174" s="336">
        <f t="shared" si="346"/>
        <v>1373.9746146900507</v>
      </c>
      <c r="AC174" s="336">
        <f t="shared" si="346"/>
        <v>-901.36476960964865</v>
      </c>
      <c r="AD174" s="335">
        <f>-(AD172-Y172)</f>
        <v>-1383.4953000781024</v>
      </c>
      <c r="AE174" s="335">
        <f t="shared" ref="AE174:AG174" si="347">-(AE172-AD172)</f>
        <v>935.23975610619163</v>
      </c>
      <c r="AF174" s="335">
        <f t="shared" si="347"/>
        <v>49.709140188824676</v>
      </c>
      <c r="AG174" s="353">
        <f t="shared" si="347"/>
        <v>44.917896527949779</v>
      </c>
      <c r="AH174" s="12"/>
      <c r="AI174" s="12"/>
      <c r="AJ174" s="12"/>
      <c r="AK174" s="12"/>
    </row>
    <row r="175" spans="1:37" ht="13.5" customHeight="1">
      <c r="A175" s="211"/>
      <c r="B175" s="12"/>
      <c r="C175" s="12"/>
      <c r="D175" s="12"/>
      <c r="E175" s="12"/>
      <c r="F175" s="261"/>
      <c r="G175" s="261"/>
      <c r="H175" s="261"/>
      <c r="I175" s="261"/>
      <c r="J175" s="12"/>
      <c r="K175" s="261"/>
      <c r="L175" s="261"/>
      <c r="M175" s="261"/>
      <c r="N175" s="261"/>
      <c r="O175" s="12"/>
      <c r="P175" s="261"/>
      <c r="Q175" s="261"/>
      <c r="R175" s="261"/>
      <c r="S175" s="261"/>
      <c r="T175" s="12"/>
      <c r="U175" s="261"/>
      <c r="V175" s="261"/>
      <c r="W175" s="261"/>
      <c r="X175" s="262"/>
      <c r="Y175" s="12"/>
      <c r="Z175" s="262"/>
      <c r="AA175" s="262"/>
      <c r="AB175" s="262"/>
      <c r="AC175" s="262"/>
      <c r="AD175" s="12"/>
      <c r="AE175" s="12"/>
      <c r="AF175" s="12"/>
      <c r="AG175" s="12"/>
      <c r="AH175" s="12"/>
      <c r="AI175" s="12"/>
      <c r="AJ175" s="12"/>
      <c r="AK175" s="12"/>
    </row>
    <row r="176" spans="1:37" ht="13.5" customHeight="1">
      <c r="A176" s="211"/>
      <c r="B176" s="12"/>
      <c r="C176" s="12" t="s">
        <v>365</v>
      </c>
      <c r="D176" s="12"/>
      <c r="E176" s="12"/>
      <c r="F176" s="299">
        <f t="shared" ref="F176:AG176" si="348">F162+F163-F167</f>
        <v>12612.013000000001</v>
      </c>
      <c r="G176" s="299">
        <f t="shared" si="348"/>
        <v>11269.626</v>
      </c>
      <c r="H176" s="299">
        <f t="shared" si="348"/>
        <v>11830.571</v>
      </c>
      <c r="I176" s="299">
        <f t="shared" si="348"/>
        <v>11813.588</v>
      </c>
      <c r="J176" s="228">
        <f t="shared" si="348"/>
        <v>11813.588</v>
      </c>
      <c r="K176" s="299">
        <f t="shared" si="348"/>
        <v>14418.652</v>
      </c>
      <c r="L176" s="299">
        <f t="shared" si="348"/>
        <v>13131.442999999999</v>
      </c>
      <c r="M176" s="299">
        <f t="shared" si="348"/>
        <v>13074.047</v>
      </c>
      <c r="N176" s="299">
        <f t="shared" si="348"/>
        <v>12279.091</v>
      </c>
      <c r="O176" s="228">
        <f t="shared" si="348"/>
        <v>12279.091</v>
      </c>
      <c r="P176" s="299">
        <f t="shared" si="348"/>
        <v>13668.511</v>
      </c>
      <c r="Q176" s="299">
        <f t="shared" si="348"/>
        <v>13198.281999999999</v>
      </c>
      <c r="R176" s="299">
        <f t="shared" si="348"/>
        <v>14918.767</v>
      </c>
      <c r="S176" s="299">
        <f t="shared" si="348"/>
        <v>15292.388000000001</v>
      </c>
      <c r="T176" s="228">
        <f t="shared" si="348"/>
        <v>15292.388000000001</v>
      </c>
      <c r="U176" s="299">
        <f t="shared" si="348"/>
        <v>17487.319</v>
      </c>
      <c r="V176" s="299">
        <f t="shared" si="348"/>
        <v>5311</v>
      </c>
      <c r="W176" s="299">
        <f t="shared" si="348"/>
        <v>5351</v>
      </c>
      <c r="X176" s="227">
        <f t="shared" si="348"/>
        <v>7206.091793478261</v>
      </c>
      <c r="Y176" s="228">
        <f t="shared" si="348"/>
        <v>7206.091793478261</v>
      </c>
      <c r="Z176" s="227">
        <f t="shared" si="348"/>
        <v>8983.4077138461562</v>
      </c>
      <c r="AA176" s="227">
        <f t="shared" si="348"/>
        <v>8805.6593324307669</v>
      </c>
      <c r="AB176" s="227">
        <f t="shared" si="348"/>
        <v>7888.8677271819161</v>
      </c>
      <c r="AC176" s="227">
        <f t="shared" si="348"/>
        <v>8057.3045780685643</v>
      </c>
      <c r="AD176" s="228">
        <f t="shared" si="348"/>
        <v>8057.3045780685643</v>
      </c>
      <c r="AE176" s="228">
        <f t="shared" si="348"/>
        <v>7596.2532528588818</v>
      </c>
      <c r="AF176" s="228">
        <f t="shared" si="348"/>
        <v>7739.1792722506543</v>
      </c>
      <c r="AG176" s="228">
        <f t="shared" si="348"/>
        <v>7875.6048045382377</v>
      </c>
      <c r="AH176" s="12"/>
      <c r="AI176" s="12"/>
      <c r="AJ176" s="12"/>
      <c r="AK176" s="12"/>
    </row>
    <row r="177" spans="1:37" ht="13.5" customHeight="1">
      <c r="A177" s="211"/>
      <c r="B177" s="12"/>
      <c r="C177" s="12"/>
      <c r="D177" s="12"/>
      <c r="E177" s="12"/>
      <c r="F177" s="354"/>
      <c r="G177" s="354"/>
      <c r="H177" s="354"/>
      <c r="I177" s="354"/>
      <c r="J177" s="12"/>
      <c r="K177" s="354"/>
      <c r="L177" s="354"/>
      <c r="M177" s="354"/>
      <c r="N177" s="354"/>
      <c r="O177" s="12"/>
      <c r="P177" s="354"/>
      <c r="Q177" s="354"/>
      <c r="R177" s="354"/>
      <c r="S177" s="354"/>
      <c r="T177" s="12"/>
      <c r="U177" s="354"/>
      <c r="V177" s="354"/>
      <c r="W177" s="354"/>
      <c r="X177" s="355"/>
      <c r="Y177" s="12"/>
      <c r="Z177" s="355"/>
      <c r="AA177" s="355"/>
      <c r="AB177" s="355"/>
      <c r="AC177" s="355"/>
      <c r="AD177" s="12"/>
      <c r="AE177" s="71"/>
      <c r="AF177" s="71"/>
      <c r="AG177" s="71"/>
      <c r="AH177" s="12"/>
      <c r="AI177" s="12"/>
      <c r="AJ177" s="12"/>
      <c r="AK177" s="12"/>
    </row>
    <row r="178" spans="1:37" ht="13.5" customHeight="1">
      <c r="A178" s="211"/>
      <c r="B178" s="12"/>
      <c r="C178" s="352" t="s">
        <v>366</v>
      </c>
      <c r="D178" s="75"/>
      <c r="E178" s="75"/>
      <c r="F178" s="334"/>
      <c r="G178" s="334">
        <f t="shared" ref="G178:I178" si="349">G176-F176</f>
        <v>-1342.3870000000006</v>
      </c>
      <c r="H178" s="334">
        <f t="shared" si="349"/>
        <v>560.94499999999971</v>
      </c>
      <c r="I178" s="334">
        <f t="shared" si="349"/>
        <v>-16.983000000000175</v>
      </c>
      <c r="J178" s="75"/>
      <c r="K178" s="334">
        <f t="shared" ref="K178:N178" si="350">-(K176-J176)</f>
        <v>-2605.0640000000003</v>
      </c>
      <c r="L178" s="334">
        <f t="shared" si="350"/>
        <v>1287.2090000000007</v>
      </c>
      <c r="M178" s="334">
        <f t="shared" si="350"/>
        <v>57.395999999998821</v>
      </c>
      <c r="N178" s="334">
        <f t="shared" si="350"/>
        <v>794.95600000000013</v>
      </c>
      <c r="O178" s="335">
        <f>-(O176-J176)</f>
        <v>-465.50300000000061</v>
      </c>
      <c r="P178" s="334">
        <f t="shared" ref="P178:S178" si="351">-(P176-O176)</f>
        <v>-1389.42</v>
      </c>
      <c r="Q178" s="334">
        <f t="shared" si="351"/>
        <v>470.22900000000118</v>
      </c>
      <c r="R178" s="334">
        <f t="shared" si="351"/>
        <v>-1720.4850000000006</v>
      </c>
      <c r="S178" s="334">
        <f t="shared" si="351"/>
        <v>-373.621000000001</v>
      </c>
      <c r="T178" s="335">
        <f>-(T176-O176)</f>
        <v>-3013.2970000000005</v>
      </c>
      <c r="U178" s="334">
        <f t="shared" ref="U178:X178" si="352">-(U176-T176)</f>
        <v>-2194.9309999999987</v>
      </c>
      <c r="V178" s="334">
        <f t="shared" si="352"/>
        <v>12176.319</v>
      </c>
      <c r="W178" s="334">
        <f t="shared" si="352"/>
        <v>-40</v>
      </c>
      <c r="X178" s="336">
        <f t="shared" si="352"/>
        <v>-1855.091793478261</v>
      </c>
      <c r="Y178" s="335">
        <f>-(Y176-T176)</f>
        <v>8086.2962065217398</v>
      </c>
      <c r="Z178" s="336">
        <f t="shared" ref="Z178:AC178" si="353">-(Z176-Y176)</f>
        <v>-1777.3159203678952</v>
      </c>
      <c r="AA178" s="336">
        <f t="shared" si="353"/>
        <v>177.7483814153893</v>
      </c>
      <c r="AB178" s="336">
        <f t="shared" si="353"/>
        <v>916.79160524885083</v>
      </c>
      <c r="AC178" s="336">
        <f t="shared" si="353"/>
        <v>-168.43685088664824</v>
      </c>
      <c r="AD178" s="335">
        <f>-(AD176-Y176)</f>
        <v>-851.21278459030327</v>
      </c>
      <c r="AE178" s="335">
        <f t="shared" ref="AE178:AG178" si="354">-(AE176-AD176)</f>
        <v>461.05132520968255</v>
      </c>
      <c r="AF178" s="335">
        <f t="shared" si="354"/>
        <v>-142.92601939177257</v>
      </c>
      <c r="AG178" s="353">
        <f t="shared" si="354"/>
        <v>-136.42553228758334</v>
      </c>
      <c r="AH178" s="12"/>
      <c r="AI178" s="12"/>
      <c r="AJ178" s="12"/>
      <c r="AK178" s="12"/>
    </row>
    <row r="179" spans="1:37" ht="13.5" customHeight="1">
      <c r="A179" s="211"/>
      <c r="B179" s="12"/>
      <c r="C179" s="12"/>
      <c r="D179" s="12"/>
      <c r="E179" s="12"/>
      <c r="F179" s="261"/>
      <c r="G179" s="261"/>
      <c r="H179" s="261"/>
      <c r="I179" s="261"/>
      <c r="J179" s="12"/>
      <c r="K179" s="261"/>
      <c r="L179" s="261"/>
      <c r="M179" s="261"/>
      <c r="N179" s="261"/>
      <c r="O179" s="12"/>
      <c r="P179" s="261"/>
      <c r="Q179" s="261"/>
      <c r="R179" s="261"/>
      <c r="S179" s="261"/>
      <c r="T179" s="12"/>
      <c r="U179" s="261"/>
      <c r="V179" s="261"/>
      <c r="W179" s="261"/>
      <c r="X179" s="262"/>
      <c r="Y179" s="12"/>
      <c r="Z179" s="262"/>
      <c r="AA179" s="262"/>
      <c r="AB179" s="262"/>
      <c r="AC179" s="262"/>
      <c r="AD179" s="12"/>
      <c r="AE179" s="12"/>
      <c r="AF179" s="12"/>
      <c r="AG179" s="12"/>
      <c r="AH179" s="12"/>
      <c r="AI179" s="12"/>
      <c r="AJ179" s="12"/>
      <c r="AK179" s="12"/>
    </row>
    <row r="180" spans="1:37" ht="13.5" customHeight="1">
      <c r="A180" s="211" t="s">
        <v>1</v>
      </c>
      <c r="B180" s="12"/>
      <c r="C180" s="36" t="s">
        <v>46</v>
      </c>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42"/>
      <c r="AH180" s="211" t="s">
        <v>1</v>
      </c>
      <c r="AI180" s="12"/>
      <c r="AJ180" s="12"/>
      <c r="AK180" s="12"/>
    </row>
    <row r="181" spans="1:37" ht="13.5" customHeight="1">
      <c r="A181" s="211"/>
      <c r="B181" s="12"/>
      <c r="C181" s="12"/>
      <c r="D181" s="12"/>
      <c r="E181" s="12"/>
      <c r="F181" s="261"/>
      <c r="G181" s="261"/>
      <c r="H181" s="261"/>
      <c r="I181" s="261"/>
      <c r="J181" s="12"/>
      <c r="K181" s="261"/>
      <c r="L181" s="261"/>
      <c r="M181" s="261"/>
      <c r="N181" s="261"/>
      <c r="O181" s="12"/>
      <c r="P181" s="261"/>
      <c r="Q181" s="261"/>
      <c r="R181" s="261"/>
      <c r="S181" s="261"/>
      <c r="T181" s="12"/>
      <c r="U181" s="261"/>
      <c r="V181" s="261"/>
      <c r="W181" s="261"/>
      <c r="X181" s="262"/>
      <c r="Y181" s="12"/>
      <c r="Z181" s="262"/>
      <c r="AA181" s="262"/>
      <c r="AB181" s="262"/>
      <c r="AC181" s="262"/>
      <c r="AD181" s="12"/>
      <c r="AE181" s="12"/>
      <c r="AF181" s="12"/>
      <c r="AG181" s="12"/>
      <c r="AH181" s="12"/>
      <c r="AI181" s="12"/>
      <c r="AJ181" s="12"/>
      <c r="AK181" s="12"/>
    </row>
    <row r="182" spans="1:37" ht="13.5" customHeight="1">
      <c r="A182" s="211"/>
      <c r="B182" s="12"/>
      <c r="C182" s="12" t="s">
        <v>367</v>
      </c>
      <c r="D182" s="12"/>
      <c r="E182" s="12"/>
      <c r="F182" s="328"/>
      <c r="G182" s="330">
        <f t="shared" ref="G182:I182" si="355">AVERAGE(F162:G162)/G$28*G$26</f>
        <v>0</v>
      </c>
      <c r="H182" s="330">
        <f t="shared" si="355"/>
        <v>0</v>
      </c>
      <c r="I182" s="330">
        <f t="shared" si="355"/>
        <v>0</v>
      </c>
      <c r="J182" s="131">
        <f>AVERAGE(F162:I162)/J$28*J$26</f>
        <v>0</v>
      </c>
      <c r="K182" s="328">
        <f>AVERAGE(I162,K162)/K$28*K$26</f>
        <v>0</v>
      </c>
      <c r="L182" s="330">
        <f t="shared" ref="L182:N182" si="356">AVERAGE(K162:L162)/L$28*L$26</f>
        <v>0</v>
      </c>
      <c r="M182" s="330">
        <f t="shared" si="356"/>
        <v>0</v>
      </c>
      <c r="N182" s="330">
        <f t="shared" si="356"/>
        <v>0</v>
      </c>
      <c r="O182" s="131">
        <f>AVERAGE(J162,O162)/O$28*O$26</f>
        <v>0</v>
      </c>
      <c r="P182" s="328">
        <f>AVERAGE(N162,P162)/P$28*P$26</f>
        <v>0</v>
      </c>
      <c r="Q182" s="330">
        <f t="shared" ref="Q182:S182" si="357">AVERAGE(P162:Q162)/Q$28*Q$26</f>
        <v>0</v>
      </c>
      <c r="R182" s="330">
        <f t="shared" si="357"/>
        <v>0</v>
      </c>
      <c r="S182" s="330">
        <f t="shared" si="357"/>
        <v>0</v>
      </c>
      <c r="T182" s="131">
        <f>AVERAGE(O162,T162)/T$28*T$26</f>
        <v>0</v>
      </c>
      <c r="U182" s="328">
        <f>AVERAGE(S162,U162)/U$28*U$26</f>
        <v>0</v>
      </c>
      <c r="V182" s="330">
        <f t="shared" ref="V182:W182" si="358">AVERAGE(U162:V162)/V$28*V$26</f>
        <v>0</v>
      </c>
      <c r="W182" s="330">
        <f t="shared" si="358"/>
        <v>0</v>
      </c>
      <c r="X182" s="307">
        <f>Drivers!X113</f>
        <v>0</v>
      </c>
      <c r="Y182" s="131">
        <f>AVERAGE(T162,Y162)/Y$28*Y$26</f>
        <v>0</v>
      </c>
      <c r="Z182" s="307">
        <f>Drivers!Z113</f>
        <v>0</v>
      </c>
      <c r="AA182" s="307">
        <f>Drivers!AA113</f>
        <v>0</v>
      </c>
      <c r="AB182" s="307">
        <f>Drivers!AB113</f>
        <v>0</v>
      </c>
      <c r="AC182" s="307">
        <f>Drivers!AC113</f>
        <v>0</v>
      </c>
      <c r="AD182" s="131">
        <f>AVERAGE(Y162,AD162)/AD$28*AD$26</f>
        <v>0</v>
      </c>
      <c r="AE182" s="308">
        <f>Drivers!AE113</f>
        <v>0</v>
      </c>
      <c r="AF182" s="308">
        <f>Drivers!AF113</f>
        <v>0</v>
      </c>
      <c r="AG182" s="308">
        <f>Drivers!AG113</f>
        <v>0</v>
      </c>
      <c r="AH182" s="12"/>
      <c r="AI182" s="12"/>
      <c r="AJ182" s="12"/>
      <c r="AK182" s="12"/>
    </row>
    <row r="183" spans="1:37" ht="13.5" customHeight="1">
      <c r="A183" s="211"/>
      <c r="B183" s="12"/>
      <c r="C183" s="12" t="s">
        <v>368</v>
      </c>
      <c r="D183" s="12"/>
      <c r="E183" s="12"/>
      <c r="F183" s="328"/>
      <c r="G183" s="330">
        <f t="shared" ref="G183:I183" si="359">AVERAGE(F163:G163)/-G$29*G$26</f>
        <v>244.26165140677057</v>
      </c>
      <c r="H183" s="330">
        <f t="shared" si="359"/>
        <v>226.23158813560835</v>
      </c>
      <c r="I183" s="330">
        <f t="shared" si="359"/>
        <v>216.03246866661004</v>
      </c>
      <c r="J183" s="131">
        <f>AVERAGE(F163:I163)/-J$29*J$26</f>
        <v>232.12171703338504</v>
      </c>
      <c r="K183" s="328">
        <f>AVERAGE(I163,K163)/-K$29*K$26</f>
        <v>249.42672128779304</v>
      </c>
      <c r="L183" s="330">
        <f t="shared" ref="L183:N183" si="360">AVERAGE(K163:L163)/-L$29*L$26</f>
        <v>252.87240804902376</v>
      </c>
      <c r="M183" s="330">
        <f t="shared" si="360"/>
        <v>246.5907430715227</v>
      </c>
      <c r="N183" s="330">
        <f t="shared" si="360"/>
        <v>214.51221043096984</v>
      </c>
      <c r="O183" s="131">
        <f>AVERAGE(J163,O163)/-O$29*O$26</f>
        <v>223.28388612400602</v>
      </c>
      <c r="P183" s="328">
        <f>AVERAGE(N163,P163)/-P$29*P$26</f>
        <v>234.80058603721309</v>
      </c>
      <c r="Q183" s="330">
        <f t="shared" ref="Q183:S183" si="361">AVERAGE(P163:Q163)/-Q$29*Q$26</f>
        <v>240.20888169723798</v>
      </c>
      <c r="R183" s="330">
        <f t="shared" si="361"/>
        <v>220.46120777061282</v>
      </c>
      <c r="S183" s="330">
        <f t="shared" si="361"/>
        <v>225.00617466506179</v>
      </c>
      <c r="T183" s="131">
        <f>AVERAGE(O163,T163)/-T$29*T$26</f>
        <v>230.30351149923598</v>
      </c>
      <c r="U183" s="328">
        <f>AVERAGE(S163,U163)/-U$29*U$26</f>
        <v>264.23439405812059</v>
      </c>
      <c r="V183" s="330">
        <f t="shared" ref="V183:W183" si="362">AVERAGE(U163:V163)/-V$29*V$26</f>
        <v>88.976448680030671</v>
      </c>
      <c r="W183" s="330">
        <f t="shared" si="362"/>
        <v>102.03652729763225</v>
      </c>
      <c r="X183" s="307">
        <f>Drivers!X118</f>
        <v>90</v>
      </c>
      <c r="Y183" s="131">
        <f>AVERAGE(T163,Y163)/-Y$29*Y$26</f>
        <v>108.47399358257836</v>
      </c>
      <c r="Z183" s="307">
        <f>Drivers!Z118</f>
        <v>95</v>
      </c>
      <c r="AA183" s="307">
        <f>Drivers!AA118</f>
        <v>80</v>
      </c>
      <c r="AB183" s="307">
        <f>Drivers!AB118</f>
        <v>85</v>
      </c>
      <c r="AC183" s="307">
        <f>Drivers!AC118</f>
        <v>90</v>
      </c>
      <c r="AD183" s="131">
        <f>AVERAGE(Y163,AD163)/-AD$29*AD$26</f>
        <v>78.93300806770992</v>
      </c>
      <c r="AE183" s="308">
        <f>Drivers!AE118</f>
        <v>84</v>
      </c>
      <c r="AF183" s="308">
        <f>Drivers!AF118</f>
        <v>84</v>
      </c>
      <c r="AG183" s="308">
        <f>Drivers!AG118</f>
        <v>84</v>
      </c>
      <c r="AH183" s="12"/>
      <c r="AI183" s="12"/>
      <c r="AJ183" s="12"/>
      <c r="AK183" s="12"/>
    </row>
    <row r="184" spans="1:37" ht="13.5" customHeight="1">
      <c r="A184" s="211"/>
      <c r="B184" s="12"/>
      <c r="C184" s="12" t="s">
        <v>369</v>
      </c>
      <c r="D184" s="12"/>
      <c r="E184" s="12"/>
      <c r="F184" s="328"/>
      <c r="G184" s="330">
        <f t="shared" ref="G184:I184" si="363">AVERAGE(F167:G167)/-G$29*G$26</f>
        <v>11.754633174065521</v>
      </c>
      <c r="H184" s="330">
        <f t="shared" si="363"/>
        <v>10.726670463220078</v>
      </c>
      <c r="I184" s="330">
        <f t="shared" si="363"/>
        <v>11.109655607320711</v>
      </c>
      <c r="J184" s="131">
        <f>AVERAGE(F167:I167)/-J$29*J$26</f>
        <v>11.552491098329225</v>
      </c>
      <c r="K184" s="328">
        <f>AVERAGE(I167,K167)/-K$29*K$26</f>
        <v>12.24900659483998</v>
      </c>
      <c r="L184" s="330">
        <f t="shared" ref="L184:N184" si="364">AVERAGE(K167:L167)/-L$29*L$26</f>
        <v>10.604399124647308</v>
      </c>
      <c r="M184" s="330">
        <f t="shared" si="364"/>
        <v>11.14545954556783</v>
      </c>
      <c r="N184" s="330">
        <f t="shared" si="364"/>
        <v>12.297758906842018</v>
      </c>
      <c r="O184" s="131">
        <f>AVERAGE(J167,O167)/-O$29*O$26</f>
        <v>14.289830403018014</v>
      </c>
      <c r="P184" s="328">
        <f>AVERAGE(N167,P167)/-P$29*P$26</f>
        <v>12.948129702628485</v>
      </c>
      <c r="Q184" s="330">
        <f t="shared" ref="Q184:S184" si="365">AVERAGE(P167:Q167)/-Q$29*Q$26</f>
        <v>10.656263737460591</v>
      </c>
      <c r="R184" s="330">
        <f t="shared" si="365"/>
        <v>10.640993794865556</v>
      </c>
      <c r="S184" s="330">
        <f t="shared" si="365"/>
        <v>11.945638110814656</v>
      </c>
      <c r="T184" s="131">
        <f>AVERAGE(O167,T167)/-T$29*T$26</f>
        <v>14.11774168691665</v>
      </c>
      <c r="U184" s="328">
        <f>AVERAGE(S167,U167)/-U$29*U$26</f>
        <v>13.720264873804354</v>
      </c>
      <c r="V184" s="330">
        <f t="shared" ref="V184:W184" si="366">AVERAGE(U167:V167)/-V$29*V$26</f>
        <v>32.161709141198379</v>
      </c>
      <c r="W184" s="330">
        <f t="shared" si="366"/>
        <v>70.04565912204032</v>
      </c>
      <c r="X184" s="307">
        <f>Drivers!X135</f>
        <v>55</v>
      </c>
      <c r="Y184" s="131">
        <f>AVERAGE(T167,Y167)/-Y$29*Y$26</f>
        <v>38.18906877588617</v>
      </c>
      <c r="Z184" s="307">
        <f>Drivers!Z135</f>
        <v>58</v>
      </c>
      <c r="AA184" s="307">
        <f>Drivers!AA135</f>
        <v>48</v>
      </c>
      <c r="AB184" s="307">
        <f>Drivers!AB135</f>
        <v>53</v>
      </c>
      <c r="AC184" s="307">
        <f>Drivers!AC135</f>
        <v>55</v>
      </c>
      <c r="AD184" s="131">
        <f>AVERAGE(Y167,AD167)/-AD$29*AD$26</f>
        <v>48.236838263600504</v>
      </c>
      <c r="AE184" s="308">
        <f>Drivers!AE135</f>
        <v>54</v>
      </c>
      <c r="AF184" s="308">
        <f>Drivers!AF135</f>
        <v>54</v>
      </c>
      <c r="AG184" s="308">
        <f>Drivers!AG135</f>
        <v>54</v>
      </c>
      <c r="AH184" s="12"/>
      <c r="AI184" s="12"/>
      <c r="AJ184" s="12"/>
      <c r="AK184" s="12"/>
    </row>
    <row r="185" spans="1:37" ht="13.5" customHeight="1">
      <c r="A185" s="211"/>
      <c r="B185" s="12"/>
      <c r="C185" s="12" t="s">
        <v>131</v>
      </c>
      <c r="D185" s="12"/>
      <c r="E185" s="12"/>
      <c r="F185" s="328"/>
      <c r="G185" s="330">
        <f t="shared" ref="G185:AG185" si="367">SUM(G182:G183)-G184</f>
        <v>232.50701823270504</v>
      </c>
      <c r="H185" s="330">
        <f t="shared" si="367"/>
        <v>215.50491767238827</v>
      </c>
      <c r="I185" s="330">
        <f t="shared" si="367"/>
        <v>204.92281305928933</v>
      </c>
      <c r="J185" s="131">
        <f t="shared" si="367"/>
        <v>220.56922593505581</v>
      </c>
      <c r="K185" s="328">
        <f t="shared" si="367"/>
        <v>237.17771469295306</v>
      </c>
      <c r="L185" s="330">
        <f t="shared" si="367"/>
        <v>242.26800892437646</v>
      </c>
      <c r="M185" s="330">
        <f t="shared" si="367"/>
        <v>235.44528352595486</v>
      </c>
      <c r="N185" s="330">
        <f t="shared" si="367"/>
        <v>202.21445152412784</v>
      </c>
      <c r="O185" s="131">
        <f t="shared" si="367"/>
        <v>208.994055720988</v>
      </c>
      <c r="P185" s="328">
        <f t="shared" si="367"/>
        <v>221.85245633458462</v>
      </c>
      <c r="Q185" s="330">
        <f t="shared" si="367"/>
        <v>229.55261795977739</v>
      </c>
      <c r="R185" s="330">
        <f t="shared" si="367"/>
        <v>209.82021397574727</v>
      </c>
      <c r="S185" s="330">
        <f t="shared" si="367"/>
        <v>213.06053655424714</v>
      </c>
      <c r="T185" s="131">
        <f t="shared" si="367"/>
        <v>216.18576981231934</v>
      </c>
      <c r="U185" s="328">
        <f t="shared" si="367"/>
        <v>250.51412918431623</v>
      </c>
      <c r="V185" s="330">
        <f t="shared" si="367"/>
        <v>56.814739538832292</v>
      </c>
      <c r="W185" s="330">
        <f t="shared" si="367"/>
        <v>31.990868175591928</v>
      </c>
      <c r="X185" s="305">
        <f t="shared" si="367"/>
        <v>35</v>
      </c>
      <c r="Y185" s="131">
        <f t="shared" si="367"/>
        <v>70.284924806692189</v>
      </c>
      <c r="Z185" s="305">
        <f t="shared" si="367"/>
        <v>37</v>
      </c>
      <c r="AA185" s="305">
        <f t="shared" si="367"/>
        <v>32</v>
      </c>
      <c r="AB185" s="305">
        <f t="shared" si="367"/>
        <v>32</v>
      </c>
      <c r="AC185" s="305">
        <f t="shared" si="367"/>
        <v>35</v>
      </c>
      <c r="AD185" s="131">
        <f t="shared" si="367"/>
        <v>30.696169804109417</v>
      </c>
      <c r="AE185" s="131">
        <f t="shared" si="367"/>
        <v>30</v>
      </c>
      <c r="AF185" s="131">
        <f t="shared" si="367"/>
        <v>30</v>
      </c>
      <c r="AG185" s="131">
        <f t="shared" si="367"/>
        <v>30</v>
      </c>
      <c r="AH185" s="12"/>
      <c r="AI185" s="12"/>
      <c r="AJ185" s="12"/>
      <c r="AK185" s="12"/>
    </row>
    <row r="186" spans="1:37" ht="13.5" customHeight="1">
      <c r="A186" s="211"/>
      <c r="B186" s="12"/>
      <c r="C186" s="108" t="s">
        <v>370</v>
      </c>
      <c r="D186" s="12"/>
      <c r="E186" s="12"/>
      <c r="F186" s="356">
        <f t="shared" ref="F186:I186" si="368">F164/(4*F28)</f>
        <v>0.11542080545703408</v>
      </c>
      <c r="G186" s="356">
        <f t="shared" si="368"/>
        <v>0.11736309682519305</v>
      </c>
      <c r="H186" s="356">
        <f t="shared" si="368"/>
        <v>0.10027985751729053</v>
      </c>
      <c r="I186" s="356">
        <f t="shared" si="368"/>
        <v>7.9284373912083608E-2</v>
      </c>
      <c r="J186" s="164">
        <f>J164/(J28)</f>
        <v>8.3064832006194397E-2</v>
      </c>
      <c r="K186" s="356">
        <f t="shared" ref="K186:N186" si="369">K164/(4*K28)</f>
        <v>7.7278841761966352E-2</v>
      </c>
      <c r="L186" s="356">
        <f t="shared" si="369"/>
        <v>7.8212078068396154E-2</v>
      </c>
      <c r="M186" s="356">
        <f t="shared" si="369"/>
        <v>0.11888588387862717</v>
      </c>
      <c r="N186" s="356">
        <f t="shared" si="369"/>
        <v>0.12920605282987488</v>
      </c>
      <c r="O186" s="164">
        <f>O164/(O28)</f>
        <v>0.13578243164541104</v>
      </c>
      <c r="P186" s="356">
        <f t="shared" ref="P186:S186" si="370">P164/(4*P28)</f>
        <v>0.10665533760904716</v>
      </c>
      <c r="Q186" s="356">
        <f t="shared" si="370"/>
        <v>8.6100817516408731E-2</v>
      </c>
      <c r="R186" s="356">
        <f t="shared" si="370"/>
        <v>7.983383935806404E-2</v>
      </c>
      <c r="S186" s="356">
        <f t="shared" si="370"/>
        <v>8.2702446534086399E-2</v>
      </c>
      <c r="T186" s="164">
        <f>T164/(T28)</f>
        <v>8.8230237560840322E-2</v>
      </c>
      <c r="U186" s="356">
        <f t="shared" ref="U186:W186" si="371">U164/(4*U28)</f>
        <v>9.8189906950807274E-2</v>
      </c>
      <c r="V186" s="356">
        <f t="shared" si="371"/>
        <v>1.3656147986942329E-2</v>
      </c>
      <c r="W186" s="356">
        <f t="shared" si="371"/>
        <v>1.6264508246792913E-2</v>
      </c>
      <c r="X186" s="357">
        <f>Drivers!X123</f>
        <v>0</v>
      </c>
      <c r="Y186" s="164">
        <f>Y164/(Y28)</f>
        <v>0</v>
      </c>
      <c r="Z186" s="357">
        <f>Drivers!Z123</f>
        <v>1.7999999999999999E-2</v>
      </c>
      <c r="AA186" s="357">
        <f>Drivers!AA123</f>
        <v>1.7999999999999999E-2</v>
      </c>
      <c r="AB186" s="357">
        <f>Drivers!AB123</f>
        <v>1.7999999999999999E-2</v>
      </c>
      <c r="AC186" s="357">
        <f>Drivers!AC123</f>
        <v>1.7999999999999999E-2</v>
      </c>
      <c r="AD186" s="164">
        <f>AD164/(AD28)</f>
        <v>1.6751674706560162E-2</v>
      </c>
      <c r="AE186" s="358">
        <f>Drivers!AE123</f>
        <v>1.7999999999999999E-2</v>
      </c>
      <c r="AF186" s="358">
        <f>Drivers!AF123</f>
        <v>1.7999999999999999E-2</v>
      </c>
      <c r="AG186" s="358">
        <f>Drivers!AG123</f>
        <v>1.7999999999999999E-2</v>
      </c>
      <c r="AH186" s="12"/>
      <c r="AI186" s="12"/>
      <c r="AJ186" s="12"/>
      <c r="AK186" s="12"/>
    </row>
    <row r="187" spans="1:37" ht="13.5" customHeight="1">
      <c r="A187" s="211"/>
      <c r="B187" s="12"/>
      <c r="C187" s="12" t="s">
        <v>371</v>
      </c>
      <c r="D187" s="12"/>
      <c r="E187" s="12"/>
      <c r="F187" s="356">
        <f t="shared" ref="F187:I187" si="372">F168/(4*-F29)</f>
        <v>8.9415233287361104E-2</v>
      </c>
      <c r="G187" s="356">
        <f t="shared" si="372"/>
        <v>0.10210368313052186</v>
      </c>
      <c r="H187" s="356">
        <f t="shared" si="372"/>
        <v>9.3236010146856854E-2</v>
      </c>
      <c r="I187" s="356">
        <f t="shared" si="372"/>
        <v>8.4971936971657377E-2</v>
      </c>
      <c r="J187" s="164">
        <f>J168/(-J29)</f>
        <v>9.1500045649593714E-2</v>
      </c>
      <c r="K187" s="356">
        <f t="shared" ref="K187:N187" si="373">K168/(4*-K29)</f>
        <v>9.9326853353366523E-2</v>
      </c>
      <c r="L187" s="356">
        <f t="shared" si="373"/>
        <v>9.065481955175958E-2</v>
      </c>
      <c r="M187" s="356">
        <f t="shared" si="373"/>
        <v>0.10946331987209085</v>
      </c>
      <c r="N187" s="356">
        <f t="shared" si="373"/>
        <v>9.3480487793036818E-2</v>
      </c>
      <c r="O187" s="164">
        <f>O168/(-O29)</f>
        <v>0.10250482164477406</v>
      </c>
      <c r="P187" s="356">
        <f t="shared" ref="P187:S187" si="374">P168/(4*-P29)</f>
        <v>0.1120773370000876</v>
      </c>
      <c r="Q187" s="356">
        <f t="shared" si="374"/>
        <v>0.11687045132199791</v>
      </c>
      <c r="R187" s="356">
        <f t="shared" si="374"/>
        <v>0.12618368009084641</v>
      </c>
      <c r="S187" s="356">
        <f t="shared" si="374"/>
        <v>0.12344995209747739</v>
      </c>
      <c r="T187" s="164">
        <f>T168/(-T29)</f>
        <v>0.13838124479357522</v>
      </c>
      <c r="U187" s="356">
        <f t="shared" ref="U187:W187" si="375">U168/(4*-U29)</f>
        <v>0.18859572252344417</v>
      </c>
      <c r="V187" s="356">
        <f t="shared" si="375"/>
        <v>1.8224887720451308E-2</v>
      </c>
      <c r="W187" s="356">
        <f t="shared" si="375"/>
        <v>2.2063140043050031E-2</v>
      </c>
      <c r="X187" s="357">
        <f>Drivers!X140</f>
        <v>1.2500000000000001E-2</v>
      </c>
      <c r="Y187" s="164">
        <f>Y168/(-Y29)</f>
        <v>1.6211967295209698E-2</v>
      </c>
      <c r="Z187" s="357">
        <f>Drivers!Z140</f>
        <v>1.2500000000000001E-2</v>
      </c>
      <c r="AA187" s="357">
        <f>Drivers!AA140</f>
        <v>1.2500000000000001E-2</v>
      </c>
      <c r="AB187" s="357">
        <f>Drivers!AB140</f>
        <v>1.2500000000000001E-2</v>
      </c>
      <c r="AC187" s="357">
        <f>Drivers!AC140</f>
        <v>1.2500000000000001E-2</v>
      </c>
      <c r="AD187" s="164">
        <f>AD168/(-AD29)</f>
        <v>1.163754798419242E-2</v>
      </c>
      <c r="AE187" s="358">
        <f>Drivers!AE140</f>
        <v>1.2999999999999999E-2</v>
      </c>
      <c r="AF187" s="358">
        <f>Drivers!AF140</f>
        <v>1.2999999999999999E-2</v>
      </c>
      <c r="AG187" s="358">
        <f>Drivers!AG140</f>
        <v>1.2999999999999999E-2</v>
      </c>
      <c r="AH187" s="12"/>
      <c r="AI187" s="12"/>
      <c r="AJ187" s="12"/>
      <c r="AK187" s="12"/>
    </row>
    <row r="188" spans="1:37" ht="13.5" customHeight="1">
      <c r="A188" s="211"/>
      <c r="B188" s="12"/>
      <c r="C188" s="12" t="s">
        <v>372</v>
      </c>
      <c r="D188" s="12"/>
      <c r="E188" s="12"/>
      <c r="F188" s="356">
        <f t="shared" ref="F188:I188" si="376">F169/(4*-F29)</f>
        <v>0.21124671472065368</v>
      </c>
      <c r="G188" s="356">
        <f t="shared" si="376"/>
        <v>0.21568556126390026</v>
      </c>
      <c r="H188" s="356">
        <f t="shared" si="376"/>
        <v>0.19586118892152737</v>
      </c>
      <c r="I188" s="356">
        <f t="shared" si="376"/>
        <v>0.20941996040709809</v>
      </c>
      <c r="J188" s="164">
        <f>J169/(-J29)</f>
        <v>0.22550899296996255</v>
      </c>
      <c r="K188" s="356">
        <f t="shared" ref="K188:N188" si="377">K169/(4*-K29)</f>
        <v>0.22699084381523035</v>
      </c>
      <c r="L188" s="356">
        <f t="shared" si="377"/>
        <v>0.22274220097898337</v>
      </c>
      <c r="M188" s="356">
        <f t="shared" si="377"/>
        <v>0.23867728253218237</v>
      </c>
      <c r="N188" s="356">
        <f t="shared" si="377"/>
        <v>0.27057421726806219</v>
      </c>
      <c r="O188" s="164">
        <f>O169/(-O29)</f>
        <v>0.29669466364084374</v>
      </c>
      <c r="P188" s="356">
        <f t="shared" ref="P188:S188" si="378">P169/(4*-P29)</f>
        <v>0.41747503917333112</v>
      </c>
      <c r="Q188" s="356">
        <f t="shared" si="378"/>
        <v>0.46551370427004174</v>
      </c>
      <c r="R188" s="356">
        <f t="shared" si="378"/>
        <v>0.42708354625461331</v>
      </c>
      <c r="S188" s="356">
        <f t="shared" si="378"/>
        <v>0.3703290441066559</v>
      </c>
      <c r="T188" s="164">
        <f>T169/(-T29)</f>
        <v>0.41512040495754116</v>
      </c>
      <c r="U188" s="356">
        <f t="shared" ref="U188:W188" si="379">U169/(4*-U29)</f>
        <v>0.2665483290587099</v>
      </c>
      <c r="V188" s="356">
        <f t="shared" si="379"/>
        <v>9.5547157410450209E-2</v>
      </c>
      <c r="W188" s="356">
        <f t="shared" si="379"/>
        <v>0.11080490509425348</v>
      </c>
      <c r="X188" s="357">
        <f>Drivers!X145</f>
        <v>0.125</v>
      </c>
      <c r="Y188" s="164">
        <f>Y169/(-Y29)</f>
        <v>0.16211967295209698</v>
      </c>
      <c r="Z188" s="357">
        <f>Drivers!Z145</f>
        <v>0.11</v>
      </c>
      <c r="AA188" s="357">
        <f>Drivers!AA145</f>
        <v>0.11</v>
      </c>
      <c r="AB188" s="357">
        <f>Drivers!AB145</f>
        <v>0.125</v>
      </c>
      <c r="AC188" s="357">
        <f>Drivers!AC145</f>
        <v>0.125</v>
      </c>
      <c r="AD188" s="164">
        <f>AD169/(-AD29)</f>
        <v>0.11637547984192419</v>
      </c>
      <c r="AE188" s="358">
        <f>Drivers!AE145</f>
        <v>0.12</v>
      </c>
      <c r="AF188" s="358">
        <f>Drivers!AF145</f>
        <v>0.12</v>
      </c>
      <c r="AG188" s="358">
        <f>Drivers!AG145</f>
        <v>0.12</v>
      </c>
      <c r="AH188" s="12"/>
      <c r="AI188" s="12"/>
      <c r="AJ188" s="12"/>
      <c r="AK188" s="12"/>
    </row>
    <row r="189" spans="1:37" ht="13.5" customHeight="1">
      <c r="A189" s="211"/>
      <c r="B189" s="12"/>
      <c r="C189" s="12"/>
      <c r="D189" s="12"/>
      <c r="E189" s="12"/>
      <c r="F189" s="261"/>
      <c r="G189" s="261"/>
      <c r="H189" s="261"/>
      <c r="I189" s="261"/>
      <c r="J189" s="12"/>
      <c r="K189" s="261"/>
      <c r="L189" s="261"/>
      <c r="M189" s="261"/>
      <c r="N189" s="261"/>
      <c r="O189" s="12"/>
      <c r="P189" s="261"/>
      <c r="Q189" s="261"/>
      <c r="R189" s="261"/>
      <c r="S189" s="261"/>
      <c r="T189" s="12"/>
      <c r="U189" s="261"/>
      <c r="V189" s="261"/>
      <c r="W189" s="261"/>
      <c r="X189" s="262"/>
      <c r="Y189" s="12"/>
      <c r="Z189" s="262"/>
      <c r="AA189" s="262"/>
      <c r="AB189" s="262"/>
      <c r="AC189" s="262"/>
      <c r="AD189" s="12"/>
      <c r="AE189" s="12"/>
      <c r="AF189" s="12"/>
      <c r="AG189" s="12"/>
      <c r="AH189" s="12"/>
      <c r="AI189" s="12"/>
      <c r="AJ189" s="12"/>
      <c r="AK189" s="12"/>
    </row>
    <row r="190" spans="1:37" ht="13.5" customHeight="1">
      <c r="A190" s="211" t="s">
        <v>1</v>
      </c>
      <c r="B190" s="40"/>
      <c r="C190" s="55" t="s">
        <v>373</v>
      </c>
      <c r="D190" s="15"/>
      <c r="E190" s="15"/>
      <c r="F190" s="259" t="str">
        <f>F$25</f>
        <v>1Q23</v>
      </c>
      <c r="G190" s="56" t="str">
        <f t="shared" ref="G190:AG190" si="380">G$63</f>
        <v>2Q23</v>
      </c>
      <c r="H190" s="56" t="str">
        <f t="shared" si="380"/>
        <v>3Q23</v>
      </c>
      <c r="I190" s="56" t="str">
        <f t="shared" si="380"/>
        <v>4Q23</v>
      </c>
      <c r="J190" s="56">
        <f t="shared" si="380"/>
        <v>2023</v>
      </c>
      <c r="K190" s="56" t="str">
        <f t="shared" si="380"/>
        <v>1Q24</v>
      </c>
      <c r="L190" s="56" t="str">
        <f t="shared" si="380"/>
        <v>2Q24</v>
      </c>
      <c r="M190" s="56" t="str">
        <f t="shared" si="380"/>
        <v>3Q24</v>
      </c>
      <c r="N190" s="56" t="str">
        <f t="shared" si="380"/>
        <v>4Q24</v>
      </c>
      <c r="O190" s="56">
        <f t="shared" si="380"/>
        <v>2024</v>
      </c>
      <c r="P190" s="56" t="str">
        <f t="shared" si="380"/>
        <v>1Q25</v>
      </c>
      <c r="Q190" s="56" t="str">
        <f t="shared" si="380"/>
        <v>2Q25</v>
      </c>
      <c r="R190" s="56" t="str">
        <f t="shared" si="380"/>
        <v>3Q25</v>
      </c>
      <c r="S190" s="56" t="str">
        <f t="shared" si="380"/>
        <v>4Q25</v>
      </c>
      <c r="T190" s="56">
        <f t="shared" si="380"/>
        <v>2025</v>
      </c>
      <c r="U190" s="56" t="str">
        <f t="shared" si="380"/>
        <v>1Q26</v>
      </c>
      <c r="V190" s="56" t="str">
        <f t="shared" si="380"/>
        <v>2Q26</v>
      </c>
      <c r="W190" s="56" t="str">
        <f t="shared" si="380"/>
        <v>3Q26e</v>
      </c>
      <c r="X190" s="56" t="str">
        <f t="shared" si="380"/>
        <v>4Q26e</v>
      </c>
      <c r="Y190" s="56" t="str">
        <f t="shared" si="380"/>
        <v>2026e</v>
      </c>
      <c r="Z190" s="56" t="str">
        <f t="shared" si="380"/>
        <v>1Q27e</v>
      </c>
      <c r="AA190" s="56" t="str">
        <f t="shared" si="380"/>
        <v>2Q27e</v>
      </c>
      <c r="AB190" s="56" t="str">
        <f t="shared" si="380"/>
        <v>3Q27e</v>
      </c>
      <c r="AC190" s="56" t="str">
        <f t="shared" si="380"/>
        <v>4Q27e</v>
      </c>
      <c r="AD190" s="56" t="str">
        <f t="shared" si="380"/>
        <v>2027e</v>
      </c>
      <c r="AE190" s="56" t="str">
        <f t="shared" si="380"/>
        <v>2028e</v>
      </c>
      <c r="AF190" s="56" t="str">
        <f t="shared" si="380"/>
        <v>2029e</v>
      </c>
      <c r="AG190" s="57" t="str">
        <f t="shared" si="380"/>
        <v>2030e</v>
      </c>
      <c r="AH190" s="211" t="s">
        <v>1</v>
      </c>
      <c r="AI190" s="12"/>
      <c r="AJ190" s="12"/>
      <c r="AK190" s="12"/>
    </row>
    <row r="191" spans="1:37" ht="13.5" customHeight="1">
      <c r="A191" s="211"/>
      <c r="B191" s="12"/>
      <c r="C191" s="12"/>
      <c r="D191" s="12"/>
      <c r="E191" s="12"/>
      <c r="F191" s="261"/>
      <c r="G191" s="261"/>
      <c r="H191" s="261"/>
      <c r="I191" s="261"/>
      <c r="J191" s="12"/>
      <c r="K191" s="261"/>
      <c r="L191" s="261"/>
      <c r="M191" s="261"/>
      <c r="N191" s="261"/>
      <c r="O191" s="12"/>
      <c r="P191" s="261"/>
      <c r="Q191" s="261"/>
      <c r="R191" s="261"/>
      <c r="S191" s="261"/>
      <c r="T191" s="12"/>
      <c r="U191" s="261"/>
      <c r="V191" s="261"/>
      <c r="W191" s="261"/>
      <c r="X191" s="262"/>
      <c r="Y191" s="12"/>
      <c r="Z191" s="262"/>
      <c r="AA191" s="262"/>
      <c r="AB191" s="262"/>
      <c r="AC191" s="262"/>
      <c r="AD191" s="12"/>
      <c r="AE191" s="12"/>
      <c r="AF191" s="12"/>
      <c r="AG191" s="12"/>
      <c r="AH191" s="12"/>
      <c r="AI191" s="12"/>
      <c r="AJ191" s="12"/>
      <c r="AK191" s="12"/>
    </row>
    <row r="192" spans="1:37" ht="13.5" customHeight="1">
      <c r="A192" s="211"/>
      <c r="B192" s="12"/>
      <c r="C192" s="12" t="s">
        <v>374</v>
      </c>
      <c r="D192" s="12"/>
      <c r="E192" s="12"/>
      <c r="F192" s="261"/>
      <c r="G192" s="261"/>
      <c r="H192" s="261"/>
      <c r="I192" s="261"/>
      <c r="J192" s="12"/>
      <c r="K192" s="261"/>
      <c r="L192" s="261"/>
      <c r="M192" s="261"/>
      <c r="N192" s="261"/>
      <c r="O192" s="12"/>
      <c r="P192" s="261"/>
      <c r="Q192" s="261"/>
      <c r="R192" s="261"/>
      <c r="S192" s="261"/>
      <c r="T192" s="12"/>
      <c r="U192" s="261"/>
      <c r="V192" s="261"/>
      <c r="W192" s="261"/>
      <c r="X192" s="227">
        <f>W196</f>
        <v>18925</v>
      </c>
      <c r="Y192" s="228">
        <f>U192</f>
        <v>0</v>
      </c>
      <c r="Z192" s="227">
        <f t="shared" ref="Z192:AC192" si="381">Y196</f>
        <v>18963.938200000001</v>
      </c>
      <c r="AA192" s="227">
        <f t="shared" si="381"/>
        <v>19248.6551535</v>
      </c>
      <c r="AB192" s="227">
        <f t="shared" si="381"/>
        <v>19556.13592455375</v>
      </c>
      <c r="AC192" s="227">
        <f t="shared" si="381"/>
        <v>19652.049466517259</v>
      </c>
      <c r="AD192" s="228">
        <f>Y196</f>
        <v>18963.938200000001</v>
      </c>
      <c r="AE192" s="228">
        <f t="shared" ref="AE192:AG192" si="382">AD196</f>
        <v>19724.377225464246</v>
      </c>
      <c r="AF192" s="228">
        <f t="shared" si="382"/>
        <v>20451.053220703907</v>
      </c>
      <c r="AG192" s="228">
        <f t="shared" si="382"/>
        <v>21168.345167395775</v>
      </c>
      <c r="AH192" s="12"/>
      <c r="AI192" s="12"/>
      <c r="AJ192" s="12"/>
      <c r="AK192" s="12"/>
    </row>
    <row r="193" spans="1:37" ht="13.5" customHeight="1">
      <c r="A193" s="211"/>
      <c r="B193" s="12"/>
      <c r="C193" s="108" t="s">
        <v>121</v>
      </c>
      <c r="D193" s="12"/>
      <c r="E193" s="12"/>
      <c r="F193" s="359">
        <v>224</v>
      </c>
      <c r="G193" s="359">
        <v>319</v>
      </c>
      <c r="H193" s="359">
        <v>303</v>
      </c>
      <c r="I193" s="359">
        <v>328</v>
      </c>
      <c r="J193" s="275">
        <f t="shared" ref="J193:J195" si="383">SUM(F193:I193)</f>
        <v>1174</v>
      </c>
      <c r="K193" s="359">
        <v>205</v>
      </c>
      <c r="L193" s="359">
        <v>321</v>
      </c>
      <c r="M193" s="359">
        <v>401</v>
      </c>
      <c r="N193" s="359">
        <v>557</v>
      </c>
      <c r="O193" s="275">
        <f t="shared" ref="O193:O195" si="384">SUM(K193:N193)</f>
        <v>1484</v>
      </c>
      <c r="P193" s="359">
        <v>328</v>
      </c>
      <c r="Q193" s="359">
        <v>382</v>
      </c>
      <c r="R193" s="359">
        <v>462</v>
      </c>
      <c r="S193" s="359">
        <v>557</v>
      </c>
      <c r="T193" s="275">
        <f t="shared" ref="T193:T195" si="385">SUM(P193:S193)</f>
        <v>1729</v>
      </c>
      <c r="U193" s="359">
        <v>461</v>
      </c>
      <c r="V193" s="359">
        <f>846-U193</f>
        <v>385</v>
      </c>
      <c r="W193" s="359">
        <f>1256-SUM(U193:V193)</f>
        <v>410</v>
      </c>
      <c r="X193" s="276">
        <f>X200*X28</f>
        <v>370.12569999999999</v>
      </c>
      <c r="Y193" s="275">
        <f t="shared" ref="Y193:Y195" si="386">SUM(U193:X193)</f>
        <v>1626.1257000000001</v>
      </c>
      <c r="Z193" s="276">
        <f t="shared" ref="Z193:AC193" si="387">Z200*Z28</f>
        <v>616.58587199999999</v>
      </c>
      <c r="AA193" s="276">
        <f t="shared" si="387"/>
        <v>644.33223623999993</v>
      </c>
      <c r="AB193" s="276">
        <f t="shared" si="387"/>
        <v>438.14592064320004</v>
      </c>
      <c r="AC193" s="276">
        <f t="shared" si="387"/>
        <v>416.23862461104</v>
      </c>
      <c r="AD193" s="275">
        <f t="shared" ref="AD193:AD195" si="388">SUM(Z193:AC193)</f>
        <v>2115.3026534942401</v>
      </c>
      <c r="AE193" s="275">
        <f t="shared" ref="AE193:AG193" si="389">AE200*AE28</f>
        <v>2146.8311554730876</v>
      </c>
      <c r="AF193" s="275">
        <f t="shared" si="389"/>
        <v>2189.7677785825495</v>
      </c>
      <c r="AG193" s="275">
        <f t="shared" si="389"/>
        <v>2345.2412908619103</v>
      </c>
      <c r="AH193" s="12"/>
      <c r="AI193" s="12"/>
      <c r="AJ193" s="12"/>
      <c r="AK193" s="12"/>
    </row>
    <row r="194" spans="1:37" ht="13.5" customHeight="1">
      <c r="A194" s="211"/>
      <c r="B194" s="12"/>
      <c r="C194" s="108" t="s">
        <v>375</v>
      </c>
      <c r="D194" s="12"/>
      <c r="E194" s="12"/>
      <c r="F194" s="304"/>
      <c r="G194" s="304"/>
      <c r="H194" s="304"/>
      <c r="I194" s="304"/>
      <c r="J194" s="312">
        <f t="shared" si="383"/>
        <v>0</v>
      </c>
      <c r="K194" s="304"/>
      <c r="L194" s="304"/>
      <c r="M194" s="304"/>
      <c r="N194" s="304"/>
      <c r="O194" s="312">
        <f t="shared" si="384"/>
        <v>0</v>
      </c>
      <c r="P194" s="304"/>
      <c r="Q194" s="304"/>
      <c r="R194" s="304"/>
      <c r="S194" s="304"/>
      <c r="T194" s="312">
        <f t="shared" si="385"/>
        <v>0</v>
      </c>
      <c r="U194" s="304"/>
      <c r="V194" s="304">
        <f>-409+207</f>
        <v>-202</v>
      </c>
      <c r="W194" s="304">
        <f>-425+216</f>
        <v>-209</v>
      </c>
      <c r="X194" s="305">
        <f>-X201*X192/4</f>
        <v>-331.18750000000006</v>
      </c>
      <c r="Y194" s="275">
        <f t="shared" si="386"/>
        <v>-742.1875</v>
      </c>
      <c r="Z194" s="305">
        <f t="shared" ref="Z194:AC194" si="390">-Z201*Z192/4</f>
        <v>-331.86891850000006</v>
      </c>
      <c r="AA194" s="305">
        <f t="shared" si="390"/>
        <v>-336.85146518625004</v>
      </c>
      <c r="AB194" s="305">
        <f t="shared" si="390"/>
        <v>-342.23237867969067</v>
      </c>
      <c r="AC194" s="305">
        <f t="shared" si="390"/>
        <v>-343.91086566405204</v>
      </c>
      <c r="AD194" s="275">
        <f t="shared" si="388"/>
        <v>-1354.8636280299929</v>
      </c>
      <c r="AE194" s="131">
        <f t="shared" ref="AE194:AG194" si="391">-AE201*AE192</f>
        <v>-1420.1551602334257</v>
      </c>
      <c r="AF194" s="131">
        <f t="shared" si="391"/>
        <v>-1472.4758318906811</v>
      </c>
      <c r="AG194" s="131">
        <f t="shared" si="391"/>
        <v>-1524.1208520524956</v>
      </c>
      <c r="AH194" s="12"/>
      <c r="AI194" s="12"/>
      <c r="AJ194" s="12"/>
      <c r="AK194" s="12"/>
    </row>
    <row r="195" spans="1:37" ht="13.5" customHeight="1">
      <c r="A195" s="211"/>
      <c r="B195" s="12"/>
      <c r="C195" s="108" t="s">
        <v>376</v>
      </c>
      <c r="D195" s="12"/>
      <c r="E195" s="12"/>
      <c r="F195" s="300">
        <v>0</v>
      </c>
      <c r="G195" s="313">
        <v>0</v>
      </c>
      <c r="H195" s="300">
        <v>0</v>
      </c>
      <c r="I195" s="300">
        <v>0</v>
      </c>
      <c r="J195" s="360">
        <f t="shared" si="383"/>
        <v>0</v>
      </c>
      <c r="K195" s="300">
        <v>0</v>
      </c>
      <c r="L195" s="300">
        <v>0</v>
      </c>
      <c r="M195" s="300">
        <v>0</v>
      </c>
      <c r="N195" s="300">
        <v>0</v>
      </c>
      <c r="O195" s="360">
        <f t="shared" si="384"/>
        <v>0</v>
      </c>
      <c r="P195" s="300">
        <v>0</v>
      </c>
      <c r="Q195" s="300">
        <v>0</v>
      </c>
      <c r="R195" s="300">
        <v>0</v>
      </c>
      <c r="S195" s="300">
        <v>0</v>
      </c>
      <c r="T195" s="360">
        <f t="shared" si="385"/>
        <v>0</v>
      </c>
      <c r="U195" s="300">
        <v>-64</v>
      </c>
      <c r="V195" s="300">
        <f>-78-U195</f>
        <v>-14</v>
      </c>
      <c r="W195" s="300">
        <v>0</v>
      </c>
      <c r="X195" s="331">
        <f>-Drivers!X97</f>
        <v>0</v>
      </c>
      <c r="Y195" s="360">
        <f t="shared" si="386"/>
        <v>-78</v>
      </c>
      <c r="Z195" s="331">
        <f>-Drivers!Z97</f>
        <v>0</v>
      </c>
      <c r="AA195" s="331">
        <f>-Drivers!AA97</f>
        <v>0</v>
      </c>
      <c r="AB195" s="331">
        <f>-Drivers!AB97</f>
        <v>0</v>
      </c>
      <c r="AC195" s="331">
        <f>-Drivers!AC97</f>
        <v>0</v>
      </c>
      <c r="AD195" s="360">
        <f t="shared" si="388"/>
        <v>0</v>
      </c>
      <c r="AE195" s="337">
        <f>-Drivers!AE97</f>
        <v>0</v>
      </c>
      <c r="AF195" s="337">
        <f>-Drivers!AF97</f>
        <v>0</v>
      </c>
      <c r="AG195" s="337">
        <f>-Drivers!AG97</f>
        <v>0</v>
      </c>
      <c r="AH195" s="12"/>
      <c r="AI195" s="12"/>
      <c r="AJ195" s="12"/>
      <c r="AK195" s="12"/>
    </row>
    <row r="196" spans="1:37" ht="13.5" customHeight="1">
      <c r="A196" s="211"/>
      <c r="B196" s="12"/>
      <c r="C196" s="12" t="s">
        <v>377</v>
      </c>
      <c r="D196" s="12"/>
      <c r="E196" s="12"/>
      <c r="F196" s="299">
        <f t="shared" ref="F196:W196" si="392">F126</f>
        <v>1413.0940000000001</v>
      </c>
      <c r="G196" s="299">
        <f t="shared" si="392"/>
        <v>1471.9680000000001</v>
      </c>
      <c r="H196" s="299">
        <f t="shared" si="392"/>
        <v>1498.3910000000001</v>
      </c>
      <c r="I196" s="299">
        <f t="shared" si="392"/>
        <v>1491.444</v>
      </c>
      <c r="J196" s="228">
        <f t="shared" si="392"/>
        <v>1491.444</v>
      </c>
      <c r="K196" s="299">
        <f t="shared" si="392"/>
        <v>1501.1679999999999</v>
      </c>
      <c r="L196" s="299">
        <f t="shared" si="392"/>
        <v>1510.9580000000001</v>
      </c>
      <c r="M196" s="299">
        <f t="shared" si="392"/>
        <v>1568.212</v>
      </c>
      <c r="N196" s="299">
        <f t="shared" si="392"/>
        <v>1593.7560000000001</v>
      </c>
      <c r="O196" s="228">
        <f t="shared" si="392"/>
        <v>1593.7560000000001</v>
      </c>
      <c r="P196" s="299">
        <f t="shared" si="392"/>
        <v>1644.346</v>
      </c>
      <c r="Q196" s="299">
        <f t="shared" si="392"/>
        <v>1743.566</v>
      </c>
      <c r="R196" s="299">
        <f t="shared" si="392"/>
        <v>1837.8889999999999</v>
      </c>
      <c r="S196" s="299">
        <f t="shared" si="392"/>
        <v>2004.35</v>
      </c>
      <c r="T196" s="228">
        <f t="shared" si="392"/>
        <v>2004.35</v>
      </c>
      <c r="U196" s="299">
        <f t="shared" si="392"/>
        <v>2147.8290000000002</v>
      </c>
      <c r="V196" s="299">
        <f t="shared" si="392"/>
        <v>19031</v>
      </c>
      <c r="W196" s="299">
        <f t="shared" si="392"/>
        <v>18925</v>
      </c>
      <c r="X196" s="227">
        <f>SUM(X192:X195)</f>
        <v>18963.938200000001</v>
      </c>
      <c r="Y196" s="228">
        <f>X196</f>
        <v>18963.938200000001</v>
      </c>
      <c r="Z196" s="227">
        <f t="shared" ref="Z196:AG196" si="393">SUM(Z192:Z195)</f>
        <v>19248.6551535</v>
      </c>
      <c r="AA196" s="227">
        <f t="shared" si="393"/>
        <v>19556.13592455375</v>
      </c>
      <c r="AB196" s="227">
        <f t="shared" si="393"/>
        <v>19652.049466517259</v>
      </c>
      <c r="AC196" s="227">
        <f t="shared" si="393"/>
        <v>19724.377225464246</v>
      </c>
      <c r="AD196" s="228">
        <f t="shared" si="393"/>
        <v>19724.377225464246</v>
      </c>
      <c r="AE196" s="228">
        <f t="shared" si="393"/>
        <v>20451.053220703907</v>
      </c>
      <c r="AF196" s="228">
        <f t="shared" si="393"/>
        <v>21168.345167395775</v>
      </c>
      <c r="AG196" s="228">
        <f t="shared" si="393"/>
        <v>21989.465606205191</v>
      </c>
      <c r="AH196" s="12"/>
      <c r="AI196" s="12"/>
      <c r="AJ196" s="12"/>
      <c r="AK196" s="12"/>
    </row>
    <row r="197" spans="1:37" ht="13.5" customHeight="1">
      <c r="A197" s="211"/>
      <c r="B197" s="12"/>
      <c r="C197" s="12"/>
      <c r="D197" s="12"/>
      <c r="E197" s="12"/>
      <c r="F197" s="299"/>
      <c r="G197" s="299"/>
      <c r="H197" s="299"/>
      <c r="I197" s="299"/>
      <c r="J197" s="228"/>
      <c r="K197" s="299"/>
      <c r="L197" s="299"/>
      <c r="M197" s="299"/>
      <c r="N197" s="299"/>
      <c r="O197" s="228"/>
      <c r="P197" s="299"/>
      <c r="Q197" s="299"/>
      <c r="R197" s="299"/>
      <c r="S197" s="299"/>
      <c r="T197" s="228"/>
      <c r="U197" s="299"/>
      <c r="V197" s="299"/>
      <c r="W197" s="299"/>
      <c r="X197" s="227"/>
      <c r="Y197" s="228"/>
      <c r="Z197" s="227"/>
      <c r="AA197" s="227"/>
      <c r="AB197" s="227"/>
      <c r="AC197" s="227"/>
      <c r="AD197" s="228"/>
      <c r="AE197" s="12"/>
      <c r="AF197" s="12"/>
      <c r="AG197" s="12"/>
      <c r="AH197" s="12"/>
      <c r="AI197" s="12"/>
      <c r="AJ197" s="12"/>
      <c r="AK197" s="12"/>
    </row>
    <row r="198" spans="1:37" ht="13.5" customHeight="1">
      <c r="A198" s="211" t="s">
        <v>1</v>
      </c>
      <c r="B198" s="12"/>
      <c r="C198" s="36" t="s">
        <v>46</v>
      </c>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42"/>
      <c r="AH198" s="211" t="s">
        <v>1</v>
      </c>
      <c r="AI198" s="12"/>
      <c r="AJ198" s="12"/>
      <c r="AK198" s="12"/>
    </row>
    <row r="199" spans="1:37" ht="13.5" customHeight="1">
      <c r="A199" s="211"/>
      <c r="B199" s="12"/>
      <c r="C199" s="12"/>
      <c r="D199" s="12"/>
      <c r="E199" s="12"/>
      <c r="F199" s="261"/>
      <c r="G199" s="261"/>
      <c r="H199" s="261"/>
      <c r="I199" s="261"/>
      <c r="J199" s="12"/>
      <c r="K199" s="261"/>
      <c r="L199" s="261"/>
      <c r="M199" s="261"/>
      <c r="N199" s="261"/>
      <c r="O199" s="12"/>
      <c r="P199" s="261"/>
      <c r="Q199" s="261"/>
      <c r="R199" s="261"/>
      <c r="S199" s="261"/>
      <c r="T199" s="12"/>
      <c r="U199" s="261"/>
      <c r="V199" s="261"/>
      <c r="W199" s="261"/>
      <c r="X199" s="262"/>
      <c r="Y199" s="12"/>
      <c r="Z199" s="262"/>
      <c r="AA199" s="262"/>
      <c r="AB199" s="262"/>
      <c r="AC199" s="262"/>
      <c r="AD199" s="12"/>
      <c r="AE199" s="12"/>
      <c r="AF199" s="12"/>
      <c r="AG199" s="12"/>
      <c r="AH199" s="12"/>
      <c r="AI199" s="12"/>
      <c r="AJ199" s="12"/>
      <c r="AK199" s="12"/>
    </row>
    <row r="200" spans="1:37" ht="13.5" customHeight="1">
      <c r="A200" s="211"/>
      <c r="B200" s="12"/>
      <c r="C200" s="12" t="s">
        <v>378</v>
      </c>
      <c r="D200" s="12"/>
      <c r="E200" s="12"/>
      <c r="F200" s="356">
        <f t="shared" ref="F200:W200" si="394">F193/F28</f>
        <v>2.7445925094924307E-2</v>
      </c>
      <c r="G200" s="356">
        <f t="shared" si="394"/>
        <v>3.8962779064798031E-2</v>
      </c>
      <c r="H200" s="356">
        <f t="shared" si="394"/>
        <v>3.5473165194432749E-2</v>
      </c>
      <c r="I200" s="356">
        <f t="shared" si="394"/>
        <v>3.7134212440527233E-2</v>
      </c>
      <c r="J200" s="164">
        <f t="shared" si="394"/>
        <v>3.4812729016382944E-2</v>
      </c>
      <c r="K200" s="356">
        <f t="shared" si="394"/>
        <v>2.1877307789175321E-2</v>
      </c>
      <c r="L200" s="356">
        <f t="shared" si="394"/>
        <v>3.3579829506522961E-2</v>
      </c>
      <c r="M200" s="356">
        <f t="shared" si="394"/>
        <v>4.0815483175420164E-2</v>
      </c>
      <c r="N200" s="356">
        <f t="shared" si="394"/>
        <v>5.4359956406633159E-2</v>
      </c>
      <c r="O200" s="164">
        <f t="shared" si="394"/>
        <v>3.8050339573640304E-2</v>
      </c>
      <c r="P200" s="356">
        <f t="shared" si="394"/>
        <v>3.1111276784983422E-2</v>
      </c>
      <c r="Q200" s="356">
        <f t="shared" si="394"/>
        <v>3.4479129566250745E-2</v>
      </c>
      <c r="R200" s="356">
        <f t="shared" si="394"/>
        <v>4.0137938979386036E-2</v>
      </c>
      <c r="S200" s="356">
        <f t="shared" si="394"/>
        <v>4.6221143526027644E-2</v>
      </c>
      <c r="T200" s="164">
        <f t="shared" si="394"/>
        <v>3.826657420718696E-2</v>
      </c>
      <c r="U200" s="356">
        <f t="shared" si="394"/>
        <v>3.7633399584987688E-2</v>
      </c>
      <c r="V200" s="356">
        <f t="shared" si="394"/>
        <v>1.3964454116793616E-2</v>
      </c>
      <c r="W200" s="356">
        <f t="shared" si="394"/>
        <v>1.7889868225848676E-2</v>
      </c>
      <c r="X200" s="357">
        <f>Drivers!X92</f>
        <v>1.7000000000000001E-2</v>
      </c>
      <c r="Y200" s="164">
        <f>Y193/Y28</f>
        <v>1.9241846545782232E-2</v>
      </c>
      <c r="Z200" s="357">
        <f>Drivers!Z92</f>
        <v>2.4E-2</v>
      </c>
      <c r="AA200" s="357">
        <f>Drivers!AA92</f>
        <v>2.1999999999999999E-2</v>
      </c>
      <c r="AB200" s="357">
        <f>Drivers!AB92</f>
        <v>1.7000000000000001E-2</v>
      </c>
      <c r="AC200" s="357">
        <f>Drivers!AC92</f>
        <v>1.7000000000000001E-2</v>
      </c>
      <c r="AD200" s="164">
        <f>AD193/AD28</f>
        <v>2.0100404273187121E-2</v>
      </c>
      <c r="AE200" s="358">
        <f>Drivers!AE92</f>
        <v>0.02</v>
      </c>
      <c r="AF200" s="358">
        <f>Drivers!AF92</f>
        <v>0.02</v>
      </c>
      <c r="AG200" s="358">
        <f>Drivers!AG92</f>
        <v>2.1000000000000001E-2</v>
      </c>
      <c r="AH200" s="12"/>
      <c r="AI200" s="12"/>
      <c r="AJ200" s="12"/>
      <c r="AK200" s="12"/>
    </row>
    <row r="201" spans="1:37" ht="13.5" customHeight="1">
      <c r="A201" s="211"/>
      <c r="B201" s="12"/>
      <c r="C201" s="12" t="s">
        <v>379</v>
      </c>
      <c r="D201" s="12"/>
      <c r="E201" s="12"/>
      <c r="F201" s="356"/>
      <c r="G201" s="356">
        <f t="shared" ref="G201:I201" si="395">-G194*4/AVERAGE(F196:G196)</f>
        <v>0</v>
      </c>
      <c r="H201" s="356">
        <f t="shared" si="395"/>
        <v>0</v>
      </c>
      <c r="I201" s="356">
        <f t="shared" si="395"/>
        <v>0</v>
      </c>
      <c r="J201" s="164">
        <f>-J194/AVERAGE(F196:I196)</f>
        <v>0</v>
      </c>
      <c r="K201" s="356">
        <f t="shared" ref="K201:N201" si="396">-K194*4/AVERAGE(J196:K196)</f>
        <v>0</v>
      </c>
      <c r="L201" s="356">
        <f t="shared" si="396"/>
        <v>0</v>
      </c>
      <c r="M201" s="356">
        <f t="shared" si="396"/>
        <v>0</v>
      </c>
      <c r="N201" s="356">
        <f t="shared" si="396"/>
        <v>0</v>
      </c>
      <c r="O201" s="164">
        <f>-O194/AVERAGE(J196,O196)</f>
        <v>0</v>
      </c>
      <c r="P201" s="356">
        <f t="shared" ref="P201:S201" si="397">-P194*4/AVERAGE(O196:P196)</f>
        <v>0</v>
      </c>
      <c r="Q201" s="356">
        <f t="shared" si="397"/>
        <v>0</v>
      </c>
      <c r="R201" s="356">
        <f t="shared" si="397"/>
        <v>0</v>
      </c>
      <c r="S201" s="356">
        <f t="shared" si="397"/>
        <v>0</v>
      </c>
      <c r="T201" s="164">
        <f>-T194/AVERAGE(O196,T196)</f>
        <v>0</v>
      </c>
      <c r="U201" s="356">
        <f t="shared" ref="U201:W201" si="398">-U194*4/AVERAGE(T196:U196)</f>
        <v>0</v>
      </c>
      <c r="V201" s="356">
        <f t="shared" si="398"/>
        <v>7.6302613331454716E-2</v>
      </c>
      <c r="W201" s="356">
        <f t="shared" si="398"/>
        <v>4.4051006428496152E-2</v>
      </c>
      <c r="X201" s="357">
        <f>Drivers!X72</f>
        <v>7.0000000000000007E-2</v>
      </c>
      <c r="Y201" s="164">
        <f>-Y194/AVERAGE(T196,Y196)</f>
        <v>7.0791424929003033E-2</v>
      </c>
      <c r="Z201" s="357">
        <f>Drivers!Z72</f>
        <v>7.0000000000000007E-2</v>
      </c>
      <c r="AA201" s="357">
        <f>Drivers!AA72</f>
        <v>7.0000000000000007E-2</v>
      </c>
      <c r="AB201" s="357">
        <f>Drivers!AB72</f>
        <v>7.0000000000000007E-2</v>
      </c>
      <c r="AC201" s="357">
        <f>Drivers!AC72</f>
        <v>7.0000000000000007E-2</v>
      </c>
      <c r="AD201" s="164">
        <f>-AD194/AVERAGE(Y196,AD196)</f>
        <v>7.0039939094284576E-2</v>
      </c>
      <c r="AE201" s="358">
        <f>Drivers!AE72</f>
        <v>7.1999999999999995E-2</v>
      </c>
      <c r="AF201" s="358">
        <f>Drivers!AF72</f>
        <v>7.1999999999999995E-2</v>
      </c>
      <c r="AG201" s="358">
        <f>Drivers!AG72</f>
        <v>7.1999999999999995E-2</v>
      </c>
      <c r="AH201" s="12"/>
      <c r="AI201" s="12"/>
      <c r="AJ201" s="12"/>
      <c r="AK201" s="12"/>
    </row>
    <row r="202" spans="1:37" ht="13.5" customHeight="1">
      <c r="A202" s="211"/>
      <c r="B202" s="12"/>
      <c r="C202" s="12" t="s">
        <v>380</v>
      </c>
      <c r="D202" s="12"/>
      <c r="E202" s="12"/>
      <c r="F202" s="356">
        <f t="shared" ref="F202:AG202" si="399">-F194/F28</f>
        <v>0</v>
      </c>
      <c r="G202" s="356">
        <f t="shared" si="399"/>
        <v>0</v>
      </c>
      <c r="H202" s="356">
        <f t="shared" si="399"/>
        <v>0</v>
      </c>
      <c r="I202" s="356">
        <f t="shared" si="399"/>
        <v>0</v>
      </c>
      <c r="J202" s="164">
        <f t="shared" si="399"/>
        <v>0</v>
      </c>
      <c r="K202" s="356">
        <f t="shared" si="399"/>
        <v>0</v>
      </c>
      <c r="L202" s="356">
        <f t="shared" si="399"/>
        <v>0</v>
      </c>
      <c r="M202" s="356">
        <f t="shared" si="399"/>
        <v>0</v>
      </c>
      <c r="N202" s="356">
        <f t="shared" si="399"/>
        <v>0</v>
      </c>
      <c r="O202" s="164">
        <f t="shared" si="399"/>
        <v>0</v>
      </c>
      <c r="P202" s="356">
        <f t="shared" si="399"/>
        <v>0</v>
      </c>
      <c r="Q202" s="356">
        <f t="shared" si="399"/>
        <v>0</v>
      </c>
      <c r="R202" s="356">
        <f t="shared" si="399"/>
        <v>0</v>
      </c>
      <c r="S202" s="356">
        <f t="shared" si="399"/>
        <v>0</v>
      </c>
      <c r="T202" s="164">
        <f t="shared" si="399"/>
        <v>0</v>
      </c>
      <c r="U202" s="356">
        <f t="shared" si="399"/>
        <v>0</v>
      </c>
      <c r="V202" s="356">
        <f t="shared" si="399"/>
        <v>7.3268044976423649E-3</v>
      </c>
      <c r="W202" s="356">
        <f t="shared" si="399"/>
        <v>9.1194694126887164E-3</v>
      </c>
      <c r="X202" s="361">
        <f t="shared" si="399"/>
        <v>1.5211555155451245E-2</v>
      </c>
      <c r="Y202" s="164">
        <f t="shared" si="399"/>
        <v>8.782259565295443E-3</v>
      </c>
      <c r="Z202" s="361">
        <f t="shared" si="399"/>
        <v>1.2917671983246483E-2</v>
      </c>
      <c r="AA202" s="361">
        <f t="shared" si="399"/>
        <v>1.1501414669771639E-2</v>
      </c>
      <c r="AB202" s="361">
        <f t="shared" si="399"/>
        <v>1.3278568083012084E-2</v>
      </c>
      <c r="AC202" s="361">
        <f t="shared" si="399"/>
        <v>1.4045992780588814E-2</v>
      </c>
      <c r="AD202" s="164">
        <f t="shared" si="399"/>
        <v>1.2874425611603874E-2</v>
      </c>
      <c r="AE202" s="164">
        <f t="shared" si="399"/>
        <v>1.3230245486357053E-2</v>
      </c>
      <c r="AF202" s="164">
        <f t="shared" si="399"/>
        <v>1.344869393268563E-2</v>
      </c>
      <c r="AG202" s="164">
        <f t="shared" si="399"/>
        <v>1.3647439185815945E-2</v>
      </c>
      <c r="AH202" s="12"/>
      <c r="AI202" s="12"/>
      <c r="AJ202" s="12"/>
      <c r="AK202" s="12"/>
    </row>
    <row r="203" spans="1:37" ht="13.5" customHeight="1">
      <c r="A203" s="211"/>
      <c r="B203" s="12"/>
      <c r="C203" s="12"/>
      <c r="D203" s="12"/>
      <c r="E203" s="12"/>
      <c r="F203" s="261"/>
      <c r="G203" s="261"/>
      <c r="H203" s="261"/>
      <c r="I203" s="261"/>
      <c r="J203" s="12"/>
      <c r="K203" s="261"/>
      <c r="L203" s="261"/>
      <c r="M203" s="261"/>
      <c r="N203" s="261"/>
      <c r="O203" s="12"/>
      <c r="P203" s="261"/>
      <c r="Q203" s="261"/>
      <c r="R203" s="261"/>
      <c r="S203" s="261"/>
      <c r="T203" s="12"/>
      <c r="U203" s="261"/>
      <c r="V203" s="261"/>
      <c r="W203" s="261"/>
      <c r="X203" s="262"/>
      <c r="Y203" s="12"/>
      <c r="Z203" s="262"/>
      <c r="AA203" s="262"/>
      <c r="AB203" s="262"/>
      <c r="AC203" s="262"/>
      <c r="AD203" s="12"/>
      <c r="AE203" s="12"/>
      <c r="AF203" s="12"/>
      <c r="AG203" s="12"/>
      <c r="AH203" s="12"/>
      <c r="AI203" s="12"/>
      <c r="AJ203" s="12"/>
      <c r="AK203" s="12"/>
    </row>
    <row r="204" spans="1:37" ht="13.5" customHeight="1">
      <c r="A204" s="211" t="s">
        <v>1</v>
      </c>
      <c r="B204" s="40"/>
      <c r="C204" s="55" t="s">
        <v>381</v>
      </c>
      <c r="D204" s="15"/>
      <c r="E204" s="15"/>
      <c r="F204" s="259" t="str">
        <f>F$25</f>
        <v>1Q23</v>
      </c>
      <c r="G204" s="56" t="str">
        <f t="shared" ref="G204:AG204" si="400">G$63</f>
        <v>2Q23</v>
      </c>
      <c r="H204" s="56" t="str">
        <f t="shared" si="400"/>
        <v>3Q23</v>
      </c>
      <c r="I204" s="56" t="str">
        <f t="shared" si="400"/>
        <v>4Q23</v>
      </c>
      <c r="J204" s="56">
        <f t="shared" si="400"/>
        <v>2023</v>
      </c>
      <c r="K204" s="56" t="str">
        <f t="shared" si="400"/>
        <v>1Q24</v>
      </c>
      <c r="L204" s="56" t="str">
        <f t="shared" si="400"/>
        <v>2Q24</v>
      </c>
      <c r="M204" s="56" t="str">
        <f t="shared" si="400"/>
        <v>3Q24</v>
      </c>
      <c r="N204" s="56" t="str">
        <f t="shared" si="400"/>
        <v>4Q24</v>
      </c>
      <c r="O204" s="56">
        <f t="shared" si="400"/>
        <v>2024</v>
      </c>
      <c r="P204" s="56" t="str">
        <f t="shared" si="400"/>
        <v>1Q25</v>
      </c>
      <c r="Q204" s="56" t="str">
        <f t="shared" si="400"/>
        <v>2Q25</v>
      </c>
      <c r="R204" s="56" t="str">
        <f t="shared" si="400"/>
        <v>3Q25</v>
      </c>
      <c r="S204" s="56" t="str">
        <f t="shared" si="400"/>
        <v>4Q25</v>
      </c>
      <c r="T204" s="56">
        <f t="shared" si="400"/>
        <v>2025</v>
      </c>
      <c r="U204" s="56" t="str">
        <f t="shared" si="400"/>
        <v>1Q26</v>
      </c>
      <c r="V204" s="56" t="str">
        <f t="shared" si="400"/>
        <v>2Q26</v>
      </c>
      <c r="W204" s="56" t="str">
        <f t="shared" si="400"/>
        <v>3Q26e</v>
      </c>
      <c r="X204" s="56" t="str">
        <f t="shared" si="400"/>
        <v>4Q26e</v>
      </c>
      <c r="Y204" s="56" t="str">
        <f t="shared" si="400"/>
        <v>2026e</v>
      </c>
      <c r="Z204" s="56" t="str">
        <f t="shared" si="400"/>
        <v>1Q27e</v>
      </c>
      <c r="AA204" s="56" t="str">
        <f t="shared" si="400"/>
        <v>2Q27e</v>
      </c>
      <c r="AB204" s="56" t="str">
        <f t="shared" si="400"/>
        <v>3Q27e</v>
      </c>
      <c r="AC204" s="56" t="str">
        <f t="shared" si="400"/>
        <v>4Q27e</v>
      </c>
      <c r="AD204" s="56" t="str">
        <f t="shared" si="400"/>
        <v>2027e</v>
      </c>
      <c r="AE204" s="56" t="str">
        <f t="shared" si="400"/>
        <v>2028e</v>
      </c>
      <c r="AF204" s="56" t="str">
        <f t="shared" si="400"/>
        <v>2029e</v>
      </c>
      <c r="AG204" s="57" t="str">
        <f t="shared" si="400"/>
        <v>2030e</v>
      </c>
      <c r="AH204" s="211" t="s">
        <v>1</v>
      </c>
      <c r="AI204" s="12"/>
      <c r="AJ204" s="12"/>
      <c r="AK204" s="12"/>
    </row>
    <row r="205" spans="1:37" ht="13.5" customHeight="1">
      <c r="A205" s="211"/>
      <c r="B205" s="12"/>
      <c r="C205" s="12"/>
      <c r="D205" s="12"/>
      <c r="E205" s="12"/>
      <c r="F205" s="261"/>
      <c r="G205" s="261"/>
      <c r="H205" s="261"/>
      <c r="I205" s="261"/>
      <c r="J205" s="12"/>
      <c r="K205" s="261"/>
      <c r="L205" s="261"/>
      <c r="M205" s="261"/>
      <c r="N205" s="261"/>
      <c r="O205" s="12"/>
      <c r="P205" s="261"/>
      <c r="Q205" s="261"/>
      <c r="R205" s="261"/>
      <c r="S205" s="261"/>
      <c r="T205" s="12"/>
      <c r="U205" s="261"/>
      <c r="V205" s="261"/>
      <c r="W205" s="261"/>
      <c r="X205" s="262"/>
      <c r="Y205" s="12"/>
      <c r="Z205" s="262"/>
      <c r="AA205" s="262"/>
      <c r="AB205" s="262"/>
      <c r="AC205" s="262"/>
      <c r="AD205" s="12"/>
      <c r="AE205" s="12"/>
      <c r="AF205" s="12"/>
      <c r="AG205" s="12"/>
      <c r="AH205" s="12"/>
      <c r="AI205" s="12"/>
      <c r="AJ205" s="12"/>
      <c r="AK205" s="12"/>
    </row>
    <row r="206" spans="1:37" ht="13.5" customHeight="1">
      <c r="A206" s="211"/>
      <c r="B206" s="12"/>
      <c r="C206" s="12" t="s">
        <v>382</v>
      </c>
      <c r="D206" s="12"/>
      <c r="E206" s="12"/>
      <c r="F206" s="362">
        <f t="shared" ref="F206:I206" si="401">E210</f>
        <v>0</v>
      </c>
      <c r="G206" s="299">
        <f t="shared" si="401"/>
        <v>32349.184000000001</v>
      </c>
      <c r="H206" s="299">
        <f t="shared" si="401"/>
        <v>32520.774000000001</v>
      </c>
      <c r="I206" s="299">
        <f t="shared" si="401"/>
        <v>31749.861000000001</v>
      </c>
      <c r="J206" s="228">
        <f>F206</f>
        <v>0</v>
      </c>
      <c r="K206" s="299">
        <f t="shared" ref="K206:N206" si="402">J210</f>
        <v>31658.056</v>
      </c>
      <c r="L206" s="299">
        <f t="shared" si="402"/>
        <v>31662.1</v>
      </c>
      <c r="M206" s="299">
        <f t="shared" si="402"/>
        <v>31927.355</v>
      </c>
      <c r="N206" s="299">
        <f t="shared" si="402"/>
        <v>32175.382000000001</v>
      </c>
      <c r="O206" s="228">
        <f>K206</f>
        <v>31658.056</v>
      </c>
      <c r="P206" s="299">
        <f t="shared" ref="P206:S206" si="403">O210</f>
        <v>32452.462</v>
      </c>
      <c r="Q206" s="299">
        <f t="shared" si="403"/>
        <v>0</v>
      </c>
      <c r="R206" s="299">
        <f t="shared" si="403"/>
        <v>0</v>
      </c>
      <c r="S206" s="299">
        <f t="shared" si="403"/>
        <v>0</v>
      </c>
      <c r="T206" s="228">
        <f>P206</f>
        <v>32452.462</v>
      </c>
      <c r="U206" s="299">
        <f t="shared" ref="U206:X206" si="404">T210</f>
        <v>0</v>
      </c>
      <c r="V206" s="299">
        <f t="shared" si="404"/>
        <v>0</v>
      </c>
      <c r="W206" s="299">
        <f t="shared" si="404"/>
        <v>0</v>
      </c>
      <c r="X206" s="227">
        <f t="shared" si="404"/>
        <v>0</v>
      </c>
      <c r="Y206" s="228">
        <f>U206</f>
        <v>0</v>
      </c>
      <c r="Z206" s="227">
        <f t="shared" ref="Z206:AC206" si="405">Y210</f>
        <v>0</v>
      </c>
      <c r="AA206" s="227">
        <f t="shared" si="405"/>
        <v>0</v>
      </c>
      <c r="AB206" s="227">
        <f t="shared" si="405"/>
        <v>0</v>
      </c>
      <c r="AC206" s="227">
        <f t="shared" si="405"/>
        <v>0</v>
      </c>
      <c r="AD206" s="228">
        <f>Z206</f>
        <v>0</v>
      </c>
      <c r="AE206" s="228">
        <f t="shared" ref="AE206:AG206" si="406">AD210</f>
        <v>0</v>
      </c>
      <c r="AF206" s="228">
        <f t="shared" si="406"/>
        <v>0</v>
      </c>
      <c r="AG206" s="228">
        <f t="shared" si="406"/>
        <v>0</v>
      </c>
      <c r="AH206" s="228"/>
      <c r="AI206" s="12"/>
      <c r="AJ206" s="12"/>
      <c r="AK206" s="12"/>
    </row>
    <row r="207" spans="1:37" ht="13.5" customHeight="1">
      <c r="A207" s="211"/>
      <c r="B207" s="12"/>
      <c r="C207" s="108" t="s">
        <v>305</v>
      </c>
      <c r="D207" s="12"/>
      <c r="E207" s="12"/>
      <c r="F207" s="359">
        <v>0</v>
      </c>
      <c r="G207" s="359">
        <v>0</v>
      </c>
      <c r="H207" s="359">
        <v>0</v>
      </c>
      <c r="I207" s="359">
        <v>0</v>
      </c>
      <c r="J207" s="275">
        <f t="shared" ref="J207:J209" si="407">SUM(F207:I207)</f>
        <v>0</v>
      </c>
      <c r="K207" s="359">
        <v>0</v>
      </c>
      <c r="L207" s="359">
        <v>0</v>
      </c>
      <c r="M207" s="359">
        <v>0</v>
      </c>
      <c r="N207" s="359">
        <v>0</v>
      </c>
      <c r="O207" s="275">
        <f t="shared" ref="O207:O209" si="408">SUM(K207:N207)</f>
        <v>0</v>
      </c>
      <c r="P207" s="359">
        <v>0</v>
      </c>
      <c r="Q207" s="359">
        <v>0</v>
      </c>
      <c r="R207" s="359">
        <v>0</v>
      </c>
      <c r="S207" s="359">
        <v>0</v>
      </c>
      <c r="T207" s="275">
        <f t="shared" ref="T207:T209" si="409">SUM(P207:S207)</f>
        <v>0</v>
      </c>
      <c r="U207" s="359">
        <v>0</v>
      </c>
      <c r="V207" s="359">
        <v>0</v>
      </c>
      <c r="W207" s="359">
        <v>0</v>
      </c>
      <c r="X207" s="363">
        <f>W207</f>
        <v>0</v>
      </c>
      <c r="Y207" s="275">
        <f t="shared" ref="Y207:Y209" si="410">SUM(U207:X207)</f>
        <v>0</v>
      </c>
      <c r="Z207" s="363">
        <f t="shared" ref="Z207:AC207" si="411">Y207</f>
        <v>0</v>
      </c>
      <c r="AA207" s="363">
        <f t="shared" si="411"/>
        <v>0</v>
      </c>
      <c r="AB207" s="363">
        <f t="shared" si="411"/>
        <v>0</v>
      </c>
      <c r="AC207" s="363">
        <f t="shared" si="411"/>
        <v>0</v>
      </c>
      <c r="AD207" s="275">
        <f t="shared" ref="AD207:AD209" si="412">SUM(Z207:AC207)</f>
        <v>0</v>
      </c>
      <c r="AE207" s="364">
        <f t="shared" ref="AE207:AG207" si="413">AD207</f>
        <v>0</v>
      </c>
      <c r="AF207" s="364">
        <f t="shared" si="413"/>
        <v>0</v>
      </c>
      <c r="AG207" s="364">
        <f t="shared" si="413"/>
        <v>0</v>
      </c>
      <c r="AH207" s="12"/>
      <c r="AI207" s="12"/>
      <c r="AJ207" s="12"/>
      <c r="AK207" s="12"/>
    </row>
    <row r="208" spans="1:37" ht="13.5" customHeight="1">
      <c r="A208" s="211"/>
      <c r="B208" s="12"/>
      <c r="C208" s="108" t="s">
        <v>383</v>
      </c>
      <c r="D208" s="12"/>
      <c r="E208" s="12"/>
      <c r="F208" s="274">
        <f t="shared" ref="F208:I208" si="414">F34-F194</f>
        <v>-90.334999999999994</v>
      </c>
      <c r="G208" s="274">
        <f t="shared" si="414"/>
        <v>-89.385000000000005</v>
      </c>
      <c r="H208" s="274">
        <f t="shared" si="414"/>
        <v>-90.66</v>
      </c>
      <c r="I208" s="274">
        <f t="shared" si="414"/>
        <v>-86.519999999999982</v>
      </c>
      <c r="J208" s="275">
        <f t="shared" si="407"/>
        <v>-356.9</v>
      </c>
      <c r="K208" s="274">
        <f t="shared" ref="K208:N208" si="415">K34-K194</f>
        <v>-87.233999999999995</v>
      </c>
      <c r="L208" s="274">
        <f t="shared" si="415"/>
        <v>-81.227000000000004</v>
      </c>
      <c r="M208" s="274">
        <f t="shared" si="415"/>
        <v>-80.914000000000001</v>
      </c>
      <c r="N208" s="274">
        <f t="shared" si="415"/>
        <v>-79.539000000000001</v>
      </c>
      <c r="O208" s="275">
        <f t="shared" si="408"/>
        <v>-328.91399999999999</v>
      </c>
      <c r="P208" s="274">
        <f t="shared" ref="P208:S208" si="416">P34-P194</f>
        <v>-80.066999999999993</v>
      </c>
      <c r="Q208" s="274">
        <f t="shared" si="416"/>
        <v>-80.013000000000005</v>
      </c>
      <c r="R208" s="274">
        <f t="shared" si="416"/>
        <v>-87.325999999999993</v>
      </c>
      <c r="S208" s="274">
        <f t="shared" si="416"/>
        <v>-85.983000000000004</v>
      </c>
      <c r="T208" s="275">
        <f t="shared" si="409"/>
        <v>-333.38900000000001</v>
      </c>
      <c r="U208" s="274">
        <f t="shared" ref="U208:W208" si="417">U34-U194</f>
        <v>-98.575000000000003</v>
      </c>
      <c r="V208" s="274">
        <f t="shared" si="417"/>
        <v>-207</v>
      </c>
      <c r="W208" s="274">
        <f t="shared" si="417"/>
        <v>-216</v>
      </c>
      <c r="X208" s="276">
        <f>X214*X206/4</f>
        <v>0</v>
      </c>
      <c r="Y208" s="275">
        <f t="shared" si="410"/>
        <v>-521.57500000000005</v>
      </c>
      <c r="Z208" s="276">
        <f t="shared" ref="Z208:AC208" si="418">Z214*Z206/4</f>
        <v>0</v>
      </c>
      <c r="AA208" s="276">
        <f t="shared" si="418"/>
        <v>0</v>
      </c>
      <c r="AB208" s="276">
        <f t="shared" si="418"/>
        <v>0</v>
      </c>
      <c r="AC208" s="276">
        <f t="shared" si="418"/>
        <v>0</v>
      </c>
      <c r="AD208" s="275">
        <f t="shared" si="412"/>
        <v>0</v>
      </c>
      <c r="AE208" s="275">
        <f t="shared" ref="AE208:AG208" si="419">AE214*AE206</f>
        <v>0</v>
      </c>
      <c r="AF208" s="275">
        <f t="shared" si="419"/>
        <v>0</v>
      </c>
      <c r="AG208" s="275">
        <f t="shared" si="419"/>
        <v>0</v>
      </c>
      <c r="AH208" s="12"/>
      <c r="AI208" s="12"/>
      <c r="AJ208" s="12"/>
      <c r="AK208" s="12"/>
    </row>
    <row r="209" spans="1:37" ht="13.5" customHeight="1">
      <c r="A209" s="211"/>
      <c r="B209" s="12"/>
      <c r="C209" s="108" t="s">
        <v>384</v>
      </c>
      <c r="D209" s="12"/>
      <c r="E209" s="12"/>
      <c r="F209" s="365">
        <v>0</v>
      </c>
      <c r="G209" s="365">
        <v>0</v>
      </c>
      <c r="H209" s="365">
        <v>0</v>
      </c>
      <c r="I209" s="365">
        <v>0</v>
      </c>
      <c r="J209" s="360">
        <f t="shared" si="407"/>
        <v>0</v>
      </c>
      <c r="K209" s="365">
        <v>0</v>
      </c>
      <c r="L209" s="365">
        <v>0</v>
      </c>
      <c r="M209" s="365">
        <v>0</v>
      </c>
      <c r="N209" s="365">
        <v>0</v>
      </c>
      <c r="O209" s="360">
        <f t="shared" si="408"/>
        <v>0</v>
      </c>
      <c r="P209" s="365">
        <v>0</v>
      </c>
      <c r="Q209" s="365">
        <v>0</v>
      </c>
      <c r="R209" s="365">
        <v>0</v>
      </c>
      <c r="S209" s="365">
        <v>0</v>
      </c>
      <c r="T209" s="360">
        <f t="shared" si="409"/>
        <v>0</v>
      </c>
      <c r="U209" s="365">
        <v>0</v>
      </c>
      <c r="V209" s="365">
        <v>0</v>
      </c>
      <c r="W209" s="365">
        <v>0</v>
      </c>
      <c r="X209" s="366">
        <f>W209</f>
        <v>0</v>
      </c>
      <c r="Y209" s="360">
        <f t="shared" si="410"/>
        <v>0</v>
      </c>
      <c r="Z209" s="366">
        <f t="shared" ref="Z209:AC209" si="420">Y209</f>
        <v>0</v>
      </c>
      <c r="AA209" s="366">
        <f t="shared" si="420"/>
        <v>0</v>
      </c>
      <c r="AB209" s="366">
        <f t="shared" si="420"/>
        <v>0</v>
      </c>
      <c r="AC209" s="366">
        <f t="shared" si="420"/>
        <v>0</v>
      </c>
      <c r="AD209" s="360">
        <f t="shared" si="412"/>
        <v>0</v>
      </c>
      <c r="AE209" s="367">
        <f t="shared" ref="AE209:AG209" si="421">AD209</f>
        <v>0</v>
      </c>
      <c r="AF209" s="367">
        <f t="shared" si="421"/>
        <v>0</v>
      </c>
      <c r="AG209" s="367">
        <f t="shared" si="421"/>
        <v>0</v>
      </c>
      <c r="AH209" s="12"/>
      <c r="AI209" s="12"/>
      <c r="AJ209" s="12"/>
      <c r="AK209" s="12"/>
    </row>
    <row r="210" spans="1:37" ht="13.5" customHeight="1">
      <c r="A210" s="211"/>
      <c r="B210" s="12"/>
      <c r="C210" s="12" t="s">
        <v>385</v>
      </c>
      <c r="D210" s="12"/>
      <c r="E210" s="12"/>
      <c r="F210" s="299">
        <f t="shared" ref="F210:W210" si="422">F127</f>
        <v>32349.184000000001</v>
      </c>
      <c r="G210" s="299">
        <f t="shared" si="422"/>
        <v>32520.774000000001</v>
      </c>
      <c r="H210" s="299">
        <f t="shared" si="422"/>
        <v>31749.861000000001</v>
      </c>
      <c r="I210" s="299">
        <f t="shared" si="422"/>
        <v>31658.056</v>
      </c>
      <c r="J210" s="228">
        <f t="shared" si="422"/>
        <v>31658.056</v>
      </c>
      <c r="K210" s="299">
        <f t="shared" si="422"/>
        <v>31662.1</v>
      </c>
      <c r="L210" s="299">
        <f t="shared" si="422"/>
        <v>31927.355</v>
      </c>
      <c r="M210" s="299">
        <f t="shared" si="422"/>
        <v>32175.382000000001</v>
      </c>
      <c r="N210" s="299">
        <f t="shared" si="422"/>
        <v>32452.462</v>
      </c>
      <c r="O210" s="228">
        <f t="shared" si="422"/>
        <v>32452.462</v>
      </c>
      <c r="P210" s="299">
        <f t="shared" si="422"/>
        <v>0</v>
      </c>
      <c r="Q210" s="299">
        <f t="shared" si="422"/>
        <v>0</v>
      </c>
      <c r="R210" s="299">
        <f t="shared" si="422"/>
        <v>0</v>
      </c>
      <c r="S210" s="299">
        <f t="shared" si="422"/>
        <v>0</v>
      </c>
      <c r="T210" s="228">
        <f t="shared" si="422"/>
        <v>0</v>
      </c>
      <c r="U210" s="299">
        <f t="shared" si="422"/>
        <v>0</v>
      </c>
      <c r="V210" s="299">
        <f t="shared" si="422"/>
        <v>0</v>
      </c>
      <c r="W210" s="299">
        <f t="shared" si="422"/>
        <v>0</v>
      </c>
      <c r="X210" s="227">
        <f>SUM(X206:X209)</f>
        <v>0</v>
      </c>
      <c r="Y210" s="228">
        <f>X210</f>
        <v>0</v>
      </c>
      <c r="Z210" s="227">
        <f t="shared" ref="Z210:AC210" si="423">SUM(Z206:Z209)</f>
        <v>0</v>
      </c>
      <c r="AA210" s="227">
        <f t="shared" si="423"/>
        <v>0</v>
      </c>
      <c r="AB210" s="227">
        <f t="shared" si="423"/>
        <v>0</v>
      </c>
      <c r="AC210" s="227">
        <f t="shared" si="423"/>
        <v>0</v>
      </c>
      <c r="AD210" s="228">
        <f>AC210</f>
        <v>0</v>
      </c>
      <c r="AE210" s="228">
        <f t="shared" ref="AE210:AG210" si="424">SUM(AE206:AE209)</f>
        <v>0</v>
      </c>
      <c r="AF210" s="228">
        <f t="shared" si="424"/>
        <v>0</v>
      </c>
      <c r="AG210" s="228">
        <f t="shared" si="424"/>
        <v>0</v>
      </c>
      <c r="AH210" s="12"/>
      <c r="AI210" s="12"/>
      <c r="AJ210" s="12"/>
      <c r="AK210" s="12"/>
    </row>
    <row r="211" spans="1:37" ht="13.5" customHeight="1">
      <c r="A211" s="211"/>
      <c r="B211" s="12"/>
      <c r="C211" s="12"/>
      <c r="D211" s="12"/>
      <c r="E211" s="12"/>
      <c r="F211" s="299"/>
      <c r="G211" s="299"/>
      <c r="H211" s="299"/>
      <c r="I211" s="299"/>
      <c r="J211" s="228"/>
      <c r="K211" s="299"/>
      <c r="L211" s="299"/>
      <c r="M211" s="299"/>
      <c r="N211" s="299"/>
      <c r="O211" s="228"/>
      <c r="P211" s="299"/>
      <c r="Q211" s="299"/>
      <c r="R211" s="299"/>
      <c r="S211" s="299"/>
      <c r="T211" s="228"/>
      <c r="U211" s="299"/>
      <c r="V211" s="299"/>
      <c r="W211" s="299"/>
      <c r="X211" s="227"/>
      <c r="Y211" s="228"/>
      <c r="Z211" s="227"/>
      <c r="AA211" s="227"/>
      <c r="AB211" s="227"/>
      <c r="AC211" s="227"/>
      <c r="AD211" s="228"/>
      <c r="AE211" s="228"/>
      <c r="AF211" s="228"/>
      <c r="AG211" s="228"/>
      <c r="AH211" s="12"/>
      <c r="AI211" s="12"/>
      <c r="AJ211" s="12"/>
      <c r="AK211" s="12"/>
    </row>
    <row r="212" spans="1:37" ht="13.5" customHeight="1">
      <c r="A212" s="211" t="s">
        <v>1</v>
      </c>
      <c r="B212" s="12"/>
      <c r="C212" s="36" t="s">
        <v>46</v>
      </c>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42"/>
      <c r="AH212" s="211" t="s">
        <v>1</v>
      </c>
      <c r="AI212" s="12"/>
      <c r="AJ212" s="12"/>
      <c r="AK212" s="12"/>
    </row>
    <row r="213" spans="1:37" ht="13.5" customHeight="1">
      <c r="A213" s="211"/>
      <c r="B213" s="12"/>
      <c r="C213" s="12"/>
      <c r="D213" s="12"/>
      <c r="E213" s="12"/>
      <c r="F213" s="261"/>
      <c r="G213" s="261"/>
      <c r="H213" s="261"/>
      <c r="I213" s="261"/>
      <c r="J213" s="12"/>
      <c r="K213" s="261"/>
      <c r="L213" s="261"/>
      <c r="M213" s="261"/>
      <c r="N213" s="261"/>
      <c r="O213" s="12"/>
      <c r="P213" s="261"/>
      <c r="Q213" s="261"/>
      <c r="R213" s="261"/>
      <c r="S213" s="261"/>
      <c r="T213" s="12"/>
      <c r="U213" s="261"/>
      <c r="V213" s="261"/>
      <c r="W213" s="261"/>
      <c r="X213" s="262"/>
      <c r="Y213" s="12"/>
      <c r="Z213" s="262"/>
      <c r="AA213" s="262"/>
      <c r="AB213" s="262"/>
      <c r="AC213" s="262"/>
      <c r="AD213" s="12"/>
      <c r="AE213" s="12"/>
      <c r="AF213" s="12"/>
      <c r="AG213" s="12"/>
      <c r="AH213" s="12"/>
      <c r="AI213" s="12"/>
      <c r="AJ213" s="12"/>
      <c r="AK213" s="12"/>
    </row>
    <row r="214" spans="1:37" ht="13.5" customHeight="1">
      <c r="A214" s="211"/>
      <c r="B214" s="12"/>
      <c r="C214" s="12" t="s">
        <v>386</v>
      </c>
      <c r="D214" s="12"/>
      <c r="E214" s="12"/>
      <c r="F214" s="356"/>
      <c r="G214" s="343">
        <f t="shared" ref="G214:I214" si="425">4*-G208/AVERAGE(F210:G210)</f>
        <v>1.1023284460890202E-2</v>
      </c>
      <c r="H214" s="343">
        <f t="shared" si="425"/>
        <v>1.1284780366648003E-2</v>
      </c>
      <c r="I214" s="343">
        <f t="shared" si="425"/>
        <v>1.0915987036760723E-2</v>
      </c>
      <c r="J214" s="344">
        <f>J208/AVERAGE(F206,I210)</f>
        <v>-2.2547183566798919E-2</v>
      </c>
      <c r="K214" s="343">
        <f t="shared" ref="K214:N214" si="426">4*-K208/AVERAGE(J210:K210)</f>
        <v>1.1021324710570832E-2</v>
      </c>
      <c r="L214" s="343">
        <f t="shared" si="426"/>
        <v>1.0218927021783722E-2</v>
      </c>
      <c r="M214" s="343">
        <f t="shared" si="426"/>
        <v>1.009803996356661E-2</v>
      </c>
      <c r="N214" s="343">
        <f t="shared" si="426"/>
        <v>9.8457872120877189E-3</v>
      </c>
      <c r="O214" s="344">
        <f>O208/AVERAGE(K206,N210)</f>
        <v>-1.0260843626314173E-2</v>
      </c>
      <c r="P214" s="343">
        <f t="shared" ref="P214:S214" si="427">4*-P208/AVERAGE(O210:P210)</f>
        <v>1.9737670442384309E-2</v>
      </c>
      <c r="Q214" s="343" t="e">
        <f t="shared" si="427"/>
        <v>#DIV/0!</v>
      </c>
      <c r="R214" s="343" t="e">
        <f t="shared" si="427"/>
        <v>#DIV/0!</v>
      </c>
      <c r="S214" s="343" t="e">
        <f t="shared" si="427"/>
        <v>#DIV/0!</v>
      </c>
      <c r="T214" s="344">
        <f>T208/AVERAGE(P206,S210)</f>
        <v>-2.0546299384003593E-2</v>
      </c>
      <c r="U214" s="343" t="e">
        <f t="shared" ref="U214:W214" si="428">4*-U208/AVERAGE(T210:U210)</f>
        <v>#DIV/0!</v>
      </c>
      <c r="V214" s="343" t="e">
        <f t="shared" si="428"/>
        <v>#DIV/0!</v>
      </c>
      <c r="W214" s="343" t="e">
        <f t="shared" si="428"/>
        <v>#DIV/0!</v>
      </c>
      <c r="X214" s="368">
        <f>Drivers!X85</f>
        <v>0</v>
      </c>
      <c r="Y214" s="344" t="e">
        <f>Y208/AVERAGE(U206,X210)</f>
        <v>#DIV/0!</v>
      </c>
      <c r="Z214" s="368">
        <f>Drivers!Z85</f>
        <v>0</v>
      </c>
      <c r="AA214" s="368">
        <f>Drivers!AA85</f>
        <v>0</v>
      </c>
      <c r="AB214" s="368">
        <f>Drivers!AB85</f>
        <v>0</v>
      </c>
      <c r="AC214" s="368">
        <f>Drivers!AC85</f>
        <v>0</v>
      </c>
      <c r="AD214" s="344" t="e">
        <f>AD208/AVERAGE(Z206,AC210)</f>
        <v>#DIV/0!</v>
      </c>
      <c r="AE214" s="369">
        <f>Drivers!AE85</f>
        <v>0</v>
      </c>
      <c r="AF214" s="369">
        <f>Drivers!AF85</f>
        <v>0</v>
      </c>
      <c r="AG214" s="369">
        <f>Drivers!AG85</f>
        <v>0</v>
      </c>
      <c r="AH214" s="12"/>
      <c r="AI214" s="12"/>
      <c r="AJ214" s="12"/>
      <c r="AK214" s="12"/>
    </row>
    <row r="215" spans="1:37" ht="13.5" customHeight="1">
      <c r="A215" s="211"/>
      <c r="B215" s="12"/>
      <c r="C215" s="12"/>
      <c r="D215" s="12"/>
      <c r="E215" s="12"/>
      <c r="F215" s="261"/>
      <c r="G215" s="261"/>
      <c r="H215" s="261"/>
      <c r="I215" s="261"/>
      <c r="J215" s="12"/>
      <c r="K215" s="261"/>
      <c r="L215" s="261"/>
      <c r="M215" s="261"/>
      <c r="N215" s="261"/>
      <c r="O215" s="12"/>
      <c r="P215" s="261"/>
      <c r="Q215" s="261"/>
      <c r="R215" s="261"/>
      <c r="S215" s="261"/>
      <c r="T215" s="12"/>
      <c r="U215" s="261"/>
      <c r="V215" s="261"/>
      <c r="W215" s="261"/>
      <c r="X215" s="262"/>
      <c r="Y215" s="12"/>
      <c r="Z215" s="262"/>
      <c r="AA215" s="262"/>
      <c r="AB215" s="262"/>
      <c r="AC215" s="262"/>
      <c r="AD215" s="12"/>
      <c r="AE215" s="12"/>
      <c r="AF215" s="12"/>
      <c r="AG215" s="12"/>
      <c r="AH215" s="12"/>
      <c r="AI215" s="12"/>
      <c r="AJ215" s="12"/>
      <c r="AK215" s="12"/>
    </row>
    <row r="216" spans="1:37" ht="13.5" customHeight="1">
      <c r="A216" s="211" t="s">
        <v>1</v>
      </c>
      <c r="B216" s="40"/>
      <c r="C216" s="55" t="s">
        <v>387</v>
      </c>
      <c r="D216" s="15"/>
      <c r="E216" s="15"/>
      <c r="F216" s="259" t="str">
        <f>F$25</f>
        <v>1Q23</v>
      </c>
      <c r="G216" s="56" t="str">
        <f t="shared" ref="G216:AG216" si="429">G$63</f>
        <v>2Q23</v>
      </c>
      <c r="H216" s="56" t="str">
        <f t="shared" si="429"/>
        <v>3Q23</v>
      </c>
      <c r="I216" s="56" t="str">
        <f t="shared" si="429"/>
        <v>4Q23</v>
      </c>
      <c r="J216" s="56">
        <f t="shared" si="429"/>
        <v>2023</v>
      </c>
      <c r="K216" s="56" t="str">
        <f t="shared" si="429"/>
        <v>1Q24</v>
      </c>
      <c r="L216" s="56" t="str">
        <f t="shared" si="429"/>
        <v>2Q24</v>
      </c>
      <c r="M216" s="56" t="str">
        <f t="shared" si="429"/>
        <v>3Q24</v>
      </c>
      <c r="N216" s="56" t="str">
        <f t="shared" si="429"/>
        <v>4Q24</v>
      </c>
      <c r="O216" s="56">
        <f t="shared" si="429"/>
        <v>2024</v>
      </c>
      <c r="P216" s="56" t="str">
        <f t="shared" si="429"/>
        <v>1Q25</v>
      </c>
      <c r="Q216" s="56" t="str">
        <f t="shared" si="429"/>
        <v>2Q25</v>
      </c>
      <c r="R216" s="56" t="str">
        <f t="shared" si="429"/>
        <v>3Q25</v>
      </c>
      <c r="S216" s="56" t="str">
        <f t="shared" si="429"/>
        <v>4Q25</v>
      </c>
      <c r="T216" s="56">
        <f t="shared" si="429"/>
        <v>2025</v>
      </c>
      <c r="U216" s="56" t="str">
        <f t="shared" si="429"/>
        <v>1Q26</v>
      </c>
      <c r="V216" s="56" t="str">
        <f t="shared" si="429"/>
        <v>2Q26</v>
      </c>
      <c r="W216" s="56" t="str">
        <f t="shared" si="429"/>
        <v>3Q26e</v>
      </c>
      <c r="X216" s="56" t="str">
        <f t="shared" si="429"/>
        <v>4Q26e</v>
      </c>
      <c r="Y216" s="56" t="str">
        <f t="shared" si="429"/>
        <v>2026e</v>
      </c>
      <c r="Z216" s="56" t="str">
        <f t="shared" si="429"/>
        <v>1Q27e</v>
      </c>
      <c r="AA216" s="56" t="str">
        <f t="shared" si="429"/>
        <v>2Q27e</v>
      </c>
      <c r="AB216" s="56" t="str">
        <f t="shared" si="429"/>
        <v>3Q27e</v>
      </c>
      <c r="AC216" s="56" t="str">
        <f t="shared" si="429"/>
        <v>4Q27e</v>
      </c>
      <c r="AD216" s="56" t="str">
        <f t="shared" si="429"/>
        <v>2027e</v>
      </c>
      <c r="AE216" s="56" t="str">
        <f t="shared" si="429"/>
        <v>2028e</v>
      </c>
      <c r="AF216" s="56" t="str">
        <f t="shared" si="429"/>
        <v>2029e</v>
      </c>
      <c r="AG216" s="57" t="str">
        <f t="shared" si="429"/>
        <v>2030e</v>
      </c>
      <c r="AH216" s="211" t="s">
        <v>1</v>
      </c>
      <c r="AI216" s="12"/>
      <c r="AJ216" s="12"/>
      <c r="AK216" s="12"/>
    </row>
    <row r="217" spans="1:37" ht="13.5" customHeight="1">
      <c r="A217" s="211"/>
      <c r="B217" s="12"/>
      <c r="C217" s="12"/>
      <c r="D217" s="12"/>
      <c r="E217" s="12"/>
      <c r="F217" s="261"/>
      <c r="G217" s="261"/>
      <c r="H217" s="261"/>
      <c r="I217" s="261"/>
      <c r="J217" s="12"/>
      <c r="K217" s="261"/>
      <c r="L217" s="261"/>
      <c r="M217" s="261"/>
      <c r="N217" s="261"/>
      <c r="O217" s="12"/>
      <c r="P217" s="261"/>
      <c r="Q217" s="261"/>
      <c r="R217" s="261"/>
      <c r="S217" s="261"/>
      <c r="T217" s="12"/>
      <c r="U217" s="261"/>
      <c r="V217" s="261"/>
      <c r="W217" s="261"/>
      <c r="X217" s="262"/>
      <c r="Y217" s="12"/>
      <c r="Z217" s="262"/>
      <c r="AA217" s="262"/>
      <c r="AB217" s="262"/>
      <c r="AC217" s="262"/>
      <c r="AD217" s="12"/>
      <c r="AE217" s="12"/>
      <c r="AF217" s="12"/>
      <c r="AG217" s="12"/>
      <c r="AH217" s="12"/>
      <c r="AI217" s="12"/>
      <c r="AJ217" s="12"/>
      <c r="AK217" s="12"/>
    </row>
    <row r="218" spans="1:37" ht="13.5" customHeight="1">
      <c r="A218" s="211"/>
      <c r="B218" s="12"/>
      <c r="C218" s="108" t="s">
        <v>337</v>
      </c>
      <c r="D218" s="12"/>
      <c r="E218" s="12"/>
      <c r="F218" s="299">
        <f t="shared" ref="F218:W218" si="430">F128</f>
        <v>1288</v>
      </c>
      <c r="G218" s="299">
        <f t="shared" si="430"/>
        <v>1271</v>
      </c>
      <c r="H218" s="299">
        <f t="shared" si="430"/>
        <v>1272</v>
      </c>
      <c r="I218" s="299">
        <f t="shared" si="430"/>
        <v>303</v>
      </c>
      <c r="J218" s="228">
        <f t="shared" si="430"/>
        <v>303</v>
      </c>
      <c r="K218" s="299">
        <f t="shared" si="430"/>
        <v>303</v>
      </c>
      <c r="L218" s="299">
        <f t="shared" si="430"/>
        <v>303</v>
      </c>
      <c r="M218" s="299">
        <f t="shared" si="430"/>
        <v>303</v>
      </c>
      <c r="N218" s="299">
        <f t="shared" si="430"/>
        <v>303</v>
      </c>
      <c r="O218" s="228">
        <f t="shared" si="430"/>
        <v>303</v>
      </c>
      <c r="P218" s="299">
        <f t="shared" si="430"/>
        <v>0</v>
      </c>
      <c r="Q218" s="299">
        <f t="shared" si="430"/>
        <v>0</v>
      </c>
      <c r="R218" s="299">
        <f t="shared" si="430"/>
        <v>0</v>
      </c>
      <c r="S218" s="299">
        <f t="shared" si="430"/>
        <v>311</v>
      </c>
      <c r="T218" s="228">
        <f t="shared" si="430"/>
        <v>311</v>
      </c>
      <c r="U218" s="299">
        <f t="shared" si="430"/>
        <v>0</v>
      </c>
      <c r="V218" s="299">
        <f t="shared" si="430"/>
        <v>0</v>
      </c>
      <c r="W218" s="299">
        <f t="shared" si="430"/>
        <v>0</v>
      </c>
      <c r="X218" s="227">
        <f>Drivers!X62+W218</f>
        <v>0</v>
      </c>
      <c r="Y218" s="228">
        <f t="shared" ref="Y218:Y219" si="431">X218</f>
        <v>0</v>
      </c>
      <c r="Z218" s="227">
        <f>Drivers!Z62+Y218</f>
        <v>0</v>
      </c>
      <c r="AA218" s="227">
        <f>Drivers!AA62+Z218</f>
        <v>0</v>
      </c>
      <c r="AB218" s="227">
        <f>Drivers!AB62+AA218</f>
        <v>0</v>
      </c>
      <c r="AC218" s="227">
        <f>Drivers!AC62+AB218</f>
        <v>0</v>
      </c>
      <c r="AD218" s="228">
        <f t="shared" ref="AD218:AD219" si="432">AC218</f>
        <v>0</v>
      </c>
      <c r="AE218" s="228">
        <f>Drivers!AE62+AD218</f>
        <v>0</v>
      </c>
      <c r="AF218" s="228">
        <f>Drivers!AF62+AE218</f>
        <v>0</v>
      </c>
      <c r="AG218" s="228">
        <f>Drivers!AG62+AF218</f>
        <v>0</v>
      </c>
      <c r="AH218" s="12"/>
      <c r="AI218" s="12"/>
      <c r="AJ218" s="12"/>
      <c r="AK218" s="12"/>
    </row>
    <row r="219" spans="1:37" ht="13.5" customHeight="1">
      <c r="A219" s="211"/>
      <c r="B219" s="12"/>
      <c r="C219" s="108" t="s">
        <v>338</v>
      </c>
      <c r="D219" s="12"/>
      <c r="E219" s="12"/>
      <c r="F219" s="318">
        <f t="shared" ref="F219:W219" si="433">F129</f>
        <v>1416</v>
      </c>
      <c r="G219" s="318">
        <f t="shared" si="433"/>
        <v>1179</v>
      </c>
      <c r="H219" s="318">
        <f t="shared" si="433"/>
        <v>1380</v>
      </c>
      <c r="I219" s="318">
        <f t="shared" si="433"/>
        <v>1545</v>
      </c>
      <c r="J219" s="301">
        <f t="shared" si="433"/>
        <v>1545</v>
      </c>
      <c r="K219" s="318">
        <f t="shared" si="433"/>
        <v>5431</v>
      </c>
      <c r="L219" s="318">
        <f t="shared" si="433"/>
        <v>5393</v>
      </c>
      <c r="M219" s="318">
        <f t="shared" si="433"/>
        <v>5428</v>
      </c>
      <c r="N219" s="318">
        <f t="shared" si="433"/>
        <v>5181</v>
      </c>
      <c r="O219" s="301">
        <f t="shared" si="433"/>
        <v>5181</v>
      </c>
      <c r="P219" s="318">
        <f t="shared" si="433"/>
        <v>27512.965</v>
      </c>
      <c r="Q219" s="318">
        <f t="shared" si="433"/>
        <v>29627.881999999983</v>
      </c>
      <c r="R219" s="318">
        <f t="shared" si="433"/>
        <v>29125.295000000006</v>
      </c>
      <c r="S219" s="318">
        <f t="shared" si="433"/>
        <v>28037.932000000004</v>
      </c>
      <c r="T219" s="301">
        <f t="shared" si="433"/>
        <v>28037.932000000004</v>
      </c>
      <c r="U219" s="318">
        <f t="shared" si="433"/>
        <v>39455.027000000009</v>
      </c>
      <c r="V219" s="318">
        <f t="shared" si="433"/>
        <v>5290</v>
      </c>
      <c r="W219" s="318">
        <f t="shared" si="433"/>
        <v>5626</v>
      </c>
      <c r="X219" s="302">
        <f>W219*(1+X232)</f>
        <v>5738.52</v>
      </c>
      <c r="Y219" s="301">
        <f t="shared" si="431"/>
        <v>5738.52</v>
      </c>
      <c r="Z219" s="302">
        <f t="shared" ref="Z219:AC219" si="434">Y219*(1+Z232)</f>
        <v>5853.2904000000008</v>
      </c>
      <c r="AA219" s="302">
        <f t="shared" si="434"/>
        <v>5970.3562080000011</v>
      </c>
      <c r="AB219" s="302">
        <f t="shared" si="434"/>
        <v>6089.7633321600015</v>
      </c>
      <c r="AC219" s="302">
        <f t="shared" si="434"/>
        <v>6211.5585988032017</v>
      </c>
      <c r="AD219" s="301">
        <f t="shared" si="432"/>
        <v>6211.5585988032017</v>
      </c>
      <c r="AE219" s="301">
        <f t="shared" ref="AE219:AG219" si="435">AD219*(1+AE232)</f>
        <v>6335.7897707792654</v>
      </c>
      <c r="AF219" s="301">
        <f t="shared" si="435"/>
        <v>6462.5055661948509</v>
      </c>
      <c r="AG219" s="301">
        <f t="shared" si="435"/>
        <v>6591.7556775187477</v>
      </c>
      <c r="AH219" s="12"/>
      <c r="AI219" s="12"/>
      <c r="AJ219" s="12"/>
      <c r="AK219" s="12"/>
    </row>
    <row r="220" spans="1:37" ht="13.5" customHeight="1">
      <c r="A220" s="211"/>
      <c r="B220" s="12"/>
      <c r="C220" s="12" t="s">
        <v>388</v>
      </c>
      <c r="D220" s="12"/>
      <c r="E220" s="12"/>
      <c r="F220" s="299">
        <f t="shared" ref="F220:AG220" si="436">SUM(F218:F219)</f>
        <v>2704</v>
      </c>
      <c r="G220" s="299">
        <f t="shared" si="436"/>
        <v>2450</v>
      </c>
      <c r="H220" s="299">
        <f t="shared" si="436"/>
        <v>2652</v>
      </c>
      <c r="I220" s="299">
        <f t="shared" si="436"/>
        <v>1848</v>
      </c>
      <c r="J220" s="228">
        <f t="shared" si="436"/>
        <v>1848</v>
      </c>
      <c r="K220" s="299">
        <f t="shared" si="436"/>
        <v>5734</v>
      </c>
      <c r="L220" s="299">
        <f t="shared" si="436"/>
        <v>5696</v>
      </c>
      <c r="M220" s="299">
        <f t="shared" si="436"/>
        <v>5731</v>
      </c>
      <c r="N220" s="299">
        <f t="shared" si="436"/>
        <v>5484</v>
      </c>
      <c r="O220" s="228">
        <f t="shared" si="436"/>
        <v>5484</v>
      </c>
      <c r="P220" s="299">
        <f t="shared" si="436"/>
        <v>27512.965</v>
      </c>
      <c r="Q220" s="299">
        <f t="shared" si="436"/>
        <v>29627.881999999983</v>
      </c>
      <c r="R220" s="299">
        <f t="shared" si="436"/>
        <v>29125.295000000006</v>
      </c>
      <c r="S220" s="299">
        <f t="shared" si="436"/>
        <v>28348.932000000004</v>
      </c>
      <c r="T220" s="228">
        <f t="shared" si="436"/>
        <v>28348.932000000004</v>
      </c>
      <c r="U220" s="299">
        <f t="shared" si="436"/>
        <v>39455.027000000009</v>
      </c>
      <c r="V220" s="299">
        <f t="shared" si="436"/>
        <v>5290</v>
      </c>
      <c r="W220" s="299">
        <f t="shared" si="436"/>
        <v>5626</v>
      </c>
      <c r="X220" s="227">
        <f t="shared" si="436"/>
        <v>5738.52</v>
      </c>
      <c r="Y220" s="228">
        <f t="shared" si="436"/>
        <v>5738.52</v>
      </c>
      <c r="Z220" s="227">
        <f t="shared" si="436"/>
        <v>5853.2904000000008</v>
      </c>
      <c r="AA220" s="227">
        <f t="shared" si="436"/>
        <v>5970.3562080000011</v>
      </c>
      <c r="AB220" s="227">
        <f t="shared" si="436"/>
        <v>6089.7633321600015</v>
      </c>
      <c r="AC220" s="227">
        <f t="shared" si="436"/>
        <v>6211.5585988032017</v>
      </c>
      <c r="AD220" s="228">
        <f t="shared" si="436"/>
        <v>6211.5585988032017</v>
      </c>
      <c r="AE220" s="228">
        <f t="shared" si="436"/>
        <v>6335.7897707792654</v>
      </c>
      <c r="AF220" s="228">
        <f t="shared" si="436"/>
        <v>6462.5055661948509</v>
      </c>
      <c r="AG220" s="228">
        <f t="shared" si="436"/>
        <v>6591.7556775187477</v>
      </c>
      <c r="AH220" s="12"/>
      <c r="AI220" s="12"/>
      <c r="AJ220" s="12"/>
      <c r="AK220" s="12"/>
    </row>
    <row r="221" spans="1:37" ht="13.5" customHeight="1">
      <c r="A221" s="248"/>
      <c r="B221" s="249"/>
      <c r="C221" s="89" t="s">
        <v>389</v>
      </c>
      <c r="D221" s="249"/>
      <c r="E221" s="249"/>
      <c r="F221" s="370"/>
      <c r="G221" s="371">
        <f t="shared" ref="G221:I221" si="437">G220-F220</f>
        <v>-254</v>
      </c>
      <c r="H221" s="371">
        <f t="shared" si="437"/>
        <v>202</v>
      </c>
      <c r="I221" s="371">
        <f t="shared" si="437"/>
        <v>-804</v>
      </c>
      <c r="J221" s="372"/>
      <c r="K221" s="371">
        <f t="shared" ref="K221:N221" si="438">K220-J220</f>
        <v>3886</v>
      </c>
      <c r="L221" s="371">
        <f t="shared" si="438"/>
        <v>-38</v>
      </c>
      <c r="M221" s="371">
        <f t="shared" si="438"/>
        <v>35</v>
      </c>
      <c r="N221" s="371">
        <f t="shared" si="438"/>
        <v>-247</v>
      </c>
      <c r="O221" s="372">
        <f>O220-J220</f>
        <v>3636</v>
      </c>
      <c r="P221" s="371">
        <f t="shared" ref="P221:S221" si="439">P220-O220</f>
        <v>22028.965</v>
      </c>
      <c r="Q221" s="371">
        <f t="shared" si="439"/>
        <v>2114.9169999999831</v>
      </c>
      <c r="R221" s="371">
        <f t="shared" si="439"/>
        <v>-502.58699999997771</v>
      </c>
      <c r="S221" s="371">
        <f t="shared" si="439"/>
        <v>-776.36300000000119</v>
      </c>
      <c r="T221" s="372">
        <f>T220-O220</f>
        <v>22864.932000000004</v>
      </c>
      <c r="U221" s="371">
        <f t="shared" ref="U221:X221" si="440">U220-T220</f>
        <v>11106.095000000005</v>
      </c>
      <c r="V221" s="371">
        <f t="shared" si="440"/>
        <v>-34165.027000000009</v>
      </c>
      <c r="W221" s="371">
        <f t="shared" si="440"/>
        <v>336</v>
      </c>
      <c r="X221" s="373">
        <f t="shared" si="440"/>
        <v>112.52000000000044</v>
      </c>
      <c r="Y221" s="372">
        <f>Y220-T220</f>
        <v>-22610.412000000004</v>
      </c>
      <c r="Z221" s="373">
        <f t="shared" ref="Z221:AC221" si="441">Z220-Y220</f>
        <v>114.77040000000034</v>
      </c>
      <c r="AA221" s="373">
        <f t="shared" si="441"/>
        <v>117.06580800000029</v>
      </c>
      <c r="AB221" s="373">
        <f t="shared" si="441"/>
        <v>119.40712416000042</v>
      </c>
      <c r="AC221" s="373">
        <f t="shared" si="441"/>
        <v>121.79526664320019</v>
      </c>
      <c r="AD221" s="372">
        <f>AD220-Y220</f>
        <v>473.03859880320124</v>
      </c>
      <c r="AE221" s="372">
        <f t="shared" ref="AE221:AG221" si="442">AE220-AD220</f>
        <v>124.23117197606371</v>
      </c>
      <c r="AF221" s="372">
        <f t="shared" si="442"/>
        <v>126.71579541558549</v>
      </c>
      <c r="AG221" s="372">
        <f t="shared" si="442"/>
        <v>129.25011132389682</v>
      </c>
      <c r="AH221" s="249"/>
      <c r="AI221" s="249"/>
      <c r="AJ221" s="249"/>
      <c r="AK221" s="249"/>
    </row>
    <row r="222" spans="1:37" ht="13.5" customHeight="1">
      <c r="A222" s="211"/>
      <c r="B222" s="12"/>
      <c r="C222" s="12"/>
      <c r="D222" s="12"/>
      <c r="E222" s="12"/>
      <c r="F222" s="261"/>
      <c r="G222" s="261"/>
      <c r="H222" s="261"/>
      <c r="I222" s="261"/>
      <c r="J222" s="12"/>
      <c r="K222" s="261"/>
      <c r="L222" s="261"/>
      <c r="M222" s="261"/>
      <c r="N222" s="261"/>
      <c r="O222" s="12"/>
      <c r="P222" s="261"/>
      <c r="Q222" s="261"/>
      <c r="R222" s="261"/>
      <c r="S222" s="261"/>
      <c r="T222" s="12"/>
      <c r="U222" s="261"/>
      <c r="V222" s="261"/>
      <c r="W222" s="261"/>
      <c r="X222" s="262"/>
      <c r="Y222" s="12"/>
      <c r="Z222" s="262"/>
      <c r="AA222" s="262"/>
      <c r="AB222" s="262"/>
      <c r="AC222" s="262"/>
      <c r="AD222" s="12"/>
      <c r="AE222" s="12"/>
      <c r="AF222" s="12"/>
      <c r="AG222" s="12"/>
      <c r="AH222" s="12"/>
      <c r="AI222" s="12"/>
      <c r="AJ222" s="12"/>
      <c r="AK222" s="12"/>
    </row>
    <row r="223" spans="1:37" ht="13.5" customHeight="1">
      <c r="A223" s="211"/>
      <c r="B223" s="12"/>
      <c r="C223" s="108" t="s">
        <v>390</v>
      </c>
      <c r="D223" s="12"/>
      <c r="E223" s="12"/>
      <c r="F223" s="299">
        <f t="shared" ref="F223:W223" si="443">F141</f>
        <v>0</v>
      </c>
      <c r="G223" s="299">
        <f t="shared" si="443"/>
        <v>0</v>
      </c>
      <c r="H223" s="299">
        <f t="shared" si="443"/>
        <v>0</v>
      </c>
      <c r="I223" s="299">
        <f t="shared" si="443"/>
        <v>0</v>
      </c>
      <c r="J223" s="228">
        <f t="shared" si="443"/>
        <v>0</v>
      </c>
      <c r="K223" s="299">
        <f t="shared" si="443"/>
        <v>0</v>
      </c>
      <c r="L223" s="299">
        <f t="shared" si="443"/>
        <v>0</v>
      </c>
      <c r="M223" s="299">
        <f t="shared" si="443"/>
        <v>0</v>
      </c>
      <c r="N223" s="299">
        <f t="shared" si="443"/>
        <v>0</v>
      </c>
      <c r="O223" s="228">
        <f t="shared" si="443"/>
        <v>0</v>
      </c>
      <c r="P223" s="299">
        <f t="shared" si="443"/>
        <v>0</v>
      </c>
      <c r="Q223" s="299">
        <f t="shared" si="443"/>
        <v>0</v>
      </c>
      <c r="R223" s="299">
        <f t="shared" si="443"/>
        <v>0</v>
      </c>
      <c r="S223" s="299">
        <f t="shared" si="443"/>
        <v>168</v>
      </c>
      <c r="T223" s="228">
        <f t="shared" si="443"/>
        <v>168</v>
      </c>
      <c r="U223" s="299">
        <f t="shared" si="443"/>
        <v>0</v>
      </c>
      <c r="V223" s="299">
        <f t="shared" si="443"/>
        <v>0</v>
      </c>
      <c r="W223" s="299">
        <f t="shared" si="443"/>
        <v>0</v>
      </c>
      <c r="X223" s="227">
        <f t="shared" ref="X223:AG223" si="444">W223</f>
        <v>0</v>
      </c>
      <c r="Y223" s="228">
        <f t="shared" si="444"/>
        <v>0</v>
      </c>
      <c r="Z223" s="227">
        <f t="shared" si="444"/>
        <v>0</v>
      </c>
      <c r="AA223" s="227">
        <f t="shared" si="444"/>
        <v>0</v>
      </c>
      <c r="AB223" s="227">
        <f t="shared" si="444"/>
        <v>0</v>
      </c>
      <c r="AC223" s="227">
        <f t="shared" si="444"/>
        <v>0</v>
      </c>
      <c r="AD223" s="228">
        <f t="shared" si="444"/>
        <v>0</v>
      </c>
      <c r="AE223" s="228">
        <f t="shared" si="444"/>
        <v>0</v>
      </c>
      <c r="AF223" s="228">
        <f t="shared" si="444"/>
        <v>0</v>
      </c>
      <c r="AG223" s="228">
        <f t="shared" si="444"/>
        <v>0</v>
      </c>
      <c r="AH223" s="12"/>
      <c r="AI223" s="12"/>
      <c r="AJ223" s="12"/>
      <c r="AK223" s="12"/>
    </row>
    <row r="224" spans="1:37" ht="13.5" customHeight="1">
      <c r="A224" s="211"/>
      <c r="B224" s="12"/>
      <c r="C224" s="108" t="s">
        <v>348</v>
      </c>
      <c r="D224" s="12"/>
      <c r="E224" s="12"/>
      <c r="F224" s="318">
        <f t="shared" ref="F224:W224" si="445">F142</f>
        <v>11167.055</v>
      </c>
      <c r="G224" s="318">
        <f t="shared" si="445"/>
        <v>9593.9869999999937</v>
      </c>
      <c r="H224" s="318">
        <f t="shared" si="445"/>
        <v>9646.5169999999998</v>
      </c>
      <c r="I224" s="318">
        <f t="shared" si="445"/>
        <v>8002.0350000000035</v>
      </c>
      <c r="J224" s="301">
        <f t="shared" si="445"/>
        <v>8002.0350000000035</v>
      </c>
      <c r="K224" s="318">
        <f t="shared" si="445"/>
        <v>13963.629000000001</v>
      </c>
      <c r="L224" s="318">
        <f t="shared" si="445"/>
        <v>11181.433000000005</v>
      </c>
      <c r="M224" s="318">
        <f t="shared" si="445"/>
        <v>11082.221000000005</v>
      </c>
      <c r="N224" s="318">
        <f t="shared" si="445"/>
        <v>7473.8439999999973</v>
      </c>
      <c r="O224" s="301">
        <f t="shared" si="445"/>
        <v>7473.8439999999973</v>
      </c>
      <c r="P224" s="318">
        <f t="shared" si="445"/>
        <v>4330.0150000000003</v>
      </c>
      <c r="Q224" s="318">
        <f t="shared" si="445"/>
        <v>4752.2240000000002</v>
      </c>
      <c r="R224" s="318">
        <f t="shared" si="445"/>
        <v>4785.9210000000003</v>
      </c>
      <c r="S224" s="318">
        <f t="shared" si="445"/>
        <v>4536.6040000000003</v>
      </c>
      <c r="T224" s="301">
        <f t="shared" si="445"/>
        <v>4536.6040000000003</v>
      </c>
      <c r="U224" s="318">
        <f t="shared" si="445"/>
        <v>5957</v>
      </c>
      <c r="V224" s="318">
        <f t="shared" si="445"/>
        <v>5948</v>
      </c>
      <c r="W224" s="318">
        <f t="shared" si="445"/>
        <v>6261</v>
      </c>
      <c r="X224" s="302">
        <f t="shared" ref="X224:AG224" si="446">W224</f>
        <v>6261</v>
      </c>
      <c r="Y224" s="301">
        <f t="shared" si="446"/>
        <v>6261</v>
      </c>
      <c r="Z224" s="302">
        <f t="shared" si="446"/>
        <v>6261</v>
      </c>
      <c r="AA224" s="302">
        <f t="shared" si="446"/>
        <v>6261</v>
      </c>
      <c r="AB224" s="302">
        <f t="shared" si="446"/>
        <v>6261</v>
      </c>
      <c r="AC224" s="302">
        <f t="shared" si="446"/>
        <v>6261</v>
      </c>
      <c r="AD224" s="301">
        <f t="shared" si="446"/>
        <v>6261</v>
      </c>
      <c r="AE224" s="301">
        <f t="shared" si="446"/>
        <v>6261</v>
      </c>
      <c r="AF224" s="301">
        <f t="shared" si="446"/>
        <v>6261</v>
      </c>
      <c r="AG224" s="301">
        <f t="shared" si="446"/>
        <v>6261</v>
      </c>
      <c r="AH224" s="12"/>
      <c r="AI224" s="12"/>
      <c r="AJ224" s="12"/>
      <c r="AK224" s="12"/>
    </row>
    <row r="225" spans="1:37" ht="13.5" customHeight="1">
      <c r="A225" s="211"/>
      <c r="B225" s="12"/>
      <c r="C225" s="12" t="s">
        <v>391</v>
      </c>
      <c r="D225" s="12"/>
      <c r="E225" s="12"/>
      <c r="F225" s="299">
        <f t="shared" ref="F225:AG225" si="447">SUM(F223:F224)</f>
        <v>11167.055</v>
      </c>
      <c r="G225" s="299">
        <f t="shared" si="447"/>
        <v>9593.9869999999937</v>
      </c>
      <c r="H225" s="299">
        <f t="shared" si="447"/>
        <v>9646.5169999999998</v>
      </c>
      <c r="I225" s="299">
        <f t="shared" si="447"/>
        <v>8002.0350000000035</v>
      </c>
      <c r="J225" s="228">
        <f t="shared" si="447"/>
        <v>8002.0350000000035</v>
      </c>
      <c r="K225" s="299">
        <f t="shared" si="447"/>
        <v>13963.629000000001</v>
      </c>
      <c r="L225" s="299">
        <f t="shared" si="447"/>
        <v>11181.433000000005</v>
      </c>
      <c r="M225" s="299">
        <f t="shared" si="447"/>
        <v>11082.221000000005</v>
      </c>
      <c r="N225" s="299">
        <f t="shared" si="447"/>
        <v>7473.8439999999973</v>
      </c>
      <c r="O225" s="228">
        <f t="shared" si="447"/>
        <v>7473.8439999999973</v>
      </c>
      <c r="P225" s="299">
        <f t="shared" si="447"/>
        <v>4330.0150000000003</v>
      </c>
      <c r="Q225" s="299">
        <f t="shared" si="447"/>
        <v>4752.2240000000002</v>
      </c>
      <c r="R225" s="299">
        <f t="shared" si="447"/>
        <v>4785.9210000000003</v>
      </c>
      <c r="S225" s="299">
        <f t="shared" si="447"/>
        <v>4704.6040000000003</v>
      </c>
      <c r="T225" s="228">
        <f t="shared" si="447"/>
        <v>4704.6040000000003</v>
      </c>
      <c r="U225" s="299">
        <f t="shared" si="447"/>
        <v>5957</v>
      </c>
      <c r="V225" s="299">
        <f t="shared" si="447"/>
        <v>5948</v>
      </c>
      <c r="W225" s="299">
        <f t="shared" si="447"/>
        <v>6261</v>
      </c>
      <c r="X225" s="227">
        <f t="shared" si="447"/>
        <v>6261</v>
      </c>
      <c r="Y225" s="228">
        <f t="shared" si="447"/>
        <v>6261</v>
      </c>
      <c r="Z225" s="227">
        <f t="shared" si="447"/>
        <v>6261</v>
      </c>
      <c r="AA225" s="227">
        <f t="shared" si="447"/>
        <v>6261</v>
      </c>
      <c r="AB225" s="227">
        <f t="shared" si="447"/>
        <v>6261</v>
      </c>
      <c r="AC225" s="227">
        <f t="shared" si="447"/>
        <v>6261</v>
      </c>
      <c r="AD225" s="228">
        <f t="shared" si="447"/>
        <v>6261</v>
      </c>
      <c r="AE225" s="228">
        <f t="shared" si="447"/>
        <v>6261</v>
      </c>
      <c r="AF225" s="228">
        <f t="shared" si="447"/>
        <v>6261</v>
      </c>
      <c r="AG225" s="228">
        <f t="shared" si="447"/>
        <v>6261</v>
      </c>
      <c r="AH225" s="12"/>
      <c r="AI225" s="12"/>
      <c r="AJ225" s="12"/>
      <c r="AK225" s="12"/>
    </row>
    <row r="226" spans="1:37" ht="13.5" customHeight="1">
      <c r="A226" s="248"/>
      <c r="B226" s="249"/>
      <c r="C226" s="89" t="s">
        <v>392</v>
      </c>
      <c r="D226" s="249"/>
      <c r="E226" s="249"/>
      <c r="F226" s="370"/>
      <c r="G226" s="371">
        <f t="shared" ref="G226:I226" si="448">G225-F225</f>
        <v>-1573.0680000000066</v>
      </c>
      <c r="H226" s="371">
        <f t="shared" si="448"/>
        <v>52.530000000006112</v>
      </c>
      <c r="I226" s="371">
        <f t="shared" si="448"/>
        <v>-1644.4819999999963</v>
      </c>
      <c r="J226" s="372"/>
      <c r="K226" s="371">
        <f t="shared" ref="K226:N226" si="449">K225-J225</f>
        <v>5961.5939999999973</v>
      </c>
      <c r="L226" s="371">
        <f t="shared" si="449"/>
        <v>-2782.1959999999963</v>
      </c>
      <c r="M226" s="371">
        <f t="shared" si="449"/>
        <v>-99.211999999999534</v>
      </c>
      <c r="N226" s="371">
        <f t="shared" si="449"/>
        <v>-3608.3770000000077</v>
      </c>
      <c r="O226" s="372">
        <f>O225-J225</f>
        <v>-528.19100000000617</v>
      </c>
      <c r="P226" s="371">
        <f t="shared" ref="P226:S226" si="450">P225-O225</f>
        <v>-3143.828999999997</v>
      </c>
      <c r="Q226" s="371">
        <f t="shared" si="450"/>
        <v>422.20899999999983</v>
      </c>
      <c r="R226" s="371">
        <f t="shared" si="450"/>
        <v>33.697000000000116</v>
      </c>
      <c r="S226" s="371">
        <f t="shared" si="450"/>
        <v>-81.317000000000007</v>
      </c>
      <c r="T226" s="372">
        <f>T225-O225</f>
        <v>-2769.2399999999971</v>
      </c>
      <c r="U226" s="371">
        <f t="shared" ref="U226:X226" si="451">U225-T225</f>
        <v>1252.3959999999997</v>
      </c>
      <c r="V226" s="371">
        <f t="shared" si="451"/>
        <v>-9</v>
      </c>
      <c r="W226" s="371">
        <f t="shared" si="451"/>
        <v>313</v>
      </c>
      <c r="X226" s="373">
        <f t="shared" si="451"/>
        <v>0</v>
      </c>
      <c r="Y226" s="372">
        <f>Y225-T225</f>
        <v>1556.3959999999997</v>
      </c>
      <c r="Z226" s="373">
        <f t="shared" ref="Z226:AC226" si="452">Z225-Y225</f>
        <v>0</v>
      </c>
      <c r="AA226" s="373">
        <f t="shared" si="452"/>
        <v>0</v>
      </c>
      <c r="AB226" s="373">
        <f t="shared" si="452"/>
        <v>0</v>
      </c>
      <c r="AC226" s="373">
        <f t="shared" si="452"/>
        <v>0</v>
      </c>
      <c r="AD226" s="372">
        <f>AD225-Y225</f>
        <v>0</v>
      </c>
      <c r="AE226" s="372">
        <f t="shared" ref="AE226:AG226" si="453">AE225-AD225</f>
        <v>0</v>
      </c>
      <c r="AF226" s="372">
        <f t="shared" si="453"/>
        <v>0</v>
      </c>
      <c r="AG226" s="372">
        <f t="shared" si="453"/>
        <v>0</v>
      </c>
      <c r="AH226" s="249"/>
      <c r="AI226" s="249"/>
      <c r="AJ226" s="249"/>
      <c r="AK226" s="249"/>
    </row>
    <row r="227" spans="1:37" ht="13.5" customHeight="1">
      <c r="A227" s="211"/>
      <c r="B227" s="12"/>
      <c r="C227" s="12"/>
      <c r="D227" s="12"/>
      <c r="E227" s="12"/>
      <c r="F227" s="261"/>
      <c r="G227" s="261"/>
      <c r="H227" s="261"/>
      <c r="I227" s="261"/>
      <c r="J227" s="12"/>
      <c r="K227" s="261"/>
      <c r="L227" s="261"/>
      <c r="M227" s="261"/>
      <c r="N227" s="261"/>
      <c r="O227" s="12"/>
      <c r="P227" s="261"/>
      <c r="Q227" s="261"/>
      <c r="R227" s="261"/>
      <c r="S227" s="261"/>
      <c r="T227" s="12"/>
      <c r="U227" s="261"/>
      <c r="V227" s="261"/>
      <c r="W227" s="261"/>
      <c r="X227" s="262"/>
      <c r="Y227" s="12"/>
      <c r="Z227" s="262"/>
      <c r="AA227" s="262"/>
      <c r="AB227" s="262"/>
      <c r="AC227" s="262"/>
      <c r="AD227" s="12"/>
      <c r="AE227" s="12"/>
      <c r="AF227" s="12"/>
      <c r="AG227" s="12"/>
      <c r="AH227" s="12"/>
      <c r="AI227" s="12"/>
      <c r="AJ227" s="12"/>
      <c r="AK227" s="12"/>
    </row>
    <row r="228" spans="1:37" ht="13.5" customHeight="1">
      <c r="A228" s="211"/>
      <c r="B228" s="332"/>
      <c r="C228" s="333" t="s">
        <v>393</v>
      </c>
      <c r="D228" s="75"/>
      <c r="E228" s="75"/>
      <c r="F228" s="334"/>
      <c r="G228" s="334">
        <f t="shared" ref="G228:I228" si="454">G226-G221</f>
        <v>-1319.0680000000066</v>
      </c>
      <c r="H228" s="334">
        <f t="shared" si="454"/>
        <v>-149.46999999999389</v>
      </c>
      <c r="I228" s="334">
        <f t="shared" si="454"/>
        <v>-840.48199999999633</v>
      </c>
      <c r="J228" s="335"/>
      <c r="K228" s="334">
        <f t="shared" ref="K228:AG228" si="455">K226-K221</f>
        <v>2075.5939999999973</v>
      </c>
      <c r="L228" s="334">
        <f t="shared" si="455"/>
        <v>-2744.1959999999963</v>
      </c>
      <c r="M228" s="334">
        <f t="shared" si="455"/>
        <v>-134.21199999999953</v>
      </c>
      <c r="N228" s="334">
        <f t="shared" si="455"/>
        <v>-3361.3770000000077</v>
      </c>
      <c r="O228" s="335">
        <f t="shared" si="455"/>
        <v>-4164.1910000000062</v>
      </c>
      <c r="P228" s="334">
        <f t="shared" si="455"/>
        <v>-25172.793999999998</v>
      </c>
      <c r="Q228" s="334">
        <f t="shared" si="455"/>
        <v>-1692.7079999999833</v>
      </c>
      <c r="R228" s="334">
        <f t="shared" si="455"/>
        <v>536.28399999997782</v>
      </c>
      <c r="S228" s="334">
        <f t="shared" si="455"/>
        <v>695.04600000000119</v>
      </c>
      <c r="T228" s="335">
        <f t="shared" si="455"/>
        <v>-25634.172000000002</v>
      </c>
      <c r="U228" s="334">
        <f t="shared" si="455"/>
        <v>-9853.6990000000042</v>
      </c>
      <c r="V228" s="334">
        <f t="shared" si="455"/>
        <v>34156.027000000009</v>
      </c>
      <c r="W228" s="334">
        <f t="shared" si="455"/>
        <v>-23</v>
      </c>
      <c r="X228" s="336">
        <f t="shared" si="455"/>
        <v>-112.52000000000044</v>
      </c>
      <c r="Y228" s="335">
        <f t="shared" si="455"/>
        <v>24166.808000000005</v>
      </c>
      <c r="Z228" s="336">
        <f t="shared" si="455"/>
        <v>-114.77040000000034</v>
      </c>
      <c r="AA228" s="336">
        <f t="shared" si="455"/>
        <v>-117.06580800000029</v>
      </c>
      <c r="AB228" s="336">
        <f t="shared" si="455"/>
        <v>-119.40712416000042</v>
      </c>
      <c r="AC228" s="336">
        <f t="shared" si="455"/>
        <v>-121.79526664320019</v>
      </c>
      <c r="AD228" s="335">
        <f t="shared" si="455"/>
        <v>-473.03859880320124</v>
      </c>
      <c r="AE228" s="335">
        <f t="shared" si="455"/>
        <v>-124.23117197606371</v>
      </c>
      <c r="AF228" s="335">
        <f t="shared" si="455"/>
        <v>-126.71579541558549</v>
      </c>
      <c r="AG228" s="353">
        <f t="shared" si="455"/>
        <v>-129.25011132389682</v>
      </c>
      <c r="AH228" s="12"/>
      <c r="AI228" s="12"/>
      <c r="AJ228" s="12"/>
      <c r="AK228" s="12"/>
    </row>
    <row r="229" spans="1:37" ht="13.5" customHeight="1">
      <c r="A229" s="211"/>
      <c r="B229" s="12"/>
      <c r="C229" s="12"/>
      <c r="D229" s="12"/>
      <c r="E229" s="12"/>
      <c r="F229" s="261"/>
      <c r="G229" s="261"/>
      <c r="H229" s="261"/>
      <c r="I229" s="261"/>
      <c r="J229" s="12"/>
      <c r="K229" s="261"/>
      <c r="L229" s="261"/>
      <c r="M229" s="261"/>
      <c r="N229" s="261"/>
      <c r="O229" s="12"/>
      <c r="P229" s="261"/>
      <c r="Q229" s="261"/>
      <c r="R229" s="261"/>
      <c r="S229" s="261"/>
      <c r="T229" s="12"/>
      <c r="U229" s="261"/>
      <c r="V229" s="261"/>
      <c r="W229" s="261"/>
      <c r="X229" s="262"/>
      <c r="Y229" s="12"/>
      <c r="Z229" s="262"/>
      <c r="AA229" s="262"/>
      <c r="AB229" s="262"/>
      <c r="AC229" s="262"/>
      <c r="AD229" s="12"/>
      <c r="AE229" s="12"/>
      <c r="AF229" s="12"/>
      <c r="AG229" s="12"/>
      <c r="AH229" s="12"/>
      <c r="AI229" s="12"/>
      <c r="AJ229" s="12"/>
      <c r="AK229" s="12"/>
    </row>
    <row r="230" spans="1:37" ht="13.5" customHeight="1">
      <c r="A230" s="211" t="s">
        <v>1</v>
      </c>
      <c r="B230" s="12"/>
      <c r="C230" s="36" t="s">
        <v>46</v>
      </c>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42"/>
      <c r="AH230" s="211" t="s">
        <v>1</v>
      </c>
      <c r="AI230" s="12"/>
      <c r="AJ230" s="12"/>
      <c r="AK230" s="12"/>
    </row>
    <row r="231" spans="1:37" ht="13.5" customHeight="1">
      <c r="A231" s="211"/>
      <c r="B231" s="12"/>
      <c r="C231" s="12"/>
      <c r="D231" s="12"/>
      <c r="E231" s="12"/>
      <c r="F231" s="261"/>
      <c r="G231" s="261"/>
      <c r="H231" s="261"/>
      <c r="I231" s="261"/>
      <c r="J231" s="12"/>
      <c r="K231" s="261"/>
      <c r="L231" s="261"/>
      <c r="M231" s="261"/>
      <c r="N231" s="261"/>
      <c r="O231" s="12"/>
      <c r="P231" s="261"/>
      <c r="Q231" s="261"/>
      <c r="R231" s="261"/>
      <c r="S231" s="261"/>
      <c r="T231" s="12"/>
      <c r="U231" s="261"/>
      <c r="V231" s="261"/>
      <c r="W231" s="261"/>
      <c r="X231" s="262"/>
      <c r="Y231" s="12"/>
      <c r="Z231" s="262"/>
      <c r="AA231" s="262"/>
      <c r="AB231" s="262"/>
      <c r="AC231" s="262"/>
      <c r="AD231" s="12"/>
      <c r="AE231" s="12"/>
      <c r="AF231" s="12"/>
      <c r="AG231" s="12"/>
      <c r="AH231" s="12"/>
      <c r="AI231" s="12"/>
      <c r="AJ231" s="12"/>
      <c r="AK231" s="12"/>
    </row>
    <row r="232" spans="1:37" ht="13.5" customHeight="1">
      <c r="A232" s="211"/>
      <c r="B232" s="12"/>
      <c r="C232" s="12" t="s">
        <v>394</v>
      </c>
      <c r="D232" s="12"/>
      <c r="E232" s="12"/>
      <c r="F232" s="356"/>
      <c r="G232" s="343">
        <f t="shared" ref="G232:I232" si="456">G219/F219-1</f>
        <v>-0.1673728813559322</v>
      </c>
      <c r="H232" s="343">
        <f t="shared" si="456"/>
        <v>0.17048346055979646</v>
      </c>
      <c r="I232" s="343">
        <f t="shared" si="456"/>
        <v>0.11956521739130443</v>
      </c>
      <c r="J232" s="344"/>
      <c r="K232" s="343">
        <f>K219/I219-1</f>
        <v>2.5152103559870551</v>
      </c>
      <c r="L232" s="343">
        <f t="shared" ref="L232:N232" si="457">L219/K219-1</f>
        <v>-6.9968698213956904E-3</v>
      </c>
      <c r="M232" s="343">
        <f t="shared" si="457"/>
        <v>6.4898943074356286E-3</v>
      </c>
      <c r="N232" s="343">
        <f t="shared" si="457"/>
        <v>-4.5504789977892424E-2</v>
      </c>
      <c r="O232" s="344">
        <f>O219/J219-1</f>
        <v>2.3533980582524272</v>
      </c>
      <c r="P232" s="343">
        <f>P219/N219-1</f>
        <v>4.3103580389886123</v>
      </c>
      <c r="Q232" s="343">
        <f t="shared" ref="Q232:S232" si="458">Q219/P219-1</f>
        <v>7.6869832095522339E-2</v>
      </c>
      <c r="R232" s="343">
        <f t="shared" si="458"/>
        <v>-1.6963311788536828E-2</v>
      </c>
      <c r="S232" s="343">
        <f t="shared" si="458"/>
        <v>-3.7333973784643204E-2</v>
      </c>
      <c r="T232" s="344">
        <f>T219/O219-1</f>
        <v>4.4116834587917397</v>
      </c>
      <c r="U232" s="343">
        <f>U219/S219-1</f>
        <v>0.40720175082812826</v>
      </c>
      <c r="V232" s="343">
        <f t="shared" ref="V232:W232" si="459">V219/U219-1</f>
        <v>-0.86592329540162272</v>
      </c>
      <c r="W232" s="343">
        <f t="shared" si="459"/>
        <v>6.3516068052930086E-2</v>
      </c>
      <c r="X232" s="368">
        <f>Drivers!X128</f>
        <v>0.02</v>
      </c>
      <c r="Y232" s="344">
        <f>Y219/T219-1</f>
        <v>-0.79533012634455358</v>
      </c>
      <c r="Z232" s="368">
        <f>Drivers!Z128</f>
        <v>0.02</v>
      </c>
      <c r="AA232" s="368">
        <f>Drivers!AA128</f>
        <v>0.02</v>
      </c>
      <c r="AB232" s="368">
        <f>Drivers!AB128</f>
        <v>0.02</v>
      </c>
      <c r="AC232" s="368">
        <f>Drivers!AC128</f>
        <v>0.02</v>
      </c>
      <c r="AD232" s="344">
        <f>AD219/Y219-1</f>
        <v>8.2432160000000199E-2</v>
      </c>
      <c r="AE232" s="369">
        <f>Drivers!AE128</f>
        <v>0.02</v>
      </c>
      <c r="AF232" s="369">
        <f>Drivers!AF128</f>
        <v>0.02</v>
      </c>
      <c r="AG232" s="369">
        <f>Drivers!AG128</f>
        <v>0.02</v>
      </c>
      <c r="AH232" s="12"/>
      <c r="AI232" s="12"/>
      <c r="AJ232" s="12"/>
      <c r="AK232" s="12"/>
    </row>
    <row r="233" spans="1:37" ht="13.5" customHeight="1">
      <c r="A233" s="211"/>
      <c r="B233" s="12"/>
      <c r="C233" s="12"/>
      <c r="D233" s="12"/>
      <c r="E233" s="12"/>
      <c r="F233" s="261"/>
      <c r="G233" s="261"/>
      <c r="H233" s="261"/>
      <c r="I233" s="261"/>
      <c r="J233" s="12"/>
      <c r="K233" s="261"/>
      <c r="L233" s="261"/>
      <c r="M233" s="261"/>
      <c r="N233" s="261"/>
      <c r="O233" s="12"/>
      <c r="P233" s="261"/>
      <c r="Q233" s="261"/>
      <c r="R233" s="261"/>
      <c r="S233" s="261"/>
      <c r="T233" s="12"/>
      <c r="U233" s="261"/>
      <c r="V233" s="261"/>
      <c r="W233" s="261"/>
      <c r="X233" s="262"/>
      <c r="Y233" s="12"/>
      <c r="Z233" s="262"/>
      <c r="AA233" s="262"/>
      <c r="AB233" s="262"/>
      <c r="AC233" s="262"/>
      <c r="AD233" s="12"/>
      <c r="AE233" s="12"/>
      <c r="AF233" s="12"/>
      <c r="AG233" s="12"/>
      <c r="AH233" s="12"/>
      <c r="AI233" s="12"/>
      <c r="AJ233" s="12"/>
      <c r="AK233" s="12"/>
    </row>
    <row r="234" spans="1:37" ht="13.5" customHeight="1">
      <c r="A234" s="211" t="s">
        <v>1</v>
      </c>
      <c r="B234" s="40"/>
      <c r="C234" s="55" t="s">
        <v>395</v>
      </c>
      <c r="D234" s="15"/>
      <c r="E234" s="15"/>
      <c r="F234" s="259" t="str">
        <f>F$25</f>
        <v>1Q23</v>
      </c>
      <c r="G234" s="56" t="str">
        <f t="shared" ref="G234:AG234" si="460">G$63</f>
        <v>2Q23</v>
      </c>
      <c r="H234" s="56" t="str">
        <f t="shared" si="460"/>
        <v>3Q23</v>
      </c>
      <c r="I234" s="56" t="str">
        <f t="shared" si="460"/>
        <v>4Q23</v>
      </c>
      <c r="J234" s="56">
        <f t="shared" si="460"/>
        <v>2023</v>
      </c>
      <c r="K234" s="56" t="str">
        <f t="shared" si="460"/>
        <v>1Q24</v>
      </c>
      <c r="L234" s="56" t="str">
        <f t="shared" si="460"/>
        <v>2Q24</v>
      </c>
      <c r="M234" s="56" t="str">
        <f t="shared" si="460"/>
        <v>3Q24</v>
      </c>
      <c r="N234" s="56" t="str">
        <f t="shared" si="460"/>
        <v>4Q24</v>
      </c>
      <c r="O234" s="56">
        <f t="shared" si="460"/>
        <v>2024</v>
      </c>
      <c r="P234" s="56" t="str">
        <f t="shared" si="460"/>
        <v>1Q25</v>
      </c>
      <c r="Q234" s="56" t="str">
        <f t="shared" si="460"/>
        <v>2Q25</v>
      </c>
      <c r="R234" s="56" t="str">
        <f t="shared" si="460"/>
        <v>3Q25</v>
      </c>
      <c r="S234" s="56" t="str">
        <f t="shared" si="460"/>
        <v>4Q25</v>
      </c>
      <c r="T234" s="56">
        <f t="shared" si="460"/>
        <v>2025</v>
      </c>
      <c r="U234" s="56" t="str">
        <f t="shared" si="460"/>
        <v>1Q26</v>
      </c>
      <c r="V234" s="56" t="str">
        <f t="shared" si="460"/>
        <v>2Q26</v>
      </c>
      <c r="W234" s="56" t="str">
        <f t="shared" si="460"/>
        <v>3Q26e</v>
      </c>
      <c r="X234" s="56" t="str">
        <f t="shared" si="460"/>
        <v>4Q26e</v>
      </c>
      <c r="Y234" s="56" t="str">
        <f t="shared" si="460"/>
        <v>2026e</v>
      </c>
      <c r="Z234" s="56" t="str">
        <f t="shared" si="460"/>
        <v>1Q27e</v>
      </c>
      <c r="AA234" s="56" t="str">
        <f t="shared" si="460"/>
        <v>2Q27e</v>
      </c>
      <c r="AB234" s="56" t="str">
        <f t="shared" si="460"/>
        <v>3Q27e</v>
      </c>
      <c r="AC234" s="56" t="str">
        <f t="shared" si="460"/>
        <v>4Q27e</v>
      </c>
      <c r="AD234" s="56" t="str">
        <f t="shared" si="460"/>
        <v>2027e</v>
      </c>
      <c r="AE234" s="56" t="str">
        <f t="shared" si="460"/>
        <v>2028e</v>
      </c>
      <c r="AF234" s="56" t="str">
        <f t="shared" si="460"/>
        <v>2029e</v>
      </c>
      <c r="AG234" s="57" t="str">
        <f t="shared" si="460"/>
        <v>2030e</v>
      </c>
      <c r="AH234" s="211" t="s">
        <v>1</v>
      </c>
      <c r="AI234" s="12"/>
      <c r="AJ234" s="12"/>
      <c r="AK234" s="12"/>
    </row>
    <row r="235" spans="1:37" ht="13.5" customHeight="1">
      <c r="A235" s="211"/>
      <c r="B235" s="12"/>
      <c r="C235" s="12"/>
      <c r="D235" s="12"/>
      <c r="E235" s="12"/>
      <c r="F235" s="261"/>
      <c r="G235" s="261"/>
      <c r="H235" s="261"/>
      <c r="I235" s="261"/>
      <c r="J235" s="12"/>
      <c r="K235" s="261"/>
      <c r="L235" s="261"/>
      <c r="M235" s="261"/>
      <c r="N235" s="261"/>
      <c r="O235" s="12"/>
      <c r="P235" s="261"/>
      <c r="Q235" s="261"/>
      <c r="R235" s="261"/>
      <c r="S235" s="261"/>
      <c r="T235" s="12"/>
      <c r="U235" s="261"/>
      <c r="V235" s="261"/>
      <c r="W235" s="261"/>
      <c r="X235" s="262"/>
      <c r="Y235" s="12"/>
      <c r="Z235" s="262"/>
      <c r="AA235" s="262"/>
      <c r="AB235" s="262"/>
      <c r="AC235" s="262"/>
      <c r="AD235" s="12"/>
      <c r="AE235" s="12"/>
      <c r="AF235" s="12"/>
      <c r="AG235" s="12"/>
      <c r="AH235" s="12"/>
      <c r="AI235" s="12"/>
      <c r="AJ235" s="12"/>
      <c r="AK235" s="12"/>
    </row>
    <row r="236" spans="1:37" ht="13.5" customHeight="1">
      <c r="A236" s="211"/>
      <c r="B236" s="12"/>
      <c r="C236" s="12" t="s">
        <v>396</v>
      </c>
      <c r="D236" s="12"/>
      <c r="E236" s="12"/>
      <c r="F236" s="261"/>
      <c r="G236" s="261"/>
      <c r="H236" s="261"/>
      <c r="I236" s="261"/>
      <c r="J236" s="12"/>
      <c r="K236" s="261"/>
      <c r="L236" s="261"/>
      <c r="M236" s="261"/>
      <c r="N236" s="261"/>
      <c r="O236" s="12"/>
      <c r="P236" s="261"/>
      <c r="Q236" s="261"/>
      <c r="R236" s="261"/>
      <c r="S236" s="261"/>
      <c r="T236" s="12"/>
      <c r="U236" s="261"/>
      <c r="V236" s="261"/>
      <c r="W236" s="261"/>
      <c r="X236" s="262"/>
      <c r="Y236" s="12"/>
      <c r="Z236" s="262"/>
      <c r="AA236" s="262"/>
      <c r="AB236" s="262"/>
      <c r="AC236" s="262"/>
      <c r="AD236" s="12"/>
      <c r="AE236" s="12"/>
      <c r="AF236" s="12"/>
      <c r="AG236" s="12"/>
      <c r="AH236" s="12"/>
      <c r="AI236" s="12"/>
      <c r="AJ236" s="12"/>
      <c r="AK236" s="12"/>
    </row>
    <row r="237" spans="1:37" ht="13.5" customHeight="1">
      <c r="A237" s="211"/>
      <c r="B237" s="12"/>
      <c r="C237" s="108" t="s">
        <v>397</v>
      </c>
      <c r="D237" s="12"/>
      <c r="E237" s="12"/>
      <c r="F237" s="316">
        <f t="shared" ref="F237:AG237" si="461">F53</f>
        <v>1.5819636363636367</v>
      </c>
      <c r="G237" s="316">
        <f t="shared" si="461"/>
        <v>1.8297785977859777</v>
      </c>
      <c r="H237" s="316">
        <f t="shared" si="461"/>
        <v>2.0811687344913152</v>
      </c>
      <c r="I237" s="316">
        <f t="shared" si="461"/>
        <v>-13.644312109862668</v>
      </c>
      <c r="J237" s="96">
        <f t="shared" si="461"/>
        <v>-8.0635980024968763</v>
      </c>
      <c r="K237" s="316">
        <f t="shared" si="461"/>
        <v>2.8269200000000003</v>
      </c>
      <c r="L237" s="316">
        <f t="shared" si="461"/>
        <v>2.6412127921279209</v>
      </c>
      <c r="M237" s="316">
        <f t="shared" si="461"/>
        <v>2.9323933002481386</v>
      </c>
      <c r="N237" s="316">
        <f t="shared" si="461"/>
        <v>2.3328426966292133</v>
      </c>
      <c r="O237" s="96">
        <f t="shared" si="461"/>
        <v>10.875943820224718</v>
      </c>
      <c r="P237" s="316">
        <f t="shared" si="461"/>
        <v>3.8282794701986758</v>
      </c>
      <c r="Q237" s="316">
        <f t="shared" si="461"/>
        <v>4.1561343085106381</v>
      </c>
      <c r="R237" s="316">
        <f t="shared" si="461"/>
        <v>3.3868563829787237</v>
      </c>
      <c r="S237" s="316">
        <f t="shared" si="461"/>
        <v>3.2333168449197869</v>
      </c>
      <c r="T237" s="96">
        <f t="shared" si="461"/>
        <v>14.680750000000002</v>
      </c>
      <c r="U237" s="316">
        <f t="shared" si="461"/>
        <v>7.3576476323119779</v>
      </c>
      <c r="V237" s="316">
        <f t="shared" si="461"/>
        <v>4.280851063829787</v>
      </c>
      <c r="W237" s="316">
        <f t="shared" si="461"/>
        <v>2.7478260869565219</v>
      </c>
      <c r="X237" s="317" t="str">
        <f t="shared" ca="1" si="461"/>
        <v>#REF!</v>
      </c>
      <c r="Y237" s="96" t="str">
        <f t="shared" ca="1" si="461"/>
        <v>#REF!</v>
      </c>
      <c r="Z237" s="317" t="str">
        <f t="shared" ca="1" si="461"/>
        <v>#REF!</v>
      </c>
      <c r="AA237" s="317" t="str">
        <f t="shared" ca="1" si="461"/>
        <v>#REF!</v>
      </c>
      <c r="AB237" s="317" t="str">
        <f t="shared" ca="1" si="461"/>
        <v>#REF!</v>
      </c>
      <c r="AC237" s="317" t="str">
        <f t="shared" ca="1" si="461"/>
        <v>#REF!</v>
      </c>
      <c r="AD237" s="96" t="str">
        <f t="shared" ca="1" si="461"/>
        <v>#REF!</v>
      </c>
      <c r="AE237" s="96" t="str">
        <f t="shared" ca="1" si="461"/>
        <v>#REF!</v>
      </c>
      <c r="AF237" s="96" t="str">
        <f t="shared" ca="1" si="461"/>
        <v>#REF!</v>
      </c>
      <c r="AG237" s="96" t="str">
        <f t="shared" ca="1" si="461"/>
        <v>#REF!</v>
      </c>
      <c r="AH237" s="12"/>
      <c r="AI237" s="12"/>
      <c r="AJ237" s="12"/>
      <c r="AK237" s="12"/>
    </row>
    <row r="238" spans="1:37" ht="13.5" customHeight="1">
      <c r="A238" s="211"/>
      <c r="B238" s="12"/>
      <c r="C238" s="108" t="s">
        <v>398</v>
      </c>
      <c r="D238" s="12"/>
      <c r="E238" s="12"/>
      <c r="F238" s="374">
        <f>F239/SUM(F237,B238:D238)</f>
        <v>54.350174696579614</v>
      </c>
      <c r="G238" s="374">
        <f>G239/SUM(F237:G237,C237:D237)</f>
        <v>26.907073776305197</v>
      </c>
      <c r="H238" s="374">
        <f>H239/SUM(F237:H237,D237)</f>
        <v>17.41699447636795</v>
      </c>
      <c r="I238" s="375">
        <f>I239/SUM(F237:I237)</f>
        <v>-13.650413968379773</v>
      </c>
      <c r="J238" s="376">
        <f>J239/J237</f>
        <v>-11.65862966149435</v>
      </c>
      <c r="K238" s="375">
        <f>K239/SUM(K237,G237:I237)</f>
        <v>-14.81949154681919</v>
      </c>
      <c r="L238" s="375">
        <f>L239/SUM(K237:L237,H237:I237)</f>
        <v>-16.831800141913327</v>
      </c>
      <c r="M238" s="375">
        <f>M239/SUM(K237:M237,I237)</f>
        <v>-20.673993873602388</v>
      </c>
      <c r="N238" s="375">
        <f>N239/SUM(K237:N237)</f>
        <v>9.8170483164554803</v>
      </c>
      <c r="O238" s="376">
        <f>O239/O237</f>
        <v>9.5720548405054693</v>
      </c>
      <c r="P238" s="375">
        <f>P239/SUM(P237,L237:N237)</f>
        <v>8.4177492497556106</v>
      </c>
      <c r="Q238" s="375">
        <f>Q239/SUM(P237:Q237,M237:N237)</f>
        <v>7.4552913981174456</v>
      </c>
      <c r="R238" s="375">
        <f>R239/SUM(P237:R237,N237)</f>
        <v>12.349709291686152</v>
      </c>
      <c r="S238" s="375">
        <f>S239/SUM(P237:S237)</f>
        <v>14.346086073939453</v>
      </c>
      <c r="T238" s="376">
        <f>T239/T237</f>
        <v>11.465404224338332</v>
      </c>
      <c r="U238" s="375">
        <f>U239/SUM(U237,Q237:S237)</f>
        <v>10.047449566560797</v>
      </c>
      <c r="V238" s="375">
        <f>V239/SUM(U237:V237,R237:S237)</f>
        <v>10.456218356688046</v>
      </c>
      <c r="W238" s="375">
        <f>W239/SUM(U237:W237,S237)</f>
        <v>11.712118998547307</v>
      </c>
      <c r="X238" s="377" t="str">
        <f ca="1">X239/SUM(U237:X237)</f>
        <v/>
      </c>
      <c r="Y238" s="376" t="str">
        <f ca="1">Y239/Y237</f>
        <v/>
      </c>
      <c r="Z238" s="377" t="str">
        <f ca="1">Z239/SUM(Z237,V237:X237)</f>
        <v/>
      </c>
      <c r="AA238" s="377" t="str">
        <f ca="1">AA239/SUM(Z237:AA237,W237:X237)</f>
        <v/>
      </c>
      <c r="AB238" s="377" t="str">
        <f ca="1">AB239/SUM(Z237:AB237,X237)</f>
        <v/>
      </c>
      <c r="AC238" s="377" t="str">
        <f ca="1">AC239/SUM(Z237:AC237)</f>
        <v/>
      </c>
      <c r="AD238" s="376" t="str">
        <f t="shared" ref="AD238:AG238" ca="1" si="462">AD239/AD237</f>
        <v/>
      </c>
      <c r="AE238" s="376" t="str">
        <f t="shared" ca="1" si="462"/>
        <v>#REF!</v>
      </c>
      <c r="AF238" s="376" t="str">
        <f t="shared" ca="1" si="462"/>
        <v>#REF!</v>
      </c>
      <c r="AG238" s="376" t="str">
        <f t="shared" ca="1" si="462"/>
        <v>#REF!</v>
      </c>
      <c r="AH238" s="12"/>
      <c r="AI238" s="12"/>
      <c r="AJ238" s="12"/>
      <c r="AK238" s="12"/>
    </row>
    <row r="239" spans="1:37" ht="13.5" customHeight="1">
      <c r="A239" s="211"/>
      <c r="B239" s="12"/>
      <c r="C239" s="108" t="s">
        <v>399</v>
      </c>
      <c r="D239" s="12"/>
      <c r="E239" s="12"/>
      <c r="F239" s="378">
        <v>85.98</v>
      </c>
      <c r="G239" s="378">
        <v>91.8</v>
      </c>
      <c r="H239" s="378">
        <v>95.67</v>
      </c>
      <c r="I239" s="378">
        <v>111.27000000000004</v>
      </c>
      <c r="J239" s="96">
        <f>F239*(F240/(SUM(F240:I240)))+G239*(G240/(SUM(F240:I240)))+H239*(H240/(SUM(F240:I240)))+I239*(I240/(SUM(F240:I240)))</f>
        <v>94.01050285027668</v>
      </c>
      <c r="K239" s="378">
        <v>102.35</v>
      </c>
      <c r="L239" s="378">
        <v>102.59</v>
      </c>
      <c r="M239" s="378">
        <v>108.41</v>
      </c>
      <c r="N239" s="379">
        <v>105.37</v>
      </c>
      <c r="O239" s="96">
        <f>K239*(K240/(SUM(K240:N240)))+L239*(L240/(SUM(K240:N240)))+M239*(M240/(SUM(K240:N240)))+N239*(N240/(SUM(K240:N240)))</f>
        <v>104.10513068944756</v>
      </c>
      <c r="P239" s="378">
        <v>98.78</v>
      </c>
      <c r="Q239" s="378">
        <v>98.78</v>
      </c>
      <c r="R239" s="379">
        <v>169.24180990067623</v>
      </c>
      <c r="S239" s="378">
        <v>209.51866227113362</v>
      </c>
      <c r="T239" s="96">
        <f>P239*(P240/(SUM(P240:S240)))+Q239*(Q240/(SUM(P240:S240)))+R239*(R240/(SUM(P240:S240)))+S239*(S240/(SUM(P240:S240)))</f>
        <v>168.32073306645498</v>
      </c>
      <c r="U239" s="378">
        <v>182.2</v>
      </c>
      <c r="V239" s="378">
        <f>V241/V240</f>
        <v>190.91666054089455</v>
      </c>
      <c r="W239" s="379">
        <f>193.16*3-SUM(U239:V239)</f>
        <v>206.36333945910548</v>
      </c>
      <c r="X239" s="380">
        <f>Share_Price</f>
        <v>233.18</v>
      </c>
      <c r="Y239" s="96">
        <f>U239*(U240/(SUM(U240:X240)))+V239*(V240/(SUM(U240:X240)))+W239*(W240/(SUM(U240:X240)))+X239*(X240/(SUM(U240:X240)))</f>
        <v>194.11974630490172</v>
      </c>
      <c r="Z239" s="381">
        <f>X239</f>
        <v>233.18</v>
      </c>
      <c r="AA239" s="381">
        <f t="shared" ref="AA239:AC239" si="463">Z239</f>
        <v>233.18</v>
      </c>
      <c r="AB239" s="381">
        <f t="shared" si="463"/>
        <v>233.18</v>
      </c>
      <c r="AC239" s="381">
        <f t="shared" si="463"/>
        <v>233.18</v>
      </c>
      <c r="AD239" s="96">
        <f>AVERAGE(Z239:AC239)</f>
        <v>233.18</v>
      </c>
      <c r="AE239" s="382">
        <f>AC239</f>
        <v>233.18</v>
      </c>
      <c r="AF239" s="382">
        <f t="shared" ref="AF239:AG239" si="464">AE239</f>
        <v>233.18</v>
      </c>
      <c r="AG239" s="382">
        <f t="shared" si="464"/>
        <v>233.18</v>
      </c>
      <c r="AH239" s="12"/>
      <c r="AI239" s="12"/>
      <c r="AJ239" s="12"/>
      <c r="AK239" s="12"/>
    </row>
    <row r="240" spans="1:37" ht="13.5" customHeight="1">
      <c r="A240" s="211"/>
      <c r="B240" s="12"/>
      <c r="C240" s="108" t="s">
        <v>400</v>
      </c>
      <c r="D240" s="12"/>
      <c r="E240" s="12"/>
      <c r="F240" s="330">
        <f t="shared" ref="F240:I240" si="465">F241/F239</f>
        <v>8.4670853686903929</v>
      </c>
      <c r="G240" s="330">
        <f t="shared" si="465"/>
        <v>12.178649237472767</v>
      </c>
      <c r="H240" s="330">
        <f t="shared" si="465"/>
        <v>6.8150935507473607</v>
      </c>
      <c r="I240" s="330">
        <f t="shared" si="465"/>
        <v>4.844072975644826</v>
      </c>
      <c r="J240" s="131">
        <f t="shared" ref="J240:J241" si="466">SUM(F240:I240)</f>
        <v>32.304901132555344</v>
      </c>
      <c r="K240" s="330">
        <f t="shared" ref="K240:N240" si="467">K241/K239</f>
        <v>8.0703468490473877</v>
      </c>
      <c r="L240" s="330">
        <f t="shared" si="467"/>
        <v>18.949215323130908</v>
      </c>
      <c r="M240" s="330">
        <f t="shared" si="467"/>
        <v>8.1081081081081088</v>
      </c>
      <c r="N240" s="383">
        <f t="shared" si="467"/>
        <v>6.3016038720698484</v>
      </c>
      <c r="O240" s="131">
        <f t="shared" ref="O240:O241" si="468">SUM(K240:N240)</f>
        <v>41.429274152356257</v>
      </c>
      <c r="P240" s="330">
        <f t="shared" ref="P240:S240" si="469">P241/P239</f>
        <v>9.7793075521360606</v>
      </c>
      <c r="Q240" s="330">
        <f t="shared" si="469"/>
        <v>0</v>
      </c>
      <c r="R240" s="383">
        <f t="shared" si="469"/>
        <v>3.320692447863939</v>
      </c>
      <c r="S240" s="330">
        <f t="shared" si="469"/>
        <v>16.432903697831399</v>
      </c>
      <c r="T240" s="131">
        <f t="shared" ref="T240:T241" si="470">SUM(P240:S240)</f>
        <v>29.532903697831401</v>
      </c>
      <c r="U240" s="330">
        <f>U241/U239</f>
        <v>16.67398463227223</v>
      </c>
      <c r="V240" s="330">
        <f>33.1-U240</f>
        <v>16.426015367727771</v>
      </c>
      <c r="W240" s="383">
        <f t="shared" ref="W240:X240" si="471">W241/W239</f>
        <v>13.689447008390864</v>
      </c>
      <c r="X240" s="305">
        <f t="shared" si="471"/>
        <v>2.1442662320953767</v>
      </c>
      <c r="Y240" s="131">
        <f t="shared" ref="Y240:Y241" si="472">SUM(U240:X240)</f>
        <v>48.933713240486242</v>
      </c>
      <c r="Z240" s="305">
        <f t="shared" ref="Z240:AC240" si="473">Z241/Z239</f>
        <v>2.1442662320953767</v>
      </c>
      <c r="AA240" s="305">
        <f t="shared" si="473"/>
        <v>2.1442662320953767</v>
      </c>
      <c r="AB240" s="305">
        <f t="shared" si="473"/>
        <v>2.1442662320953767</v>
      </c>
      <c r="AC240" s="305">
        <f t="shared" si="473"/>
        <v>2.1442662320953767</v>
      </c>
      <c r="AD240" s="131">
        <f t="shared" ref="AD240:AD241" si="474">SUM(Z240:AC240)</f>
        <v>8.5770649283815068</v>
      </c>
      <c r="AE240" s="131">
        <f t="shared" ref="AE240:AG240" si="475">AE241/AE239</f>
        <v>12.865597392572262</v>
      </c>
      <c r="AF240" s="131">
        <f t="shared" si="475"/>
        <v>12.865597392572262</v>
      </c>
      <c r="AG240" s="131">
        <f t="shared" si="475"/>
        <v>12.865597392572262</v>
      </c>
      <c r="AH240" s="12"/>
      <c r="AI240" s="12"/>
      <c r="AJ240" s="12"/>
      <c r="AK240" s="12"/>
    </row>
    <row r="241" spans="1:37" ht="13.5" customHeight="1">
      <c r="A241" s="211"/>
      <c r="B241" s="12"/>
      <c r="C241" s="108" t="s">
        <v>401</v>
      </c>
      <c r="D241" s="12"/>
      <c r="E241" s="12"/>
      <c r="F241" s="304">
        <f>728</f>
        <v>728</v>
      </c>
      <c r="G241" s="304">
        <v>1118</v>
      </c>
      <c r="H241" s="304">
        <f>2498-SUM(F241:G241)</f>
        <v>652</v>
      </c>
      <c r="I241" s="304">
        <v>539</v>
      </c>
      <c r="J241" s="131">
        <f t="shared" si="466"/>
        <v>3037</v>
      </c>
      <c r="K241" s="304">
        <v>826</v>
      </c>
      <c r="L241" s="304">
        <v>1944</v>
      </c>
      <c r="M241" s="304">
        <v>879</v>
      </c>
      <c r="N241" s="384">
        <v>664</v>
      </c>
      <c r="O241" s="131">
        <f t="shared" si="468"/>
        <v>4313</v>
      </c>
      <c r="P241" s="304">
        <v>966</v>
      </c>
      <c r="Q241" s="304">
        <v>0</v>
      </c>
      <c r="R241" s="384">
        <v>562</v>
      </c>
      <c r="S241" s="304">
        <f>4971-SUM(P241:R241)</f>
        <v>3443</v>
      </c>
      <c r="T241" s="131">
        <f t="shared" si="470"/>
        <v>4971</v>
      </c>
      <c r="U241" s="304">
        <v>3038</v>
      </c>
      <c r="V241" s="304">
        <f>6174-U241</f>
        <v>3136</v>
      </c>
      <c r="W241" s="384">
        <f>8999-SUM(U241:V241)</f>
        <v>2825</v>
      </c>
      <c r="X241" s="305">
        <f>X272</f>
        <v>500</v>
      </c>
      <c r="Y241" s="131">
        <f t="shared" si="472"/>
        <v>9499</v>
      </c>
      <c r="Z241" s="305">
        <f t="shared" ref="Z241:AC241" si="476">Z272</f>
        <v>500</v>
      </c>
      <c r="AA241" s="305">
        <f t="shared" si="476"/>
        <v>500</v>
      </c>
      <c r="AB241" s="305">
        <f t="shared" si="476"/>
        <v>500</v>
      </c>
      <c r="AC241" s="305">
        <f t="shared" si="476"/>
        <v>500</v>
      </c>
      <c r="AD241" s="131">
        <f t="shared" si="474"/>
        <v>2000</v>
      </c>
      <c r="AE241" s="131">
        <f t="shared" ref="AE241:AG241" si="477">AE272</f>
        <v>3000</v>
      </c>
      <c r="AF241" s="131">
        <f t="shared" si="477"/>
        <v>3000</v>
      </c>
      <c r="AG241" s="131">
        <f t="shared" si="477"/>
        <v>3000</v>
      </c>
      <c r="AH241" s="12"/>
      <c r="AI241" s="12"/>
      <c r="AJ241" s="12"/>
      <c r="AK241" s="12"/>
    </row>
    <row r="242" spans="1:37" ht="13.5" customHeight="1">
      <c r="A242" s="211"/>
      <c r="B242" s="12"/>
      <c r="C242" s="12"/>
      <c r="D242" s="12"/>
      <c r="E242" s="12"/>
      <c r="F242" s="261"/>
      <c r="G242" s="261"/>
      <c r="H242" s="261"/>
      <c r="I242" s="385"/>
      <c r="J242" s="12"/>
      <c r="K242" s="261"/>
      <c r="L242" s="261"/>
      <c r="M242" s="261"/>
      <c r="N242" s="386"/>
      <c r="O242" s="12"/>
      <c r="P242" s="261"/>
      <c r="Q242" s="261"/>
      <c r="R242" s="387"/>
      <c r="S242" s="261"/>
      <c r="T242" s="12"/>
      <c r="U242" s="261"/>
      <c r="V242" s="261"/>
      <c r="W242" s="383"/>
      <c r="X242" s="262"/>
      <c r="Y242" s="12"/>
      <c r="Z242" s="262"/>
      <c r="AA242" s="262"/>
      <c r="AB242" s="262"/>
      <c r="AC242" s="262"/>
      <c r="AD242" s="12"/>
      <c r="AE242" s="12"/>
      <c r="AF242" s="12"/>
      <c r="AG242" s="12"/>
      <c r="AH242" s="12"/>
      <c r="AI242" s="12"/>
      <c r="AJ242" s="12"/>
      <c r="AK242" s="12"/>
    </row>
    <row r="243" spans="1:37" ht="13.5" customHeight="1">
      <c r="A243" s="211"/>
      <c r="B243" s="12"/>
      <c r="C243" s="12" t="s">
        <v>402</v>
      </c>
      <c r="D243" s="12"/>
      <c r="E243" s="12"/>
      <c r="F243" s="261"/>
      <c r="G243" s="261"/>
      <c r="H243" s="261"/>
      <c r="I243" s="261"/>
      <c r="J243" s="12"/>
      <c r="K243" s="261"/>
      <c r="L243" s="261"/>
      <c r="M243" s="261"/>
      <c r="N243" s="387"/>
      <c r="O243" s="12"/>
      <c r="P243" s="261"/>
      <c r="Q243" s="261"/>
      <c r="R243" s="387"/>
      <c r="S243" s="388"/>
      <c r="T243" s="12"/>
      <c r="U243" s="261"/>
      <c r="V243" s="261"/>
      <c r="W243" s="386"/>
      <c r="X243" s="262"/>
      <c r="Y243" s="12"/>
      <c r="Z243" s="262"/>
      <c r="AA243" s="262"/>
      <c r="AB243" s="262"/>
      <c r="AC243" s="262"/>
      <c r="AD243" s="12"/>
      <c r="AE243" s="12"/>
      <c r="AF243" s="12"/>
      <c r="AG243" s="12"/>
      <c r="AH243" s="12"/>
      <c r="AI243" s="12"/>
      <c r="AJ243" s="12"/>
      <c r="AK243" s="12"/>
    </row>
    <row r="244" spans="1:37" ht="13.5" customHeight="1">
      <c r="A244" s="211"/>
      <c r="B244" s="12"/>
      <c r="C244" s="108" t="s">
        <v>403</v>
      </c>
      <c r="D244" s="12"/>
      <c r="E244" s="12"/>
      <c r="F244" s="261"/>
      <c r="G244" s="261"/>
      <c r="H244" s="261"/>
      <c r="I244" s="261"/>
      <c r="J244" s="12"/>
      <c r="K244" s="261"/>
      <c r="L244" s="261"/>
      <c r="M244" s="261"/>
      <c r="N244" s="387"/>
      <c r="O244" s="12"/>
      <c r="P244" s="261"/>
      <c r="Q244" s="261"/>
      <c r="R244" s="387"/>
      <c r="S244" s="261"/>
      <c r="T244" s="12"/>
      <c r="U244" s="261"/>
      <c r="V244" s="261"/>
      <c r="W244" s="387"/>
      <c r="X244" s="227">
        <f>W247</f>
        <v>343</v>
      </c>
      <c r="Y244" s="228"/>
      <c r="Z244" s="227">
        <f t="shared" ref="Z244:AC244" si="478">Y247</f>
        <v>394.3</v>
      </c>
      <c r="AA244" s="227">
        <f t="shared" si="478"/>
        <v>454.834</v>
      </c>
      <c r="AB244" s="227">
        <f t="shared" si="478"/>
        <v>523.84276</v>
      </c>
      <c r="AC244" s="227">
        <f t="shared" si="478"/>
        <v>584.57046879999996</v>
      </c>
      <c r="AD244" s="228">
        <f>Y247</f>
        <v>394.3</v>
      </c>
      <c r="AE244" s="228">
        <f t="shared" ref="AE244:AG244" si="479">AD247</f>
        <v>642.26179216000003</v>
      </c>
      <c r="AF244" s="228">
        <f t="shared" si="479"/>
        <v>895.18282016319995</v>
      </c>
      <c r="AG244" s="228">
        <f t="shared" si="479"/>
        <v>1153.1622687264639</v>
      </c>
      <c r="AH244" s="12"/>
      <c r="AI244" s="12"/>
      <c r="AJ244" s="12"/>
      <c r="AK244" s="12"/>
    </row>
    <row r="245" spans="1:37" ht="13.5" customHeight="1">
      <c r="A245" s="211"/>
      <c r="B245" s="12"/>
      <c r="C245" s="108" t="s">
        <v>404</v>
      </c>
      <c r="D245" s="12"/>
      <c r="E245" s="12"/>
      <c r="F245" s="359">
        <v>0</v>
      </c>
      <c r="G245" s="359">
        <v>0</v>
      </c>
      <c r="H245" s="359">
        <v>0</v>
      </c>
      <c r="I245" s="359">
        <v>0</v>
      </c>
      <c r="J245" s="275">
        <f t="shared" ref="J245:J246" si="480">SUM(F245:I245)</f>
        <v>0</v>
      </c>
      <c r="K245" s="359">
        <v>0</v>
      </c>
      <c r="L245" s="359">
        <v>0</v>
      </c>
      <c r="M245" s="359">
        <v>0</v>
      </c>
      <c r="N245" s="389">
        <v>0</v>
      </c>
      <c r="O245" s="275">
        <f t="shared" ref="O245:O246" si="481">SUM(K245:N245)</f>
        <v>0</v>
      </c>
      <c r="P245" s="359">
        <v>0</v>
      </c>
      <c r="Q245" s="359">
        <v>0</v>
      </c>
      <c r="R245" s="389">
        <v>0</v>
      </c>
      <c r="S245" s="359">
        <v>0</v>
      </c>
      <c r="T245" s="275">
        <f t="shared" ref="T245:T246" si="482">SUM(P245:S245)</f>
        <v>0</v>
      </c>
      <c r="U245" s="359">
        <v>0</v>
      </c>
      <c r="V245" s="359">
        <v>0</v>
      </c>
      <c r="W245" s="389">
        <v>0</v>
      </c>
      <c r="X245" s="276">
        <f>X271*X239</f>
        <v>0</v>
      </c>
      <c r="Y245" s="275">
        <f t="shared" ref="Y245:Y246" si="483">SUM(U245:X245)</f>
        <v>0</v>
      </c>
      <c r="Z245" s="276">
        <f t="shared" ref="Z245:AC245" si="484">Z271*Z239</f>
        <v>0</v>
      </c>
      <c r="AA245" s="276">
        <f t="shared" si="484"/>
        <v>0</v>
      </c>
      <c r="AB245" s="276">
        <f t="shared" si="484"/>
        <v>0</v>
      </c>
      <c r="AC245" s="276">
        <f t="shared" si="484"/>
        <v>0</v>
      </c>
      <c r="AD245" s="275">
        <f t="shared" ref="AD245:AD246" si="485">SUM(Z245:AC245)</f>
        <v>0</v>
      </c>
      <c r="AE245" s="275">
        <f t="shared" ref="AE245:AG245" si="486">AE271*AE239</f>
        <v>0</v>
      </c>
      <c r="AF245" s="275">
        <f t="shared" si="486"/>
        <v>0</v>
      </c>
      <c r="AG245" s="275">
        <f t="shared" si="486"/>
        <v>0</v>
      </c>
      <c r="AH245" s="12"/>
      <c r="AI245" s="12"/>
      <c r="AJ245" s="12"/>
      <c r="AK245" s="12"/>
    </row>
    <row r="246" spans="1:37" ht="13.5" customHeight="1">
      <c r="A246" s="211"/>
      <c r="B246" s="12"/>
      <c r="C246" s="108" t="s">
        <v>405</v>
      </c>
      <c r="D246" s="12"/>
      <c r="E246" s="12"/>
      <c r="F246" s="300">
        <v>99.099000000000004</v>
      </c>
      <c r="G246" s="300">
        <f>62-F246</f>
        <v>-37.099000000000004</v>
      </c>
      <c r="H246" s="300">
        <f>79-SUM(F246:G246)</f>
        <v>17</v>
      </c>
      <c r="I246" s="300">
        <v>82.519000000000005</v>
      </c>
      <c r="J246" s="301">
        <f t="shared" si="480"/>
        <v>161.51900000000001</v>
      </c>
      <c r="K246" s="300">
        <v>76.344999999999999</v>
      </c>
      <c r="L246" s="300">
        <f>51-K246</f>
        <v>-25.344999999999999</v>
      </c>
      <c r="M246" s="300">
        <v>65.650000000000006</v>
      </c>
      <c r="N246" s="313">
        <f>272.6-SUM(K246:M246)</f>
        <v>155.95000000000002</v>
      </c>
      <c r="O246" s="301">
        <f t="shared" si="481"/>
        <v>272.60000000000002</v>
      </c>
      <c r="P246" s="300">
        <v>71.977000000000004</v>
      </c>
      <c r="Q246" s="300">
        <v>80.861999999999995</v>
      </c>
      <c r="R246" s="313">
        <v>80.986000000000004</v>
      </c>
      <c r="S246" s="300">
        <f>368.4-SUM(P246:R246)</f>
        <v>134.57499999999999</v>
      </c>
      <c r="T246" s="301">
        <f t="shared" si="482"/>
        <v>368.4</v>
      </c>
      <c r="U246" s="300">
        <v>140.405</v>
      </c>
      <c r="V246" s="300">
        <f>115-U246</f>
        <v>-25.405000000000001</v>
      </c>
      <c r="W246" s="313">
        <f>169-SUM(U246:V246)</f>
        <v>54</v>
      </c>
      <c r="X246" s="302">
        <f>X249*X28</f>
        <v>51.3</v>
      </c>
      <c r="Y246" s="301">
        <f t="shared" si="483"/>
        <v>220.3</v>
      </c>
      <c r="Z246" s="302">
        <f t="shared" ref="Z246:AC246" si="487">Z249*Z28</f>
        <v>60.533999999999999</v>
      </c>
      <c r="AA246" s="302">
        <f t="shared" si="487"/>
        <v>69.008759999999995</v>
      </c>
      <c r="AB246" s="302">
        <f t="shared" si="487"/>
        <v>60.727708800000002</v>
      </c>
      <c r="AC246" s="302">
        <f t="shared" si="487"/>
        <v>57.691323359999998</v>
      </c>
      <c r="AD246" s="301">
        <f t="shared" si="485"/>
        <v>247.96179216000002</v>
      </c>
      <c r="AE246" s="301">
        <f t="shared" ref="AE246:AG246" si="488">AE249*AE28</f>
        <v>252.92102800319995</v>
      </c>
      <c r="AF246" s="301">
        <f t="shared" si="488"/>
        <v>257.97944856326399</v>
      </c>
      <c r="AG246" s="301">
        <f t="shared" si="488"/>
        <v>263.13903753452922</v>
      </c>
      <c r="AH246" s="12"/>
      <c r="AI246" s="12"/>
      <c r="AJ246" s="12"/>
      <c r="AK246" s="12"/>
    </row>
    <row r="247" spans="1:37" ht="13.5" customHeight="1">
      <c r="A247" s="211"/>
      <c r="B247" s="12"/>
      <c r="C247" s="108" t="s">
        <v>406</v>
      </c>
      <c r="D247" s="12"/>
      <c r="E247" s="12"/>
      <c r="F247" s="299">
        <f t="shared" ref="F247:W247" si="489">F147</f>
        <v>3533.4749999999999</v>
      </c>
      <c r="G247" s="299">
        <f t="shared" si="489"/>
        <v>2997.4549999999999</v>
      </c>
      <c r="H247" s="299">
        <f t="shared" si="489"/>
        <v>611.75</v>
      </c>
      <c r="I247" s="299">
        <f t="shared" si="489"/>
        <v>-1777.028</v>
      </c>
      <c r="J247" s="228">
        <f t="shared" si="489"/>
        <v>-1777.028</v>
      </c>
      <c r="K247" s="299">
        <f t="shared" si="489"/>
        <v>-3444.2060000000001</v>
      </c>
      <c r="L247" s="299">
        <f t="shared" si="489"/>
        <v>-4866.9939999999997</v>
      </c>
      <c r="M247" s="299">
        <f t="shared" si="489"/>
        <v>-6366.9520000000002</v>
      </c>
      <c r="N247" s="390">
        <f t="shared" si="489"/>
        <v>-6919.5119999999997</v>
      </c>
      <c r="O247" s="228">
        <f t="shared" si="489"/>
        <v>-6919.5119999999997</v>
      </c>
      <c r="P247" s="299">
        <f t="shared" si="489"/>
        <v>-10077.459999999999</v>
      </c>
      <c r="Q247" s="299">
        <f t="shared" si="489"/>
        <v>-11460.114</v>
      </c>
      <c r="R247" s="390">
        <f t="shared" si="489"/>
        <v>-13190.306</v>
      </c>
      <c r="S247" s="299">
        <f t="shared" si="489"/>
        <v>-15086.248</v>
      </c>
      <c r="T247" s="228">
        <f t="shared" si="489"/>
        <v>-15086.248</v>
      </c>
      <c r="U247" s="299">
        <f t="shared" si="489"/>
        <v>-16203.478999999999</v>
      </c>
      <c r="V247" s="299">
        <f t="shared" si="489"/>
        <v>350</v>
      </c>
      <c r="W247" s="390">
        <f t="shared" si="489"/>
        <v>343</v>
      </c>
      <c r="X247" s="227">
        <f>SUM(X244:X246)</f>
        <v>394.3</v>
      </c>
      <c r="Y247" s="228">
        <f>X247</f>
        <v>394.3</v>
      </c>
      <c r="Z247" s="227">
        <f t="shared" ref="Z247:AG247" si="490">SUM(Z244:Z246)</f>
        <v>454.834</v>
      </c>
      <c r="AA247" s="227">
        <f t="shared" si="490"/>
        <v>523.84276</v>
      </c>
      <c r="AB247" s="227">
        <f t="shared" si="490"/>
        <v>584.57046879999996</v>
      </c>
      <c r="AC247" s="227">
        <f t="shared" si="490"/>
        <v>642.26179215999991</v>
      </c>
      <c r="AD247" s="228">
        <f t="shared" si="490"/>
        <v>642.26179216000003</v>
      </c>
      <c r="AE247" s="228">
        <f t="shared" si="490"/>
        <v>895.18282016319995</v>
      </c>
      <c r="AF247" s="228">
        <f t="shared" si="490"/>
        <v>1153.1622687264639</v>
      </c>
      <c r="AG247" s="228">
        <f t="shared" si="490"/>
        <v>1416.3013062609932</v>
      </c>
      <c r="AH247" s="12"/>
      <c r="AI247" s="12"/>
      <c r="AJ247" s="12"/>
      <c r="AK247" s="12"/>
    </row>
    <row r="248" spans="1:37" ht="13.5" customHeight="1">
      <c r="A248" s="211"/>
      <c r="B248" s="12"/>
      <c r="C248" s="12"/>
      <c r="D248" s="12"/>
      <c r="E248" s="12"/>
      <c r="F248" s="261"/>
      <c r="G248" s="261"/>
      <c r="H248" s="261"/>
      <c r="I248" s="261"/>
      <c r="J248" s="12"/>
      <c r="K248" s="261"/>
      <c r="L248" s="261"/>
      <c r="M248" s="261"/>
      <c r="N248" s="387"/>
      <c r="O248" s="12"/>
      <c r="P248" s="261"/>
      <c r="Q248" s="261"/>
      <c r="R248" s="387"/>
      <c r="S248" s="261"/>
      <c r="T248" s="12"/>
      <c r="U248" s="261"/>
      <c r="V248" s="261"/>
      <c r="W248" s="387"/>
      <c r="X248" s="262"/>
      <c r="Y248" s="12"/>
      <c r="Z248" s="262"/>
      <c r="AA248" s="262"/>
      <c r="AB248" s="262"/>
      <c r="AC248" s="262"/>
      <c r="AD248" s="12"/>
      <c r="AE248" s="12"/>
      <c r="AF248" s="12"/>
      <c r="AG248" s="12"/>
      <c r="AH248" s="12"/>
      <c r="AI248" s="12"/>
      <c r="AJ248" s="12"/>
      <c r="AK248" s="12"/>
    </row>
    <row r="249" spans="1:37" ht="13.5" customHeight="1">
      <c r="A249" s="211"/>
      <c r="B249" s="12"/>
      <c r="C249" s="89" t="s">
        <v>407</v>
      </c>
      <c r="D249" s="249"/>
      <c r="E249" s="249"/>
      <c r="F249" s="391">
        <f t="shared" ref="F249:W249" si="491">F246/F28</f>
        <v>1.2142248799026357E-2</v>
      </c>
      <c r="G249" s="391">
        <f t="shared" si="491"/>
        <v>-4.5312857069747404E-3</v>
      </c>
      <c r="H249" s="391">
        <f t="shared" si="491"/>
        <v>1.9902435917668539E-3</v>
      </c>
      <c r="I249" s="391">
        <f t="shared" si="491"/>
        <v>9.3423112084752048E-3</v>
      </c>
      <c r="J249" s="392">
        <f t="shared" si="491"/>
        <v>4.7895376303212578E-3</v>
      </c>
      <c r="K249" s="391">
        <f t="shared" si="491"/>
        <v>8.1474295764126341E-3</v>
      </c>
      <c r="L249" s="391">
        <f t="shared" si="491"/>
        <v>-2.6513419901645621E-3</v>
      </c>
      <c r="M249" s="391">
        <f t="shared" si="491"/>
        <v>6.6821358365743988E-3</v>
      </c>
      <c r="N249" s="393">
        <f t="shared" si="491"/>
        <v>1.5219811852090561E-2</v>
      </c>
      <c r="O249" s="392">
        <f t="shared" si="491"/>
        <v>6.9895704634598032E-3</v>
      </c>
      <c r="P249" s="391">
        <f t="shared" si="491"/>
        <v>6.827123076685219E-3</v>
      </c>
      <c r="Q249" s="391">
        <f t="shared" si="491"/>
        <v>7.2985638088643133E-3</v>
      </c>
      <c r="R249" s="393">
        <f t="shared" si="491"/>
        <v>7.0359548185812944E-3</v>
      </c>
      <c r="S249" s="391">
        <f t="shared" si="491"/>
        <v>1.1167343608644829E-2</v>
      </c>
      <c r="T249" s="392">
        <f t="shared" si="491"/>
        <v>8.1535025667597901E-3</v>
      </c>
      <c r="U249" s="391">
        <f t="shared" si="491"/>
        <v>1.1461860018937519E-2</v>
      </c>
      <c r="V249" s="391">
        <f t="shared" si="491"/>
        <v>-9.2147261516140738E-4</v>
      </c>
      <c r="W249" s="393">
        <f t="shared" si="491"/>
        <v>2.3562265468190942E-3</v>
      </c>
      <c r="X249" s="394">
        <f>W249</f>
        <v>2.3562265468190942E-3</v>
      </c>
      <c r="Y249" s="392">
        <f>Y246/Y28</f>
        <v>2.6067965065897582E-3</v>
      </c>
      <c r="Z249" s="394">
        <f>X249</f>
        <v>2.3562265468190942E-3</v>
      </c>
      <c r="AA249" s="394">
        <f t="shared" ref="AA249:AC249" si="492">Z249</f>
        <v>2.3562265468190942E-3</v>
      </c>
      <c r="AB249" s="394">
        <f t="shared" si="492"/>
        <v>2.3562265468190942E-3</v>
      </c>
      <c r="AC249" s="394">
        <f t="shared" si="492"/>
        <v>2.3562265468190942E-3</v>
      </c>
      <c r="AD249" s="392">
        <f>AD246/AD28</f>
        <v>2.3562265468190947E-3</v>
      </c>
      <c r="AE249" s="395">
        <f>AC249</f>
        <v>2.3562265468190942E-3</v>
      </c>
      <c r="AF249" s="395">
        <f t="shared" ref="AF249:AG249" si="493">AE249</f>
        <v>2.3562265468190942E-3</v>
      </c>
      <c r="AG249" s="395">
        <f t="shared" si="493"/>
        <v>2.3562265468190942E-3</v>
      </c>
      <c r="AH249" s="12"/>
      <c r="AI249" s="12"/>
      <c r="AJ249" s="12"/>
      <c r="AK249" s="12"/>
    </row>
    <row r="250" spans="1:37" ht="13.5" customHeight="1">
      <c r="A250" s="211"/>
      <c r="B250" s="12"/>
      <c r="C250" s="12"/>
      <c r="D250" s="12"/>
      <c r="E250" s="12"/>
      <c r="F250" s="261"/>
      <c r="G250" s="261"/>
      <c r="H250" s="261"/>
      <c r="I250" s="261"/>
      <c r="J250" s="12"/>
      <c r="K250" s="261"/>
      <c r="L250" s="261"/>
      <c r="M250" s="261"/>
      <c r="N250" s="387"/>
      <c r="O250" s="12"/>
      <c r="P250" s="261"/>
      <c r="Q250" s="261"/>
      <c r="R250" s="387"/>
      <c r="S250" s="261"/>
      <c r="T250" s="12"/>
      <c r="U250" s="261"/>
      <c r="V250" s="261"/>
      <c r="W250" s="387"/>
      <c r="X250" s="262"/>
      <c r="Y250" s="12"/>
      <c r="Z250" s="262"/>
      <c r="AA250" s="262"/>
      <c r="AB250" s="262"/>
      <c r="AC250" s="262"/>
      <c r="AD250" s="12"/>
      <c r="AE250" s="12"/>
      <c r="AF250" s="12"/>
      <c r="AG250" s="12"/>
      <c r="AH250" s="12"/>
      <c r="AI250" s="12"/>
      <c r="AJ250" s="12"/>
      <c r="AK250" s="12"/>
    </row>
    <row r="251" spans="1:37" ht="13.5" customHeight="1">
      <c r="A251" s="211"/>
      <c r="B251" s="12"/>
      <c r="C251" s="12" t="s">
        <v>352</v>
      </c>
      <c r="D251" s="12"/>
      <c r="E251" s="12"/>
      <c r="F251" s="261"/>
      <c r="G251" s="261"/>
      <c r="H251" s="261"/>
      <c r="I251" s="261"/>
      <c r="J251" s="12"/>
      <c r="K251" s="261"/>
      <c r="L251" s="261"/>
      <c r="M251" s="261"/>
      <c r="N251" s="387"/>
      <c r="O251" s="12"/>
      <c r="P251" s="261"/>
      <c r="Q251" s="261"/>
      <c r="R251" s="387"/>
      <c r="S251" s="261"/>
      <c r="T251" s="12"/>
      <c r="U251" s="261"/>
      <c r="V251" s="261"/>
      <c r="W251" s="387"/>
      <c r="X251" s="262"/>
      <c r="Y251" s="12"/>
      <c r="Z251" s="262"/>
      <c r="AA251" s="262"/>
      <c r="AB251" s="262"/>
      <c r="AC251" s="262"/>
      <c r="AD251" s="12"/>
      <c r="AE251" s="12"/>
      <c r="AF251" s="12"/>
      <c r="AG251" s="12"/>
      <c r="AH251" s="12"/>
      <c r="AI251" s="12"/>
      <c r="AJ251" s="12"/>
      <c r="AK251" s="12"/>
    </row>
    <row r="252" spans="1:37" ht="13.5" customHeight="1">
      <c r="A252" s="211"/>
      <c r="B252" s="12"/>
      <c r="C252" s="108" t="s">
        <v>403</v>
      </c>
      <c r="D252" s="12"/>
      <c r="E252" s="12"/>
      <c r="F252" s="362">
        <f t="shared" ref="F252:I252" si="494">E256</f>
        <v>0</v>
      </c>
      <c r="G252" s="299">
        <f t="shared" si="494"/>
        <v>18486.416000000001</v>
      </c>
      <c r="H252" s="299">
        <f t="shared" si="494"/>
        <v>19974.026000000002</v>
      </c>
      <c r="I252" s="299">
        <f t="shared" si="494"/>
        <v>21651.448</v>
      </c>
      <c r="J252" s="228">
        <f>F252</f>
        <v>0</v>
      </c>
      <c r="K252" s="299">
        <f t="shared" ref="K252:N252" si="495">J256</f>
        <v>22589.286</v>
      </c>
      <c r="L252" s="299">
        <f t="shared" si="495"/>
        <v>24921.494999999999</v>
      </c>
      <c r="M252" s="299">
        <f t="shared" si="495"/>
        <v>27068.800999999999</v>
      </c>
      <c r="N252" s="390">
        <f t="shared" si="495"/>
        <v>29432.31</v>
      </c>
      <c r="O252" s="228">
        <f>K252</f>
        <v>22589.286</v>
      </c>
      <c r="P252" s="299">
        <f t="shared" ref="P252:S252" si="496">O256</f>
        <v>31300.917000000001</v>
      </c>
      <c r="Q252" s="299">
        <f t="shared" si="496"/>
        <v>34191.267999999996</v>
      </c>
      <c r="R252" s="390">
        <f t="shared" si="496"/>
        <v>37316.680999999997</v>
      </c>
      <c r="S252" s="299">
        <f t="shared" si="496"/>
        <v>39863.597000000002</v>
      </c>
      <c r="T252" s="228">
        <f>P252</f>
        <v>31300.917000000001</v>
      </c>
      <c r="U252" s="299">
        <f t="shared" ref="U252:X252" si="497">T256</f>
        <v>42282.118000000002</v>
      </c>
      <c r="V252" s="299">
        <f t="shared" si="497"/>
        <v>47564.909</v>
      </c>
      <c r="W252" s="390">
        <f t="shared" si="497"/>
        <v>-460</v>
      </c>
      <c r="X252" s="227">
        <f t="shared" si="497"/>
        <v>-1913</v>
      </c>
      <c r="Y252" s="228">
        <f>T256</f>
        <v>42282.118000000002</v>
      </c>
      <c r="Z252" s="227" t="str">
        <f t="shared" ref="Z252:AC252" ca="1" si="498">Y256</f>
        <v/>
      </c>
      <c r="AA252" s="227" t="str">
        <f t="shared" ca="1" si="498"/>
        <v>#REF!</v>
      </c>
      <c r="AB252" s="227" t="str">
        <f t="shared" ca="1" si="498"/>
        <v>#REF!</v>
      </c>
      <c r="AC252" s="227" t="str">
        <f t="shared" ca="1" si="498"/>
        <v>#REF!</v>
      </c>
      <c r="AD252" s="228" t="str">
        <f ca="1">Y256</f>
        <v/>
      </c>
      <c r="AE252" s="228" t="str">
        <f t="shared" ref="AE252:AG252" ca="1" si="499">AD256</f>
        <v/>
      </c>
      <c r="AF252" s="228" t="str">
        <f t="shared" ca="1" si="499"/>
        <v>#REF!</v>
      </c>
      <c r="AG252" s="228" t="str">
        <f t="shared" ca="1" si="499"/>
        <v>#REF!</v>
      </c>
      <c r="AH252" s="12"/>
      <c r="AI252" s="12"/>
      <c r="AJ252" s="12"/>
      <c r="AK252" s="12"/>
    </row>
    <row r="253" spans="1:37" ht="13.5" customHeight="1">
      <c r="A253" s="211"/>
      <c r="B253" s="12"/>
      <c r="C253" s="108" t="s">
        <v>300</v>
      </c>
      <c r="D253" s="12"/>
      <c r="E253" s="12"/>
      <c r="F253" s="330">
        <f t="shared" ref="F253:I253" si="500">F45</f>
        <v>1305.1200000000003</v>
      </c>
      <c r="G253" s="330">
        <f t="shared" si="500"/>
        <v>1487.61</v>
      </c>
      <c r="H253" s="330">
        <f t="shared" si="500"/>
        <v>1677.422</v>
      </c>
      <c r="I253" s="330">
        <f t="shared" si="500"/>
        <v>-10929.093999999997</v>
      </c>
      <c r="J253" s="131">
        <f t="shared" ref="J253:J255" si="501">SUM(F253:I253)</f>
        <v>-6458.9419999999973</v>
      </c>
      <c r="K253" s="330">
        <f t="shared" ref="K253:N253" si="502">K45</f>
        <v>2332.2090000000003</v>
      </c>
      <c r="L253" s="330">
        <f t="shared" si="502"/>
        <v>2147.3059999999996</v>
      </c>
      <c r="M253" s="330">
        <f t="shared" si="502"/>
        <v>2363.5089999999996</v>
      </c>
      <c r="N253" s="383">
        <f t="shared" si="502"/>
        <v>1868.607</v>
      </c>
      <c r="O253" s="131">
        <f t="shared" ref="O253:O255" si="503">SUM(K253:N253)</f>
        <v>8711.6309999999994</v>
      </c>
      <c r="P253" s="330">
        <f t="shared" ref="P253:S253" si="504">P45</f>
        <v>2890.3510000000001</v>
      </c>
      <c r="Q253" s="330">
        <f t="shared" si="504"/>
        <v>3125.413</v>
      </c>
      <c r="R253" s="383">
        <f t="shared" si="504"/>
        <v>2546.9160000000002</v>
      </c>
      <c r="S253" s="330">
        <f t="shared" si="504"/>
        <v>2418.5210000000006</v>
      </c>
      <c r="T253" s="131">
        <f t="shared" ref="T253:T255" si="505">SUM(P253:S253)</f>
        <v>10981.201000000001</v>
      </c>
      <c r="U253" s="330">
        <f t="shared" ref="U253:X253" si="506">U45</f>
        <v>5282.7910000000002</v>
      </c>
      <c r="V253" s="330">
        <f t="shared" si="506"/>
        <v>3018</v>
      </c>
      <c r="W253" s="383">
        <f t="shared" si="506"/>
        <v>1896</v>
      </c>
      <c r="X253" s="305" t="str">
        <f t="shared" ca="1" si="506"/>
        <v>#REF!</v>
      </c>
      <c r="Y253" s="131" t="str">
        <f t="shared" ref="Y253:Y255" ca="1" si="507">SUM(U253:X253)</f>
        <v/>
      </c>
      <c r="Z253" s="305" t="str">
        <f t="shared" ref="Z253:AC253" ca="1" si="508">Z45</f>
        <v/>
      </c>
      <c r="AA253" s="305" t="str">
        <f t="shared" ca="1" si="508"/>
        <v>#REF!</v>
      </c>
      <c r="AB253" s="305" t="str">
        <f t="shared" ca="1" si="508"/>
        <v>#REF!</v>
      </c>
      <c r="AC253" s="305" t="str">
        <f t="shared" ca="1" si="508"/>
        <v>#REF!</v>
      </c>
      <c r="AD253" s="131" t="str">
        <f t="shared" ref="AD253:AD255" ca="1" si="509">SUM(Z253:AC253)</f>
        <v/>
      </c>
      <c r="AE253" s="131" t="str">
        <f t="shared" ref="AE253:AG253" ca="1" si="510">AE45</f>
        <v/>
      </c>
      <c r="AF253" s="131" t="str">
        <f t="shared" ca="1" si="510"/>
        <v>#REF!</v>
      </c>
      <c r="AG253" s="131" t="str">
        <f t="shared" ca="1" si="510"/>
        <v>#REF!</v>
      </c>
      <c r="AH253" s="12"/>
      <c r="AI253" s="12"/>
      <c r="AJ253" s="12"/>
      <c r="AK253" s="12"/>
    </row>
    <row r="254" spans="1:37" ht="13.5" customHeight="1">
      <c r="A254" s="211"/>
      <c r="B254" s="12"/>
      <c r="C254" s="108" t="s">
        <v>408</v>
      </c>
      <c r="D254" s="12"/>
      <c r="E254" s="12"/>
      <c r="F254" s="384">
        <v>-340</v>
      </c>
      <c r="G254" s="384">
        <v>-338</v>
      </c>
      <c r="H254" s="304">
        <v>-390</v>
      </c>
      <c r="I254" s="304">
        <v>-387</v>
      </c>
      <c r="J254" s="131">
        <f t="shared" si="501"/>
        <v>-1455</v>
      </c>
      <c r="K254" s="304">
        <v>-385</v>
      </c>
      <c r="L254" s="304">
        <v>-382</v>
      </c>
      <c r="M254" s="304">
        <v>-428</v>
      </c>
      <c r="N254" s="384">
        <v>-423</v>
      </c>
      <c r="O254" s="131">
        <f t="shared" si="503"/>
        <v>-1618</v>
      </c>
      <c r="P254" s="304">
        <v>-420</v>
      </c>
      <c r="Q254" s="304">
        <v>-416</v>
      </c>
      <c r="R254" s="384">
        <v>-416</v>
      </c>
      <c r="S254" s="304">
        <v>-452</v>
      </c>
      <c r="T254" s="131">
        <f t="shared" si="505"/>
        <v>-1704</v>
      </c>
      <c r="U254" s="304">
        <v>-440</v>
      </c>
      <c r="V254" s="304">
        <f>-870-U254</f>
        <v>-430</v>
      </c>
      <c r="W254" s="384">
        <f>-1433-SUM(U254:V254)</f>
        <v>-563</v>
      </c>
      <c r="X254" s="305">
        <f>-X267</f>
        <v>-519.79999999999995</v>
      </c>
      <c r="Y254" s="131">
        <f t="shared" si="507"/>
        <v>-1952.8</v>
      </c>
      <c r="Z254" s="305">
        <f t="shared" ref="Z254:AC254" si="511">-Z267</f>
        <v>-505.99999999999994</v>
      </c>
      <c r="AA254" s="305">
        <f t="shared" si="511"/>
        <v>-494.49999999999994</v>
      </c>
      <c r="AB254" s="305">
        <f t="shared" si="511"/>
        <v>-647.44999999999993</v>
      </c>
      <c r="AC254" s="305">
        <f t="shared" si="511"/>
        <v>-597.76999999999987</v>
      </c>
      <c r="AD254" s="131">
        <f t="shared" si="509"/>
        <v>-2245.7199999999998</v>
      </c>
      <c r="AE254" s="131">
        <f t="shared" ref="AE254:AG254" si="512">-AE267</f>
        <v>-2470.2919999999999</v>
      </c>
      <c r="AF254" s="131">
        <f t="shared" si="512"/>
        <v>-2717.3212000000003</v>
      </c>
      <c r="AG254" s="131">
        <f t="shared" si="512"/>
        <v>-2989.0533200000004</v>
      </c>
      <c r="AH254" s="12"/>
      <c r="AI254" s="12"/>
      <c r="AJ254" s="12"/>
      <c r="AK254" s="12"/>
    </row>
    <row r="255" spans="1:37" ht="13.5" customHeight="1">
      <c r="A255" s="211"/>
      <c r="B255" s="12"/>
      <c r="C255" s="108" t="s">
        <v>409</v>
      </c>
      <c r="D255" s="12"/>
      <c r="E255" s="12"/>
      <c r="F255" s="318">
        <f t="shared" ref="F255:I255" si="513">F256-SUM(F252:F254)</f>
        <v>17521.296000000002</v>
      </c>
      <c r="G255" s="318">
        <f t="shared" si="513"/>
        <v>338</v>
      </c>
      <c r="H255" s="318">
        <f t="shared" si="513"/>
        <v>390</v>
      </c>
      <c r="I255" s="318">
        <f t="shared" si="513"/>
        <v>12253.931999999997</v>
      </c>
      <c r="J255" s="301">
        <f t="shared" si="501"/>
        <v>30503.227999999999</v>
      </c>
      <c r="K255" s="318">
        <f t="shared" ref="K255:N255" si="514">K256-SUM(K252:K254)</f>
        <v>385</v>
      </c>
      <c r="L255" s="318">
        <f t="shared" si="514"/>
        <v>382</v>
      </c>
      <c r="M255" s="318">
        <f t="shared" si="514"/>
        <v>428.00000000000364</v>
      </c>
      <c r="N255" s="396">
        <f t="shared" si="514"/>
        <v>423</v>
      </c>
      <c r="O255" s="301">
        <f t="shared" si="503"/>
        <v>1618.0000000000036</v>
      </c>
      <c r="P255" s="318">
        <f t="shared" ref="P255:S255" si="515">P256-SUM(P252:P254)</f>
        <v>419.99999999999272</v>
      </c>
      <c r="Q255" s="318">
        <f t="shared" si="515"/>
        <v>416</v>
      </c>
      <c r="R255" s="396">
        <f t="shared" si="515"/>
        <v>416.00000000000728</v>
      </c>
      <c r="S255" s="318">
        <f t="shared" si="515"/>
        <v>452</v>
      </c>
      <c r="T255" s="301">
        <f t="shared" si="505"/>
        <v>1704</v>
      </c>
      <c r="U255" s="318">
        <f t="shared" ref="U255:W255" si="516">U256-SUM(U252:U254)</f>
        <v>440</v>
      </c>
      <c r="V255" s="318">
        <f t="shared" si="516"/>
        <v>-50612.909</v>
      </c>
      <c r="W255" s="396">
        <f t="shared" si="516"/>
        <v>-2786</v>
      </c>
      <c r="X255" s="314">
        <v>0</v>
      </c>
      <c r="Y255" s="301">
        <f t="shared" si="507"/>
        <v>-52958.909</v>
      </c>
      <c r="Z255" s="314">
        <v>0</v>
      </c>
      <c r="AA255" s="314">
        <v>0</v>
      </c>
      <c r="AB255" s="314">
        <v>0</v>
      </c>
      <c r="AC255" s="314">
        <v>0</v>
      </c>
      <c r="AD255" s="301">
        <f t="shared" si="509"/>
        <v>0</v>
      </c>
      <c r="AE255" s="315">
        <v>0</v>
      </c>
      <c r="AF255" s="315">
        <v>0</v>
      </c>
      <c r="AG255" s="315">
        <v>0</v>
      </c>
      <c r="AH255" s="12"/>
      <c r="AI255" s="12"/>
      <c r="AJ255" s="12"/>
      <c r="AK255" s="12"/>
    </row>
    <row r="256" spans="1:37" ht="13.5" customHeight="1">
      <c r="A256" s="211"/>
      <c r="B256" s="12"/>
      <c r="C256" s="108" t="s">
        <v>406</v>
      </c>
      <c r="D256" s="12"/>
      <c r="E256" s="12"/>
      <c r="F256" s="299">
        <f t="shared" ref="F256:W256" si="517">F148</f>
        <v>18486.416000000001</v>
      </c>
      <c r="G256" s="299">
        <f t="shared" si="517"/>
        <v>19974.026000000002</v>
      </c>
      <c r="H256" s="299">
        <f t="shared" si="517"/>
        <v>21651.448</v>
      </c>
      <c r="I256" s="299">
        <f t="shared" si="517"/>
        <v>22589.286</v>
      </c>
      <c r="J256" s="228">
        <f t="shared" si="517"/>
        <v>22589.286</v>
      </c>
      <c r="K256" s="299">
        <f t="shared" si="517"/>
        <v>24921.494999999999</v>
      </c>
      <c r="L256" s="299">
        <f t="shared" si="517"/>
        <v>27068.800999999999</v>
      </c>
      <c r="M256" s="299">
        <f t="shared" si="517"/>
        <v>29432.31</v>
      </c>
      <c r="N256" s="390">
        <f t="shared" si="517"/>
        <v>31300.917000000001</v>
      </c>
      <c r="O256" s="228">
        <f t="shared" si="517"/>
        <v>31300.917000000001</v>
      </c>
      <c r="P256" s="299">
        <f t="shared" si="517"/>
        <v>34191.267999999996</v>
      </c>
      <c r="Q256" s="299">
        <f t="shared" si="517"/>
        <v>37316.680999999997</v>
      </c>
      <c r="R256" s="390">
        <f t="shared" si="517"/>
        <v>39863.597000000002</v>
      </c>
      <c r="S256" s="299">
        <f t="shared" si="517"/>
        <v>42282.118000000002</v>
      </c>
      <c r="T256" s="228">
        <f t="shared" si="517"/>
        <v>42282.118000000002</v>
      </c>
      <c r="U256" s="299">
        <f t="shared" si="517"/>
        <v>47564.909</v>
      </c>
      <c r="V256" s="299">
        <f t="shared" si="517"/>
        <v>-460</v>
      </c>
      <c r="W256" s="390">
        <f t="shared" si="517"/>
        <v>-1913</v>
      </c>
      <c r="X256" s="227" t="str">
        <f t="shared" ref="X256:AG256" ca="1" si="518">SUM(X252:X255)</f>
        <v/>
      </c>
      <c r="Y256" s="228" t="str">
        <f t="shared" ca="1" si="518"/>
        <v>#REF!</v>
      </c>
      <c r="Z256" s="227" t="str">
        <f t="shared" ca="1" si="518"/>
        <v>#REF!</v>
      </c>
      <c r="AA256" s="227" t="str">
        <f t="shared" ca="1" si="518"/>
        <v>#REF!</v>
      </c>
      <c r="AB256" s="227" t="str">
        <f t="shared" ca="1" si="518"/>
        <v>#REF!</v>
      </c>
      <c r="AC256" s="227" t="str">
        <f t="shared" ca="1" si="518"/>
        <v>#REF!</v>
      </c>
      <c r="AD256" s="228" t="str">
        <f t="shared" ca="1" si="518"/>
        <v>#REF!</v>
      </c>
      <c r="AE256" s="228" t="str">
        <f t="shared" ca="1" si="518"/>
        <v>#REF!</v>
      </c>
      <c r="AF256" s="228" t="str">
        <f t="shared" ca="1" si="518"/>
        <v>#REF!</v>
      </c>
      <c r="AG256" s="228" t="str">
        <f t="shared" ca="1" si="518"/>
        <v>#REF!</v>
      </c>
      <c r="AH256" s="12"/>
      <c r="AI256" s="12"/>
      <c r="AJ256" s="12"/>
      <c r="AK256" s="12"/>
    </row>
    <row r="257" spans="1:37" ht="13.5" customHeight="1">
      <c r="A257" s="211"/>
      <c r="B257" s="12"/>
      <c r="C257" s="12"/>
      <c r="D257" s="12"/>
      <c r="E257" s="12"/>
      <c r="F257" s="261"/>
      <c r="G257" s="261"/>
      <c r="H257" s="261"/>
      <c r="I257" s="261"/>
      <c r="J257" s="12"/>
      <c r="K257" s="261"/>
      <c r="L257" s="261"/>
      <c r="M257" s="261"/>
      <c r="N257" s="387"/>
      <c r="O257" s="12"/>
      <c r="P257" s="261"/>
      <c r="Q257" s="261"/>
      <c r="R257" s="387"/>
      <c r="S257" s="261"/>
      <c r="T257" s="12"/>
      <c r="U257" s="261"/>
      <c r="V257" s="261"/>
      <c r="W257" s="387"/>
      <c r="X257" s="262"/>
      <c r="Y257" s="12"/>
      <c r="Z257" s="262"/>
      <c r="AA257" s="262"/>
      <c r="AB257" s="262"/>
      <c r="AC257" s="262"/>
      <c r="AD257" s="12"/>
      <c r="AE257" s="12"/>
      <c r="AF257" s="12"/>
      <c r="AG257" s="12"/>
      <c r="AH257" s="12"/>
      <c r="AI257" s="12"/>
      <c r="AJ257" s="12"/>
      <c r="AK257" s="12"/>
    </row>
    <row r="258" spans="1:37" ht="13.5" customHeight="1">
      <c r="A258" s="211"/>
      <c r="B258" s="12"/>
      <c r="C258" s="12" t="s">
        <v>410</v>
      </c>
      <c r="D258" s="12"/>
      <c r="E258" s="12"/>
      <c r="F258" s="261"/>
      <c r="G258" s="261"/>
      <c r="H258" s="261"/>
      <c r="I258" s="261"/>
      <c r="J258" s="12"/>
      <c r="K258" s="261"/>
      <c r="L258" s="261"/>
      <c r="M258" s="261"/>
      <c r="N258" s="387"/>
      <c r="O258" s="12"/>
      <c r="P258" s="261"/>
      <c r="Q258" s="261"/>
      <c r="R258" s="261"/>
      <c r="S258" s="261"/>
      <c r="T258" s="12"/>
      <c r="U258" s="261"/>
      <c r="V258" s="261"/>
      <c r="W258" s="261"/>
      <c r="X258" s="262"/>
      <c r="Y258" s="12"/>
      <c r="Z258" s="262"/>
      <c r="AA258" s="262"/>
      <c r="AB258" s="262"/>
      <c r="AC258" s="262"/>
      <c r="AD258" s="12"/>
      <c r="AE258" s="12"/>
      <c r="AF258" s="12"/>
      <c r="AG258" s="12"/>
      <c r="AH258" s="12"/>
      <c r="AI258" s="12"/>
      <c r="AJ258" s="12"/>
      <c r="AK258" s="12"/>
    </row>
    <row r="259" spans="1:37" ht="13.5" customHeight="1">
      <c r="A259" s="211"/>
      <c r="B259" s="12"/>
      <c r="C259" s="108" t="s">
        <v>403</v>
      </c>
      <c r="D259" s="12"/>
      <c r="E259" s="12"/>
      <c r="F259" s="362">
        <f t="shared" ref="F259:I259" si="519">E261</f>
        <v>0</v>
      </c>
      <c r="G259" s="299">
        <f t="shared" si="519"/>
        <v>-191.69499999999999</v>
      </c>
      <c r="H259" s="299">
        <f t="shared" si="519"/>
        <v>-139.26599999999999</v>
      </c>
      <c r="I259" s="299">
        <f t="shared" si="519"/>
        <v>-155.571</v>
      </c>
      <c r="J259" s="228">
        <f>F259</f>
        <v>0</v>
      </c>
      <c r="K259" s="299">
        <f t="shared" ref="K259:N259" si="520">J261</f>
        <v>-223.94499999999999</v>
      </c>
      <c r="L259" s="299">
        <f t="shared" si="520"/>
        <v>-111.879</v>
      </c>
      <c r="M259" s="299">
        <f t="shared" si="520"/>
        <v>-89.114000000000004</v>
      </c>
      <c r="N259" s="390">
        <f t="shared" si="520"/>
        <v>-344.62200000000001</v>
      </c>
      <c r="O259" s="228">
        <f>K259</f>
        <v>-223.94499999999999</v>
      </c>
      <c r="P259" s="299">
        <f t="shared" ref="P259:S259" si="521">O261</f>
        <v>362.16199999999998</v>
      </c>
      <c r="Q259" s="299">
        <f t="shared" si="521"/>
        <v>-85.734999999999999</v>
      </c>
      <c r="R259" s="299">
        <f t="shared" si="521"/>
        <v>-904.66800000000001</v>
      </c>
      <c r="S259" s="299">
        <f t="shared" si="521"/>
        <v>-719.25599999999997</v>
      </c>
      <c r="T259" s="228">
        <f>P259</f>
        <v>362.16199999999998</v>
      </c>
      <c r="U259" s="299">
        <f t="shared" ref="U259:X259" si="522">T261</f>
        <v>-580.38199999999983</v>
      </c>
      <c r="V259" s="299">
        <f t="shared" si="522"/>
        <v>-235.03100000000001</v>
      </c>
      <c r="W259" s="299">
        <f t="shared" si="522"/>
        <v>-65</v>
      </c>
      <c r="X259" s="227">
        <f t="shared" si="522"/>
        <v>-6</v>
      </c>
      <c r="Y259" s="228">
        <f>T261</f>
        <v>-580.38199999999983</v>
      </c>
      <c r="Z259" s="227">
        <f t="shared" ref="Z259:AC259" si="523">Y261</f>
        <v>-6</v>
      </c>
      <c r="AA259" s="227">
        <f t="shared" si="523"/>
        <v>-6</v>
      </c>
      <c r="AB259" s="227">
        <f t="shared" si="523"/>
        <v>-6</v>
      </c>
      <c r="AC259" s="227">
        <f t="shared" si="523"/>
        <v>-6</v>
      </c>
      <c r="AD259" s="228">
        <f>Y261</f>
        <v>-6</v>
      </c>
      <c r="AE259" s="228">
        <f t="shared" ref="AE259:AG259" si="524">AD261</f>
        <v>-6</v>
      </c>
      <c r="AF259" s="228">
        <f t="shared" si="524"/>
        <v>-6</v>
      </c>
      <c r="AG259" s="228">
        <f t="shared" si="524"/>
        <v>-6</v>
      </c>
      <c r="AH259" s="12"/>
      <c r="AI259" s="12"/>
      <c r="AJ259" s="12"/>
      <c r="AK259" s="12"/>
    </row>
    <row r="260" spans="1:37" ht="13.5" customHeight="1">
      <c r="A260" s="211"/>
      <c r="B260" s="12"/>
      <c r="C260" s="108" t="s">
        <v>411</v>
      </c>
      <c r="D260" s="12"/>
      <c r="E260" s="12"/>
      <c r="F260" s="318">
        <f t="shared" ref="F260:I260" si="525">F261-F259</f>
        <v>-191.69499999999999</v>
      </c>
      <c r="G260" s="318">
        <f t="shared" si="525"/>
        <v>52.429000000000002</v>
      </c>
      <c r="H260" s="318">
        <f t="shared" si="525"/>
        <v>-16.305000000000007</v>
      </c>
      <c r="I260" s="318">
        <f t="shared" si="525"/>
        <v>-68.373999999999995</v>
      </c>
      <c r="J260" s="301">
        <f>SUM(F260:I260)</f>
        <v>-223.94499999999999</v>
      </c>
      <c r="K260" s="318">
        <f t="shared" ref="K260:N260" si="526">K261-K259</f>
        <v>112.06599999999999</v>
      </c>
      <c r="L260" s="318">
        <f t="shared" si="526"/>
        <v>22.765000000000001</v>
      </c>
      <c r="M260" s="318">
        <f t="shared" si="526"/>
        <v>-255.50800000000001</v>
      </c>
      <c r="N260" s="396">
        <f t="shared" si="526"/>
        <v>706.78399999999999</v>
      </c>
      <c r="O260" s="301">
        <f>SUM(K260:N260)</f>
        <v>586.10699999999997</v>
      </c>
      <c r="P260" s="318">
        <f t="shared" ref="P260:S260" si="527">P261-P259</f>
        <v>-447.89699999999999</v>
      </c>
      <c r="Q260" s="318">
        <f t="shared" si="527"/>
        <v>-818.93299999999999</v>
      </c>
      <c r="R260" s="318">
        <f t="shared" si="527"/>
        <v>185.41200000000003</v>
      </c>
      <c r="S260" s="318">
        <f t="shared" si="527"/>
        <v>138.87400000000002</v>
      </c>
      <c r="T260" s="301">
        <f>SUM(P260:S260)</f>
        <v>-942.54399999999987</v>
      </c>
      <c r="U260" s="318">
        <f t="shared" ref="U260:W260" si="528">U261-U259</f>
        <v>345.35099999999983</v>
      </c>
      <c r="V260" s="318">
        <f t="shared" si="528"/>
        <v>170.03100000000001</v>
      </c>
      <c r="W260" s="318">
        <f t="shared" si="528"/>
        <v>59</v>
      </c>
      <c r="X260" s="331">
        <f>Drivers!X108</f>
        <v>0</v>
      </c>
      <c r="Y260" s="301">
        <f>SUM(U260:X260)</f>
        <v>574.38199999999983</v>
      </c>
      <c r="Z260" s="331">
        <f>Drivers!Z108</f>
        <v>0</v>
      </c>
      <c r="AA260" s="331">
        <f>Drivers!AA108</f>
        <v>0</v>
      </c>
      <c r="AB260" s="331">
        <f>Drivers!AB108</f>
        <v>0</v>
      </c>
      <c r="AC260" s="331">
        <f>Drivers!AC108</f>
        <v>0</v>
      </c>
      <c r="AD260" s="301">
        <f>SUM(Z260:AC260)</f>
        <v>0</v>
      </c>
      <c r="AE260" s="337">
        <f>Drivers!AE108</f>
        <v>0</v>
      </c>
      <c r="AF260" s="337">
        <f>Drivers!AF108</f>
        <v>0</v>
      </c>
      <c r="AG260" s="337">
        <f>Drivers!AG108</f>
        <v>0</v>
      </c>
      <c r="AH260" s="12"/>
      <c r="AI260" s="12"/>
      <c r="AJ260" s="12"/>
      <c r="AK260" s="12"/>
    </row>
    <row r="261" spans="1:37" ht="13.5" customHeight="1">
      <c r="A261" s="211"/>
      <c r="B261" s="12"/>
      <c r="C261" s="108" t="s">
        <v>406</v>
      </c>
      <c r="D261" s="12"/>
      <c r="E261" s="12"/>
      <c r="F261" s="299">
        <f t="shared" ref="F261:I261" si="529">F150</f>
        <v>-191.69499999999999</v>
      </c>
      <c r="G261" s="299">
        <f t="shared" si="529"/>
        <v>-139.26599999999999</v>
      </c>
      <c r="H261" s="299">
        <f t="shared" si="529"/>
        <v>-155.571</v>
      </c>
      <c r="I261" s="299">
        <f t="shared" si="529"/>
        <v>-223.94499999999999</v>
      </c>
      <c r="J261" s="228">
        <f>SUM(J259:J260)</f>
        <v>-223.94499999999999</v>
      </c>
      <c r="K261" s="299">
        <f t="shared" ref="K261:N261" si="530">K150</f>
        <v>-111.879</v>
      </c>
      <c r="L261" s="299">
        <f t="shared" si="530"/>
        <v>-89.114000000000004</v>
      </c>
      <c r="M261" s="299">
        <f t="shared" si="530"/>
        <v>-344.62200000000001</v>
      </c>
      <c r="N261" s="299">
        <f t="shared" si="530"/>
        <v>362.16199999999998</v>
      </c>
      <c r="O261" s="228">
        <f>SUM(O259:O260)</f>
        <v>362.16199999999998</v>
      </c>
      <c r="P261" s="299">
        <f t="shared" ref="P261:S261" si="531">P150</f>
        <v>-85.734999999999999</v>
      </c>
      <c r="Q261" s="299">
        <f t="shared" si="531"/>
        <v>-904.66800000000001</v>
      </c>
      <c r="R261" s="299">
        <f t="shared" si="531"/>
        <v>-719.25599999999997</v>
      </c>
      <c r="S261" s="299">
        <f t="shared" si="531"/>
        <v>-580.38199999999995</v>
      </c>
      <c r="T261" s="228">
        <f>SUM(T259:T260)</f>
        <v>-580.38199999999983</v>
      </c>
      <c r="U261" s="299">
        <f t="shared" ref="U261:W261" si="532">U150</f>
        <v>-235.03100000000001</v>
      </c>
      <c r="V261" s="299">
        <f t="shared" si="532"/>
        <v>-65</v>
      </c>
      <c r="W261" s="299">
        <f t="shared" si="532"/>
        <v>-6</v>
      </c>
      <c r="X261" s="227">
        <f t="shared" ref="X261:AG261" si="533">SUM(X259:X260)</f>
        <v>-6</v>
      </c>
      <c r="Y261" s="228">
        <f t="shared" si="533"/>
        <v>-6</v>
      </c>
      <c r="Z261" s="227">
        <f t="shared" si="533"/>
        <v>-6</v>
      </c>
      <c r="AA261" s="227">
        <f t="shared" si="533"/>
        <v>-6</v>
      </c>
      <c r="AB261" s="227">
        <f t="shared" si="533"/>
        <v>-6</v>
      </c>
      <c r="AC261" s="227">
        <f t="shared" si="533"/>
        <v>-6</v>
      </c>
      <c r="AD261" s="228">
        <f t="shared" si="533"/>
        <v>-6</v>
      </c>
      <c r="AE261" s="228">
        <f t="shared" si="533"/>
        <v>-6</v>
      </c>
      <c r="AF261" s="228">
        <f t="shared" si="533"/>
        <v>-6</v>
      </c>
      <c r="AG261" s="228">
        <f t="shared" si="533"/>
        <v>-6</v>
      </c>
      <c r="AH261" s="12"/>
      <c r="AI261" s="12"/>
      <c r="AJ261" s="12"/>
      <c r="AK261" s="12"/>
    </row>
    <row r="262" spans="1:37" ht="13.5" customHeight="1">
      <c r="A262" s="211"/>
      <c r="B262" s="12"/>
      <c r="C262" s="12"/>
      <c r="D262" s="12"/>
      <c r="E262" s="12"/>
      <c r="F262" s="261"/>
      <c r="G262" s="261"/>
      <c r="H262" s="261"/>
      <c r="I262" s="261"/>
      <c r="J262" s="12"/>
      <c r="K262" s="261"/>
      <c r="L262" s="261"/>
      <c r="M262" s="261"/>
      <c r="N262" s="261"/>
      <c r="O262" s="12"/>
      <c r="P262" s="261"/>
      <c r="Q262" s="261"/>
      <c r="R262" s="261"/>
      <c r="S262" s="261"/>
      <c r="T262" s="12"/>
      <c r="U262" s="261"/>
      <c r="V262" s="261"/>
      <c r="W262" s="261"/>
      <c r="X262" s="262"/>
      <c r="Y262" s="12"/>
      <c r="Z262" s="262"/>
      <c r="AA262" s="262"/>
      <c r="AB262" s="262"/>
      <c r="AC262" s="262"/>
      <c r="AD262" s="12"/>
      <c r="AE262" s="12"/>
      <c r="AF262" s="12"/>
      <c r="AG262" s="12"/>
      <c r="AH262" s="12"/>
      <c r="AI262" s="12"/>
      <c r="AJ262" s="12"/>
      <c r="AK262" s="12"/>
    </row>
    <row r="263" spans="1:37" ht="13.5" customHeight="1">
      <c r="A263" s="211"/>
      <c r="B263" s="12"/>
      <c r="C263" s="12" t="s">
        <v>412</v>
      </c>
      <c r="D263" s="12"/>
      <c r="E263" s="12"/>
      <c r="F263" s="261"/>
      <c r="G263" s="261"/>
      <c r="H263" s="261"/>
      <c r="I263" s="261"/>
      <c r="J263" s="12"/>
      <c r="K263" s="261"/>
      <c r="L263" s="261"/>
      <c r="M263" s="261"/>
      <c r="N263" s="261"/>
      <c r="O263" s="12"/>
      <c r="P263" s="261"/>
      <c r="Q263" s="261"/>
      <c r="R263" s="261"/>
      <c r="S263" s="261"/>
      <c r="T263" s="12"/>
      <c r="U263" s="261"/>
      <c r="V263" s="261"/>
      <c r="W263" s="261"/>
      <c r="X263" s="262"/>
      <c r="Y263" s="12"/>
      <c r="Z263" s="262"/>
      <c r="AA263" s="262"/>
      <c r="AB263" s="262"/>
      <c r="AC263" s="262"/>
      <c r="AD263" s="12"/>
      <c r="AE263" s="12"/>
      <c r="AF263" s="12"/>
      <c r="AG263" s="12"/>
      <c r="AH263" s="12"/>
      <c r="AI263" s="12"/>
      <c r="AJ263" s="12"/>
      <c r="AK263" s="12"/>
    </row>
    <row r="264" spans="1:37" ht="13.5" customHeight="1">
      <c r="A264" s="211"/>
      <c r="B264" s="12"/>
      <c r="C264" s="108" t="s">
        <v>413</v>
      </c>
      <c r="D264" s="12"/>
      <c r="E264" s="12"/>
      <c r="F264" s="316">
        <f t="shared" ref="F264:AG264" si="534">F267/F266</f>
        <v>0.41212121212121211</v>
      </c>
      <c r="G264" s="316">
        <f t="shared" si="534"/>
        <v>0.41574415744157439</v>
      </c>
      <c r="H264" s="316">
        <f t="shared" si="534"/>
        <v>0.4838709677419355</v>
      </c>
      <c r="I264" s="316">
        <f t="shared" si="534"/>
        <v>0.48314606741573035</v>
      </c>
      <c r="J264" s="96">
        <f t="shared" si="534"/>
        <v>1.8164794007490637</v>
      </c>
      <c r="K264" s="316">
        <f t="shared" si="534"/>
        <v>0.46666666666666667</v>
      </c>
      <c r="L264" s="316">
        <f t="shared" si="534"/>
        <v>0.46986469864698649</v>
      </c>
      <c r="M264" s="316">
        <f t="shared" si="534"/>
        <v>0.53101736972704716</v>
      </c>
      <c r="N264" s="316">
        <f t="shared" si="534"/>
        <v>0.5280898876404494</v>
      </c>
      <c r="O264" s="96">
        <f t="shared" si="534"/>
        <v>2.0199750312109863</v>
      </c>
      <c r="P264" s="316">
        <f t="shared" si="534"/>
        <v>0.55629139072847678</v>
      </c>
      <c r="Q264" s="316">
        <f t="shared" si="534"/>
        <v>0.55319148936170215</v>
      </c>
      <c r="R264" s="316">
        <f t="shared" si="534"/>
        <v>0.55319148936170215</v>
      </c>
      <c r="S264" s="316">
        <f t="shared" si="534"/>
        <v>0.60427807486631013</v>
      </c>
      <c r="T264" s="96">
        <f t="shared" si="534"/>
        <v>2.2780748663101602</v>
      </c>
      <c r="U264" s="316">
        <f t="shared" si="534"/>
        <v>0.61281337047353757</v>
      </c>
      <c r="V264" s="316">
        <f t="shared" si="534"/>
        <v>0.60992907801418439</v>
      </c>
      <c r="W264" s="316">
        <f t="shared" si="534"/>
        <v>0.81594202898550727</v>
      </c>
      <c r="X264" s="397">
        <f t="shared" si="534"/>
        <v>0.77273565513283149</v>
      </c>
      <c r="Y264" s="398">
        <f t="shared" si="534"/>
        <v>2.8040600010044407</v>
      </c>
      <c r="Z264" s="397">
        <f t="shared" si="534"/>
        <v>0.75462604821281609</v>
      </c>
      <c r="AA264" s="397">
        <f t="shared" si="534"/>
        <v>0.73984136823992019</v>
      </c>
      <c r="AB264" s="397">
        <f t="shared" si="534"/>
        <v>0.97179365765991477</v>
      </c>
      <c r="AC264" s="397">
        <f t="shared" si="534"/>
        <v>0.90012318685058545</v>
      </c>
      <c r="AD264" s="398">
        <f t="shared" si="534"/>
        <v>3.3653103134459723</v>
      </c>
      <c r="AE264" s="398">
        <f t="shared" si="534"/>
        <v>3.76228771474281</v>
      </c>
      <c r="AF264" s="398">
        <f t="shared" si="534"/>
        <v>4.2212292646488043</v>
      </c>
      <c r="AG264" s="398">
        <f t="shared" si="534"/>
        <v>4.7380472475402966</v>
      </c>
      <c r="AH264" s="12"/>
      <c r="AI264" s="12"/>
      <c r="AJ264" s="12"/>
      <c r="AK264" s="12"/>
    </row>
    <row r="265" spans="1:37" ht="13.5" customHeight="1">
      <c r="A265" s="211"/>
      <c r="B265" s="12"/>
      <c r="C265" s="108" t="s">
        <v>50</v>
      </c>
      <c r="D265" s="12"/>
      <c r="E265" s="12"/>
      <c r="F265" s="343">
        <f t="shared" ref="F265:I265" si="535">4*F264/F239</f>
        <v>1.9172887281749807E-2</v>
      </c>
      <c r="G265" s="343">
        <f t="shared" si="535"/>
        <v>1.8115213831876881E-2</v>
      </c>
      <c r="H265" s="343">
        <f t="shared" si="535"/>
        <v>2.0230833813815637E-2</v>
      </c>
      <c r="I265" s="343">
        <f t="shared" si="535"/>
        <v>1.7368421584101023E-2</v>
      </c>
      <c r="J265" s="344">
        <f>J264/J239</f>
        <v>1.9322090039684513E-2</v>
      </c>
      <c r="K265" s="343">
        <f t="shared" ref="K265:N265" si="536">4*K264/K239</f>
        <v>1.8238071975248332E-2</v>
      </c>
      <c r="L265" s="343">
        <f t="shared" si="536"/>
        <v>1.8320097422633259E-2</v>
      </c>
      <c r="M265" s="343">
        <f t="shared" si="536"/>
        <v>1.9592929424482878E-2</v>
      </c>
      <c r="N265" s="343">
        <f t="shared" si="536"/>
        <v>2.004706795636137E-2</v>
      </c>
      <c r="O265" s="344">
        <f>O264/O239</f>
        <v>1.9403222663796509E-2</v>
      </c>
      <c r="P265" s="343">
        <f t="shared" ref="P265:S265" si="537">4*P264/P239</f>
        <v>2.2526478668899647E-2</v>
      </c>
      <c r="Q265" s="343">
        <f t="shared" si="537"/>
        <v>2.2400951178850055E-2</v>
      </c>
      <c r="R265" s="343">
        <f t="shared" si="537"/>
        <v>1.3074582213138853E-2</v>
      </c>
      <c r="S265" s="343">
        <f t="shared" si="537"/>
        <v>1.1536501203588763E-2</v>
      </c>
      <c r="T265" s="344">
        <f>T264/T239</f>
        <v>1.3534131088953551E-2</v>
      </c>
      <c r="U265" s="343">
        <f t="shared" ref="U265:W265" si="538">4*U264/U239</f>
        <v>1.3453641503260979E-2</v>
      </c>
      <c r="V265" s="343">
        <f t="shared" si="538"/>
        <v>1.2778959704955387E-2</v>
      </c>
      <c r="W265" s="343">
        <f t="shared" si="538"/>
        <v>1.5815639175527117E-2</v>
      </c>
      <c r="X265" s="345">
        <f>X264*4/X239</f>
        <v>1.3255607773099433E-2</v>
      </c>
      <c r="Y265" s="344">
        <f>Y264/Y239</f>
        <v>1.4445001368382868E-2</v>
      </c>
      <c r="Z265" s="345">
        <f t="shared" ref="Z265:AC265" si="539">Z264*4/Z239</f>
        <v>1.2944953224338555E-2</v>
      </c>
      <c r="AA265" s="345">
        <f t="shared" si="539"/>
        <v>1.2691334904192815E-2</v>
      </c>
      <c r="AB265" s="345">
        <f t="shared" si="539"/>
        <v>1.6670274597476879E-2</v>
      </c>
      <c r="AC265" s="345">
        <f t="shared" si="539"/>
        <v>1.5440830034318303E-2</v>
      </c>
      <c r="AD265" s="344">
        <f t="shared" ref="AD265:AG265" si="540">AD264/AD239</f>
        <v>1.4432242531289014E-2</v>
      </c>
      <c r="AE265" s="344">
        <f t="shared" si="540"/>
        <v>1.6134693004300583E-2</v>
      </c>
      <c r="AF265" s="344">
        <f t="shared" si="540"/>
        <v>1.810287874023846E-2</v>
      </c>
      <c r="AG265" s="344">
        <f t="shared" si="540"/>
        <v>2.0319269437946208E-2</v>
      </c>
      <c r="AH265" s="12"/>
      <c r="AI265" s="12"/>
      <c r="AJ265" s="12"/>
      <c r="AK265" s="12"/>
    </row>
    <row r="266" spans="1:37" ht="13.5" customHeight="1">
      <c r="A266" s="211"/>
      <c r="B266" s="12"/>
      <c r="C266" s="108" t="s">
        <v>414</v>
      </c>
      <c r="D266" s="12"/>
      <c r="E266" s="12"/>
      <c r="F266" s="330">
        <f t="shared" ref="F266:AG266" si="541">F282</f>
        <v>825</v>
      </c>
      <c r="G266" s="330">
        <f t="shared" si="541"/>
        <v>813</v>
      </c>
      <c r="H266" s="330">
        <f t="shared" si="541"/>
        <v>806</v>
      </c>
      <c r="I266" s="330">
        <f t="shared" si="541"/>
        <v>801</v>
      </c>
      <c r="J266" s="131">
        <f t="shared" si="541"/>
        <v>801</v>
      </c>
      <c r="K266" s="330">
        <f t="shared" si="541"/>
        <v>825</v>
      </c>
      <c r="L266" s="330">
        <f t="shared" si="541"/>
        <v>813</v>
      </c>
      <c r="M266" s="330">
        <f t="shared" si="541"/>
        <v>806</v>
      </c>
      <c r="N266" s="330">
        <f t="shared" si="541"/>
        <v>801</v>
      </c>
      <c r="O266" s="131">
        <f t="shared" si="541"/>
        <v>801</v>
      </c>
      <c r="P266" s="330">
        <f t="shared" si="541"/>
        <v>755</v>
      </c>
      <c r="Q266" s="330">
        <f t="shared" si="541"/>
        <v>752</v>
      </c>
      <c r="R266" s="330">
        <f t="shared" si="541"/>
        <v>752</v>
      </c>
      <c r="S266" s="330">
        <f t="shared" si="541"/>
        <v>748</v>
      </c>
      <c r="T266" s="131">
        <f t="shared" si="541"/>
        <v>748</v>
      </c>
      <c r="U266" s="330">
        <f t="shared" si="541"/>
        <v>718</v>
      </c>
      <c r="V266" s="330">
        <f t="shared" si="541"/>
        <v>705</v>
      </c>
      <c r="W266" s="330">
        <f t="shared" si="541"/>
        <v>690</v>
      </c>
      <c r="X266" s="305">
        <f t="shared" si="541"/>
        <v>672.67505588395238</v>
      </c>
      <c r="Y266" s="131">
        <f t="shared" si="541"/>
        <v>696.41876397098804</v>
      </c>
      <c r="Z266" s="305">
        <f t="shared" si="541"/>
        <v>670.53078965185705</v>
      </c>
      <c r="AA266" s="305">
        <f t="shared" si="541"/>
        <v>668.38652341976172</v>
      </c>
      <c r="AB266" s="305">
        <f t="shared" si="541"/>
        <v>666.24225718766638</v>
      </c>
      <c r="AC266" s="305">
        <f t="shared" si="541"/>
        <v>664.09799095557105</v>
      </c>
      <c r="AD266" s="131">
        <f t="shared" si="541"/>
        <v>667.31439030371405</v>
      </c>
      <c r="AE266" s="131">
        <f t="shared" si="541"/>
        <v>656.59305914323704</v>
      </c>
      <c r="AF266" s="131">
        <f t="shared" si="541"/>
        <v>643.72746175066482</v>
      </c>
      <c r="AG266" s="131">
        <f t="shared" si="541"/>
        <v>630.86186435809259</v>
      </c>
      <c r="AH266" s="12"/>
      <c r="AI266" s="12"/>
      <c r="AJ266" s="12"/>
      <c r="AK266" s="12"/>
    </row>
    <row r="267" spans="1:37" ht="13.5" customHeight="1">
      <c r="A267" s="211"/>
      <c r="B267" s="12"/>
      <c r="C267" s="108" t="s">
        <v>415</v>
      </c>
      <c r="D267" s="12"/>
      <c r="E267" s="12"/>
      <c r="F267" s="299">
        <f t="shared" ref="F267:I267" si="542">-F254</f>
        <v>340</v>
      </c>
      <c r="G267" s="299">
        <f t="shared" si="542"/>
        <v>338</v>
      </c>
      <c r="H267" s="299">
        <f t="shared" si="542"/>
        <v>390</v>
      </c>
      <c r="I267" s="299">
        <f t="shared" si="542"/>
        <v>387</v>
      </c>
      <c r="J267" s="228">
        <f>SUM(F267:I267)</f>
        <v>1455</v>
      </c>
      <c r="K267" s="299">
        <f t="shared" ref="K267:N267" si="543">-K254</f>
        <v>385</v>
      </c>
      <c r="L267" s="299">
        <f t="shared" si="543"/>
        <v>382</v>
      </c>
      <c r="M267" s="299">
        <f t="shared" si="543"/>
        <v>428</v>
      </c>
      <c r="N267" s="299">
        <f t="shared" si="543"/>
        <v>423</v>
      </c>
      <c r="O267" s="228">
        <f>SUM(K267:N267)</f>
        <v>1618</v>
      </c>
      <c r="P267" s="299">
        <f t="shared" ref="P267:S267" si="544">-P254</f>
        <v>420</v>
      </c>
      <c r="Q267" s="299">
        <f t="shared" si="544"/>
        <v>416</v>
      </c>
      <c r="R267" s="299">
        <f t="shared" si="544"/>
        <v>416</v>
      </c>
      <c r="S267" s="299">
        <f t="shared" si="544"/>
        <v>452</v>
      </c>
      <c r="T267" s="228">
        <f>SUM(P267:S267)</f>
        <v>1704</v>
      </c>
      <c r="U267" s="299">
        <f t="shared" ref="U267:W267" si="545">-U254</f>
        <v>440</v>
      </c>
      <c r="V267" s="299">
        <f t="shared" si="545"/>
        <v>430</v>
      </c>
      <c r="W267" s="299">
        <f t="shared" si="545"/>
        <v>563</v>
      </c>
      <c r="X267" s="227">
        <f>S267*(1+X273)</f>
        <v>519.79999999999995</v>
      </c>
      <c r="Y267" s="228">
        <f>SUM(U267:X267)</f>
        <v>1952.8</v>
      </c>
      <c r="Z267" s="227">
        <f t="shared" ref="Z267:AC267" si="546">U267*(1+Z273)</f>
        <v>505.99999999999994</v>
      </c>
      <c r="AA267" s="227">
        <f t="shared" si="546"/>
        <v>494.49999999999994</v>
      </c>
      <c r="AB267" s="227">
        <f t="shared" si="546"/>
        <v>647.44999999999993</v>
      </c>
      <c r="AC267" s="227">
        <f t="shared" si="546"/>
        <v>597.76999999999987</v>
      </c>
      <c r="AD267" s="228">
        <f>SUM(Z267:AC267)</f>
        <v>2245.7199999999998</v>
      </c>
      <c r="AE267" s="228">
        <f t="shared" ref="AE267:AG267" si="547">AD267*(1+AE273)</f>
        <v>2470.2919999999999</v>
      </c>
      <c r="AF267" s="228">
        <f t="shared" si="547"/>
        <v>2717.3212000000003</v>
      </c>
      <c r="AG267" s="228">
        <f t="shared" si="547"/>
        <v>2989.0533200000004</v>
      </c>
      <c r="AH267" s="12"/>
      <c r="AI267" s="12"/>
      <c r="AJ267" s="12"/>
      <c r="AK267" s="12"/>
    </row>
    <row r="268" spans="1:37" ht="13.5" customHeight="1">
      <c r="A268" s="211"/>
      <c r="B268" s="12"/>
      <c r="C268" s="108"/>
      <c r="D268" s="12"/>
      <c r="E268" s="12"/>
      <c r="F268" s="299"/>
      <c r="G268" s="299"/>
      <c r="H268" s="299"/>
      <c r="I268" s="299"/>
      <c r="J268" s="228"/>
      <c r="K268" s="299"/>
      <c r="L268" s="299"/>
      <c r="M268" s="299"/>
      <c r="N268" s="299"/>
      <c r="O268" s="228"/>
      <c r="P268" s="299"/>
      <c r="Q268" s="299"/>
      <c r="R268" s="299"/>
      <c r="S268" s="299"/>
      <c r="T268" s="228"/>
      <c r="U268" s="299"/>
      <c r="V268" s="299"/>
      <c r="W268" s="299"/>
      <c r="X268" s="305"/>
      <c r="Y268" s="131"/>
      <c r="Z268" s="305"/>
      <c r="AA268" s="305"/>
      <c r="AB268" s="305"/>
      <c r="AC268" s="305"/>
      <c r="AD268" s="131"/>
      <c r="AE268" s="12"/>
      <c r="AF268" s="12"/>
      <c r="AG268" s="12"/>
      <c r="AH268" s="12"/>
      <c r="AI268" s="12"/>
      <c r="AJ268" s="12"/>
      <c r="AK268" s="12"/>
    </row>
    <row r="269" spans="1:37" ht="13.5" customHeight="1">
      <c r="A269" s="211" t="s">
        <v>1</v>
      </c>
      <c r="B269" s="12"/>
      <c r="C269" s="36" t="s">
        <v>46</v>
      </c>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42"/>
      <c r="AH269" s="211" t="s">
        <v>1</v>
      </c>
      <c r="AI269" s="12"/>
      <c r="AJ269" s="12"/>
      <c r="AK269" s="12"/>
    </row>
    <row r="270" spans="1:37" ht="13.5" customHeight="1">
      <c r="A270" s="211"/>
      <c r="B270" s="12"/>
      <c r="C270" s="108"/>
      <c r="D270" s="12"/>
      <c r="E270" s="12"/>
      <c r="F270" s="299"/>
      <c r="G270" s="299"/>
      <c r="H270" s="299"/>
      <c r="I270" s="299"/>
      <c r="J270" s="228"/>
      <c r="K270" s="299"/>
      <c r="L270" s="299"/>
      <c r="M270" s="299"/>
      <c r="N270" s="299"/>
      <c r="O270" s="228"/>
      <c r="P270" s="299"/>
      <c r="Q270" s="299"/>
      <c r="R270" s="299"/>
      <c r="S270" s="299"/>
      <c r="T270" s="228"/>
      <c r="U270" s="299"/>
      <c r="V270" s="299"/>
      <c r="W270" s="299"/>
      <c r="X270" s="305"/>
      <c r="Y270" s="131"/>
      <c r="Z270" s="305"/>
      <c r="AA270" s="305"/>
      <c r="AB270" s="305"/>
      <c r="AC270" s="305"/>
      <c r="AD270" s="131"/>
      <c r="AE270" s="12"/>
      <c r="AF270" s="12"/>
      <c r="AG270" s="12"/>
      <c r="AH270" s="12"/>
      <c r="AI270" s="12"/>
      <c r="AJ270" s="12"/>
      <c r="AK270" s="12"/>
    </row>
    <row r="271" spans="1:37" ht="13.5" customHeight="1">
      <c r="A271" s="211"/>
      <c r="B271" s="12"/>
      <c r="C271" s="108" t="s">
        <v>416</v>
      </c>
      <c r="D271" s="12"/>
      <c r="E271" s="12"/>
      <c r="F271" s="359">
        <v>0</v>
      </c>
      <c r="G271" s="359">
        <v>0</v>
      </c>
      <c r="H271" s="359">
        <v>0</v>
      </c>
      <c r="I271" s="359">
        <v>0</v>
      </c>
      <c r="J271" s="275">
        <f>SUM(F271:I271)</f>
        <v>0</v>
      </c>
      <c r="K271" s="359">
        <v>0</v>
      </c>
      <c r="L271" s="359">
        <v>0</v>
      </c>
      <c r="M271" s="359">
        <v>0</v>
      </c>
      <c r="N271" s="359">
        <v>0</v>
      </c>
      <c r="O271" s="275">
        <f>SUM(K271:N271)</f>
        <v>0</v>
      </c>
      <c r="P271" s="359">
        <v>0</v>
      </c>
      <c r="Q271" s="359">
        <v>0</v>
      </c>
      <c r="R271" s="359">
        <v>0</v>
      </c>
      <c r="S271" s="359">
        <v>0</v>
      </c>
      <c r="T271" s="275">
        <f>SUM(P271:S271)</f>
        <v>0</v>
      </c>
      <c r="U271" s="359">
        <v>0</v>
      </c>
      <c r="V271" s="359">
        <v>0</v>
      </c>
      <c r="W271" s="359">
        <v>0</v>
      </c>
      <c r="X271" s="363">
        <v>0</v>
      </c>
      <c r="Y271" s="275">
        <f t="shared" ref="Y271:Y272" si="548">SUM(U271:X271)</f>
        <v>0</v>
      </c>
      <c r="Z271" s="363">
        <v>0</v>
      </c>
      <c r="AA271" s="363">
        <v>0</v>
      </c>
      <c r="AB271" s="363">
        <v>0</v>
      </c>
      <c r="AC271" s="363">
        <v>0</v>
      </c>
      <c r="AD271" s="275">
        <f t="shared" ref="AD271:AD272" si="549">SUM(Z271:AC271)</f>
        <v>0</v>
      </c>
      <c r="AE271" s="275">
        <v>0</v>
      </c>
      <c r="AF271" s="275">
        <v>0</v>
      </c>
      <c r="AG271" s="275">
        <v>0</v>
      </c>
      <c r="AH271" s="12"/>
      <c r="AI271" s="12"/>
      <c r="AJ271" s="12"/>
      <c r="AK271" s="12"/>
    </row>
    <row r="272" spans="1:37" ht="13.5" customHeight="1">
      <c r="A272" s="211"/>
      <c r="B272" s="12"/>
      <c r="C272" s="108" t="s">
        <v>417</v>
      </c>
      <c r="D272" s="12"/>
      <c r="E272" s="12"/>
      <c r="F272" s="330">
        <f t="shared" ref="F272:W272" si="550">F241</f>
        <v>728</v>
      </c>
      <c r="G272" s="330">
        <f t="shared" si="550"/>
        <v>1118</v>
      </c>
      <c r="H272" s="330">
        <f t="shared" si="550"/>
        <v>652</v>
      </c>
      <c r="I272" s="330">
        <f t="shared" si="550"/>
        <v>539</v>
      </c>
      <c r="J272" s="131">
        <f t="shared" si="550"/>
        <v>3037</v>
      </c>
      <c r="K272" s="330">
        <f t="shared" si="550"/>
        <v>826</v>
      </c>
      <c r="L272" s="330">
        <f t="shared" si="550"/>
        <v>1944</v>
      </c>
      <c r="M272" s="330">
        <f t="shared" si="550"/>
        <v>879</v>
      </c>
      <c r="N272" s="330">
        <f t="shared" si="550"/>
        <v>664</v>
      </c>
      <c r="O272" s="131">
        <f t="shared" si="550"/>
        <v>4313</v>
      </c>
      <c r="P272" s="330">
        <f t="shared" si="550"/>
        <v>966</v>
      </c>
      <c r="Q272" s="330">
        <f t="shared" si="550"/>
        <v>0</v>
      </c>
      <c r="R272" s="330">
        <f t="shared" si="550"/>
        <v>562</v>
      </c>
      <c r="S272" s="330">
        <f t="shared" si="550"/>
        <v>3443</v>
      </c>
      <c r="T272" s="131">
        <f t="shared" si="550"/>
        <v>4971</v>
      </c>
      <c r="U272" s="330">
        <f t="shared" si="550"/>
        <v>3038</v>
      </c>
      <c r="V272" s="330">
        <f t="shared" si="550"/>
        <v>3136</v>
      </c>
      <c r="W272" s="330">
        <f t="shared" si="550"/>
        <v>2825</v>
      </c>
      <c r="X272" s="307">
        <f>Drivers!X165</f>
        <v>500</v>
      </c>
      <c r="Y272" s="131">
        <f t="shared" si="548"/>
        <v>9499</v>
      </c>
      <c r="Z272" s="307">
        <f>Drivers!Z165</f>
        <v>500</v>
      </c>
      <c r="AA272" s="307">
        <f>Drivers!AA165</f>
        <v>500</v>
      </c>
      <c r="AB272" s="307">
        <f>Drivers!AB165</f>
        <v>500</v>
      </c>
      <c r="AC272" s="307">
        <f>Drivers!AC165</f>
        <v>500</v>
      </c>
      <c r="AD272" s="131">
        <f t="shared" si="549"/>
        <v>2000</v>
      </c>
      <c r="AE272" s="308">
        <f>Drivers!AE165</f>
        <v>3000</v>
      </c>
      <c r="AF272" s="308">
        <f>Drivers!AF165</f>
        <v>3000</v>
      </c>
      <c r="AG272" s="308">
        <f>Drivers!AG165</f>
        <v>3000</v>
      </c>
      <c r="AH272" s="12"/>
      <c r="AI272" s="12"/>
      <c r="AJ272" s="12"/>
      <c r="AK272" s="12"/>
    </row>
    <row r="273" spans="1:37" ht="13.5" customHeight="1">
      <c r="A273" s="211"/>
      <c r="B273" s="12"/>
      <c r="C273" s="108" t="s">
        <v>418</v>
      </c>
      <c r="D273" s="12"/>
      <c r="E273" s="12"/>
      <c r="F273" s="356"/>
      <c r="G273" s="343"/>
      <c r="H273" s="343"/>
      <c r="I273" s="343"/>
      <c r="J273" s="344"/>
      <c r="K273" s="343">
        <f t="shared" ref="K273:W273" si="551">K267/F267-1</f>
        <v>0.13235294117647056</v>
      </c>
      <c r="L273" s="343">
        <f t="shared" si="551"/>
        <v>0.13017751479289941</v>
      </c>
      <c r="M273" s="343">
        <f t="shared" si="551"/>
        <v>9.7435897435897534E-2</v>
      </c>
      <c r="N273" s="343">
        <f t="shared" si="551"/>
        <v>9.3023255813953432E-2</v>
      </c>
      <c r="O273" s="344">
        <f t="shared" si="551"/>
        <v>0.11202749140893475</v>
      </c>
      <c r="P273" s="343">
        <f t="shared" si="551"/>
        <v>9.0909090909090828E-2</v>
      </c>
      <c r="Q273" s="343">
        <f t="shared" si="551"/>
        <v>8.9005235602094279E-2</v>
      </c>
      <c r="R273" s="343">
        <f t="shared" si="551"/>
        <v>-2.8037383177570097E-2</v>
      </c>
      <c r="S273" s="343">
        <f t="shared" si="551"/>
        <v>6.8557919621749397E-2</v>
      </c>
      <c r="T273" s="344">
        <f t="shared" si="551"/>
        <v>5.3152039555006247E-2</v>
      </c>
      <c r="U273" s="343">
        <f t="shared" si="551"/>
        <v>4.7619047619047672E-2</v>
      </c>
      <c r="V273" s="343">
        <f t="shared" si="551"/>
        <v>3.3653846153846256E-2</v>
      </c>
      <c r="W273" s="343">
        <f t="shared" si="551"/>
        <v>0.35336538461538458</v>
      </c>
      <c r="X273" s="368">
        <f>Drivers!X101</f>
        <v>0.15</v>
      </c>
      <c r="Y273" s="344">
        <f>Y267/T267-1</f>
        <v>0.14600938967136146</v>
      </c>
      <c r="Z273" s="368">
        <f>Drivers!Z101</f>
        <v>0.15</v>
      </c>
      <c r="AA273" s="368">
        <f>Drivers!AA101</f>
        <v>0.15</v>
      </c>
      <c r="AB273" s="368">
        <f>Drivers!AB101</f>
        <v>0.15</v>
      </c>
      <c r="AC273" s="368">
        <f>Drivers!AC101</f>
        <v>0.15</v>
      </c>
      <c r="AD273" s="344">
        <f>AD267/Y267-1</f>
        <v>0.14999999999999991</v>
      </c>
      <c r="AE273" s="369">
        <f>Drivers!AE101</f>
        <v>0.1</v>
      </c>
      <c r="AF273" s="369">
        <f>Drivers!AF101</f>
        <v>0.1</v>
      </c>
      <c r="AG273" s="369">
        <f>Drivers!AG101</f>
        <v>0.1</v>
      </c>
      <c r="AH273" s="12"/>
      <c r="AI273" s="12"/>
      <c r="AJ273" s="12"/>
      <c r="AK273" s="12"/>
    </row>
    <row r="274" spans="1:37" ht="13.5" customHeight="1">
      <c r="A274" s="211"/>
      <c r="B274" s="12"/>
      <c r="C274" s="12"/>
      <c r="D274" s="12"/>
      <c r="E274" s="12"/>
      <c r="F274" s="261"/>
      <c r="G274" s="261"/>
      <c r="H274" s="261"/>
      <c r="I274" s="261"/>
      <c r="J274" s="12"/>
      <c r="K274" s="261"/>
      <c r="L274" s="261"/>
      <c r="M274" s="261"/>
      <c r="N274" s="261"/>
      <c r="O274" s="12"/>
      <c r="P274" s="261"/>
      <c r="Q274" s="261"/>
      <c r="R274" s="261"/>
      <c r="S274" s="261"/>
      <c r="T274" s="12"/>
      <c r="U274" s="261"/>
      <c r="V274" s="261"/>
      <c r="W274" s="261"/>
      <c r="X274" s="262"/>
      <c r="Y274" s="12"/>
      <c r="Z274" s="262"/>
      <c r="AA274" s="262"/>
      <c r="AB274" s="262"/>
      <c r="AC274" s="262"/>
      <c r="AD274" s="12"/>
      <c r="AE274" s="12"/>
      <c r="AF274" s="12"/>
      <c r="AG274" s="12"/>
      <c r="AH274" s="12"/>
      <c r="AI274" s="12"/>
      <c r="AJ274" s="12"/>
      <c r="AK274" s="12"/>
    </row>
    <row r="275" spans="1:37" ht="13.5" customHeight="1">
      <c r="A275" s="211" t="s">
        <v>1</v>
      </c>
      <c r="B275" s="40"/>
      <c r="C275" s="55" t="s">
        <v>419</v>
      </c>
      <c r="D275" s="15"/>
      <c r="E275" s="15"/>
      <c r="F275" s="259" t="str">
        <f>F$25</f>
        <v>1Q23</v>
      </c>
      <c r="G275" s="56" t="str">
        <f t="shared" ref="G275:AG275" si="552">G$63</f>
        <v>2Q23</v>
      </c>
      <c r="H275" s="56" t="str">
        <f t="shared" si="552"/>
        <v>3Q23</v>
      </c>
      <c r="I275" s="56" t="str">
        <f t="shared" si="552"/>
        <v>4Q23</v>
      </c>
      <c r="J275" s="56">
        <f t="shared" si="552"/>
        <v>2023</v>
      </c>
      <c r="K275" s="56" t="str">
        <f t="shared" si="552"/>
        <v>1Q24</v>
      </c>
      <c r="L275" s="56" t="str">
        <f t="shared" si="552"/>
        <v>2Q24</v>
      </c>
      <c r="M275" s="56" t="str">
        <f t="shared" si="552"/>
        <v>3Q24</v>
      </c>
      <c r="N275" s="56" t="str">
        <f t="shared" si="552"/>
        <v>4Q24</v>
      </c>
      <c r="O275" s="56">
        <f t="shared" si="552"/>
        <v>2024</v>
      </c>
      <c r="P275" s="56" t="str">
        <f t="shared" si="552"/>
        <v>1Q25</v>
      </c>
      <c r="Q275" s="56" t="str">
        <f t="shared" si="552"/>
        <v>2Q25</v>
      </c>
      <c r="R275" s="56" t="str">
        <f t="shared" si="552"/>
        <v>3Q25</v>
      </c>
      <c r="S275" s="56" t="str">
        <f t="shared" si="552"/>
        <v>4Q25</v>
      </c>
      <c r="T275" s="56">
        <f t="shared" si="552"/>
        <v>2025</v>
      </c>
      <c r="U275" s="56" t="str">
        <f t="shared" si="552"/>
        <v>1Q26</v>
      </c>
      <c r="V275" s="56" t="str">
        <f t="shared" si="552"/>
        <v>2Q26</v>
      </c>
      <c r="W275" s="56" t="str">
        <f t="shared" si="552"/>
        <v>3Q26e</v>
      </c>
      <c r="X275" s="56" t="str">
        <f t="shared" si="552"/>
        <v>4Q26e</v>
      </c>
      <c r="Y275" s="56" t="str">
        <f t="shared" si="552"/>
        <v>2026e</v>
      </c>
      <c r="Z275" s="56" t="str">
        <f t="shared" si="552"/>
        <v>1Q27e</v>
      </c>
      <c r="AA275" s="56" t="str">
        <f t="shared" si="552"/>
        <v>2Q27e</v>
      </c>
      <c r="AB275" s="56" t="str">
        <f t="shared" si="552"/>
        <v>3Q27e</v>
      </c>
      <c r="AC275" s="56" t="str">
        <f t="shared" si="552"/>
        <v>4Q27e</v>
      </c>
      <c r="AD275" s="56" t="str">
        <f t="shared" si="552"/>
        <v>2027e</v>
      </c>
      <c r="AE275" s="56" t="str">
        <f t="shared" si="552"/>
        <v>2028e</v>
      </c>
      <c r="AF275" s="56" t="str">
        <f t="shared" si="552"/>
        <v>2029e</v>
      </c>
      <c r="AG275" s="57" t="str">
        <f t="shared" si="552"/>
        <v>2030e</v>
      </c>
      <c r="AH275" s="211" t="s">
        <v>1</v>
      </c>
      <c r="AI275" s="12"/>
      <c r="AJ275" s="12"/>
      <c r="AK275" s="12"/>
    </row>
    <row r="276" spans="1:37" ht="13.5" customHeight="1">
      <c r="A276" s="211"/>
      <c r="B276" s="12"/>
      <c r="C276" s="12"/>
      <c r="D276" s="12"/>
      <c r="E276" s="12"/>
      <c r="F276" s="261"/>
      <c r="G276" s="261"/>
      <c r="H276" s="261"/>
      <c r="I276" s="261"/>
      <c r="J276" s="12"/>
      <c r="K276" s="261"/>
      <c r="L276" s="261"/>
      <c r="M276" s="261"/>
      <c r="N276" s="261"/>
      <c r="O276" s="12"/>
      <c r="P276" s="261"/>
      <c r="Q276" s="261"/>
      <c r="R276" s="261"/>
      <c r="S276" s="261"/>
      <c r="T276" s="12"/>
      <c r="U276" s="261"/>
      <c r="V276" s="261"/>
      <c r="W276" s="261"/>
      <c r="X276" s="262"/>
      <c r="Y276" s="12"/>
      <c r="Z276" s="262"/>
      <c r="AA276" s="262"/>
      <c r="AB276" s="262"/>
      <c r="AC276" s="262"/>
      <c r="AD276" s="12"/>
      <c r="AE276" s="12"/>
      <c r="AF276" s="12"/>
      <c r="AG276" s="12"/>
      <c r="AH276" s="12"/>
      <c r="AI276" s="12"/>
      <c r="AJ276" s="12"/>
      <c r="AK276" s="12"/>
    </row>
    <row r="277" spans="1:37" ht="13.5" customHeight="1">
      <c r="A277" s="211"/>
      <c r="B277" s="12"/>
      <c r="C277" s="12" t="s">
        <v>420</v>
      </c>
      <c r="D277" s="12"/>
      <c r="E277" s="12"/>
      <c r="F277" s="303"/>
      <c r="G277" s="303"/>
      <c r="H277" s="303"/>
      <c r="I277" s="303"/>
      <c r="J277" s="12"/>
      <c r="K277" s="303"/>
      <c r="L277" s="303"/>
      <c r="M277" s="303"/>
      <c r="N277" s="303"/>
      <c r="O277" s="12"/>
      <c r="P277" s="303"/>
      <c r="Q277" s="303"/>
      <c r="R277" s="303"/>
      <c r="S277" s="303"/>
      <c r="T277" s="12"/>
      <c r="U277" s="303"/>
      <c r="V277" s="303"/>
      <c r="W277" s="303"/>
      <c r="X277" s="306">
        <f>W280</f>
        <v>673.74718900000005</v>
      </c>
      <c r="Y277" s="12"/>
      <c r="Z277" s="306">
        <f t="shared" ref="Z277:AC277" si="553">Y280</f>
        <v>671.60292276790472</v>
      </c>
      <c r="AA277" s="306">
        <f t="shared" si="553"/>
        <v>669.45865653580938</v>
      </c>
      <c r="AB277" s="306">
        <f t="shared" si="553"/>
        <v>667.31439030371405</v>
      </c>
      <c r="AC277" s="306">
        <f t="shared" si="553"/>
        <v>665.17012407161872</v>
      </c>
      <c r="AD277" s="131">
        <f>Y280</f>
        <v>671.60292276790472</v>
      </c>
      <c r="AE277" s="399">
        <f t="shared" ref="AE277:AG277" si="554">AD280</f>
        <v>663.02585783952316</v>
      </c>
      <c r="AF277" s="399">
        <f t="shared" si="554"/>
        <v>650.16026044695093</v>
      </c>
      <c r="AG277" s="399">
        <f t="shared" si="554"/>
        <v>637.2946630543787</v>
      </c>
      <c r="AH277" s="12"/>
      <c r="AI277" s="12"/>
      <c r="AJ277" s="12"/>
      <c r="AK277" s="12"/>
    </row>
    <row r="278" spans="1:37" ht="13.5" customHeight="1">
      <c r="A278" s="211"/>
      <c r="B278" s="12"/>
      <c r="C278" s="108" t="s">
        <v>421</v>
      </c>
      <c r="D278" s="12"/>
      <c r="E278" s="12"/>
      <c r="F278" s="400"/>
      <c r="G278" s="400"/>
      <c r="H278" s="400"/>
      <c r="I278" s="400"/>
      <c r="J278" s="401"/>
      <c r="K278" s="400"/>
      <c r="L278" s="400"/>
      <c r="M278" s="400"/>
      <c r="N278" s="400"/>
      <c r="O278" s="401"/>
      <c r="P278" s="400"/>
      <c r="Q278" s="400"/>
      <c r="R278" s="400"/>
      <c r="S278" s="400"/>
      <c r="T278" s="401"/>
      <c r="U278" s="400"/>
      <c r="V278" s="400"/>
      <c r="W278" s="400"/>
      <c r="X278" s="306">
        <f>X271</f>
        <v>0</v>
      </c>
      <c r="Y278" s="399">
        <f t="shared" ref="Y278:Y279" si="555">SUM(U278:X278)</f>
        <v>0</v>
      </c>
      <c r="Z278" s="306">
        <f t="shared" ref="Z278:AC278" si="556">Z271</f>
        <v>0</v>
      </c>
      <c r="AA278" s="306">
        <f t="shared" si="556"/>
        <v>0</v>
      </c>
      <c r="AB278" s="306">
        <f t="shared" si="556"/>
        <v>0</v>
      </c>
      <c r="AC278" s="306">
        <f t="shared" si="556"/>
        <v>0</v>
      </c>
      <c r="AD278" s="399">
        <f t="shared" ref="AD278:AD279" si="557">SUM(Z278:AC278)</f>
        <v>0</v>
      </c>
      <c r="AE278" s="399">
        <f t="shared" ref="AE278:AG278" si="558">AE271</f>
        <v>0</v>
      </c>
      <c r="AF278" s="399">
        <f t="shared" si="558"/>
        <v>0</v>
      </c>
      <c r="AG278" s="399">
        <f t="shared" si="558"/>
        <v>0</v>
      </c>
      <c r="AH278" s="12"/>
      <c r="AI278" s="12"/>
      <c r="AJ278" s="12"/>
      <c r="AK278" s="12"/>
    </row>
    <row r="279" spans="1:37" ht="13.5" customHeight="1">
      <c r="A279" s="211"/>
      <c r="B279" s="12"/>
      <c r="C279" s="108" t="s">
        <v>422</v>
      </c>
      <c r="D279" s="12"/>
      <c r="E279" s="12"/>
      <c r="F279" s="402"/>
      <c r="G279" s="402"/>
      <c r="H279" s="402"/>
      <c r="I279" s="402"/>
      <c r="J279" s="403"/>
      <c r="K279" s="402"/>
      <c r="L279" s="402"/>
      <c r="M279" s="402"/>
      <c r="N279" s="402"/>
      <c r="O279" s="403"/>
      <c r="P279" s="402"/>
      <c r="Q279" s="402"/>
      <c r="R279" s="402"/>
      <c r="S279" s="402"/>
      <c r="T279" s="403"/>
      <c r="U279" s="402"/>
      <c r="V279" s="402"/>
      <c r="W279" s="402"/>
      <c r="X279" s="404">
        <f>-X240</f>
        <v>-2.1442662320953767</v>
      </c>
      <c r="Y279" s="405">
        <f t="shared" si="555"/>
        <v>-2.1442662320953767</v>
      </c>
      <c r="Z279" s="404">
        <f t="shared" ref="Z279:AC279" si="559">-Z240</f>
        <v>-2.1442662320953767</v>
      </c>
      <c r="AA279" s="404">
        <f t="shared" si="559"/>
        <v>-2.1442662320953767</v>
      </c>
      <c r="AB279" s="404">
        <f t="shared" si="559"/>
        <v>-2.1442662320953767</v>
      </c>
      <c r="AC279" s="404">
        <f t="shared" si="559"/>
        <v>-2.1442662320953767</v>
      </c>
      <c r="AD279" s="405">
        <f t="shared" si="557"/>
        <v>-8.5770649283815068</v>
      </c>
      <c r="AE279" s="405">
        <f t="shared" ref="AE279:AG279" si="560">-AE240</f>
        <v>-12.865597392572262</v>
      </c>
      <c r="AF279" s="405">
        <f t="shared" si="560"/>
        <v>-12.865597392572262</v>
      </c>
      <c r="AG279" s="405">
        <f t="shared" si="560"/>
        <v>-12.865597392572262</v>
      </c>
      <c r="AH279" s="12"/>
      <c r="AI279" s="12"/>
      <c r="AJ279" s="12"/>
      <c r="AK279" s="12"/>
    </row>
    <row r="280" spans="1:37" ht="13.5" customHeight="1">
      <c r="A280" s="211"/>
      <c r="B280" s="12"/>
      <c r="C280" s="12" t="s">
        <v>423</v>
      </c>
      <c r="D280" s="12"/>
      <c r="E280" s="12"/>
      <c r="F280" s="304">
        <v>816.15397800000005</v>
      </c>
      <c r="G280" s="304">
        <v>808.27522899999997</v>
      </c>
      <c r="H280" s="304">
        <v>802.95700699999998</v>
      </c>
      <c r="I280" s="304">
        <f>J280</f>
        <v>612.47864300000003</v>
      </c>
      <c r="J280" s="312">
        <v>612.47864300000003</v>
      </c>
      <c r="K280" s="304">
        <v>816.15397800000005</v>
      </c>
      <c r="L280" s="304">
        <v>808.27522899999997</v>
      </c>
      <c r="M280" s="304">
        <v>802.95700699999998</v>
      </c>
      <c r="N280" s="304">
        <f>O280</f>
        <v>795.92271700000003</v>
      </c>
      <c r="O280" s="312">
        <v>795.92271700000003</v>
      </c>
      <c r="P280" s="304">
        <v>755.00277500000004</v>
      </c>
      <c r="Q280" s="304">
        <v>755.73604599999999</v>
      </c>
      <c r="R280" s="304">
        <v>732.72285899999997</v>
      </c>
      <c r="S280" s="304">
        <v>754.94864800000005</v>
      </c>
      <c r="T280" s="312">
        <f>S280</f>
        <v>754.94864800000005</v>
      </c>
      <c r="U280" s="304">
        <v>706.89013699999998</v>
      </c>
      <c r="V280" s="304">
        <v>692.43268999999998</v>
      </c>
      <c r="W280" s="304">
        <v>673.74718900000005</v>
      </c>
      <c r="X280" s="305">
        <f>SUM(X277:X279)</f>
        <v>671.60292276790472</v>
      </c>
      <c r="Y280" s="131">
        <f>X280</f>
        <v>671.60292276790472</v>
      </c>
      <c r="Z280" s="305">
        <f t="shared" ref="Z280:AG280" si="561">SUM(Z277:Z279)</f>
        <v>669.45865653580938</v>
      </c>
      <c r="AA280" s="305">
        <f t="shared" si="561"/>
        <v>667.31439030371405</v>
      </c>
      <c r="AB280" s="305">
        <f t="shared" si="561"/>
        <v>665.17012407161872</v>
      </c>
      <c r="AC280" s="305">
        <f t="shared" si="561"/>
        <v>663.02585783952338</v>
      </c>
      <c r="AD280" s="131">
        <f t="shared" si="561"/>
        <v>663.02585783952316</v>
      </c>
      <c r="AE280" s="131">
        <f t="shared" si="561"/>
        <v>650.16026044695093</v>
      </c>
      <c r="AF280" s="131">
        <f t="shared" si="561"/>
        <v>637.2946630543787</v>
      </c>
      <c r="AG280" s="131">
        <f t="shared" si="561"/>
        <v>624.42906566180648</v>
      </c>
      <c r="AH280" s="12"/>
      <c r="AI280" s="12"/>
      <c r="AJ280" s="12"/>
      <c r="AK280" s="12"/>
    </row>
    <row r="281" spans="1:37" ht="13.5" customHeight="1">
      <c r="A281" s="211"/>
      <c r="B281" s="12"/>
      <c r="C281" s="12"/>
      <c r="D281" s="12"/>
      <c r="E281" s="12"/>
      <c r="F281" s="330"/>
      <c r="G281" s="330"/>
      <c r="H281" s="330"/>
      <c r="I281" s="330"/>
      <c r="J281" s="131"/>
      <c r="K281" s="330"/>
      <c r="L281" s="330"/>
      <c r="M281" s="330"/>
      <c r="N281" s="330"/>
      <c r="O281" s="131"/>
      <c r="P281" s="330"/>
      <c r="Q281" s="330"/>
      <c r="R281" s="330"/>
      <c r="S281" s="330"/>
      <c r="T281" s="131"/>
      <c r="U281" s="330"/>
      <c r="V281" s="330"/>
      <c r="W281" s="330"/>
      <c r="X281" s="305"/>
      <c r="Y281" s="131"/>
      <c r="Z281" s="305"/>
      <c r="AA281" s="305"/>
      <c r="AB281" s="305"/>
      <c r="AC281" s="305"/>
      <c r="AD281" s="131"/>
      <c r="AE281" s="12"/>
      <c r="AF281" s="12"/>
      <c r="AG281" s="12"/>
      <c r="AH281" s="12"/>
      <c r="AI281" s="12"/>
      <c r="AJ281" s="12"/>
      <c r="AK281" s="12"/>
    </row>
    <row r="282" spans="1:37" ht="13.5" customHeight="1">
      <c r="A282" s="211"/>
      <c r="B282" s="12"/>
      <c r="C282" s="12" t="s">
        <v>424</v>
      </c>
      <c r="D282" s="12"/>
      <c r="E282" s="12"/>
      <c r="F282" s="304">
        <v>825</v>
      </c>
      <c r="G282" s="304">
        <v>813</v>
      </c>
      <c r="H282" s="304">
        <v>806</v>
      </c>
      <c r="I282" s="304">
        <v>801</v>
      </c>
      <c r="J282" s="312">
        <f>I282</f>
        <v>801</v>
      </c>
      <c r="K282" s="304">
        <v>825</v>
      </c>
      <c r="L282" s="304">
        <v>813</v>
      </c>
      <c r="M282" s="304">
        <v>806</v>
      </c>
      <c r="N282" s="304">
        <v>801</v>
      </c>
      <c r="O282" s="312">
        <f>N282</f>
        <v>801</v>
      </c>
      <c r="P282" s="304">
        <v>755</v>
      </c>
      <c r="Q282" s="304">
        <v>752</v>
      </c>
      <c r="R282" s="304">
        <v>752</v>
      </c>
      <c r="S282" s="304">
        <v>748</v>
      </c>
      <c r="T282" s="312">
        <f>S282</f>
        <v>748</v>
      </c>
      <c r="U282" s="304">
        <v>718</v>
      </c>
      <c r="V282" s="304">
        <v>705</v>
      </c>
      <c r="W282" s="304">
        <v>690</v>
      </c>
      <c r="X282" s="305">
        <f>AVERAGE(X280,X277)</f>
        <v>672.67505588395238</v>
      </c>
      <c r="Y282" s="131">
        <f>AVERAGE(U282:X282)</f>
        <v>696.41876397098804</v>
      </c>
      <c r="Z282" s="305">
        <f t="shared" ref="Z282:AC282" si="562">AVERAGE(Z280,Z277)</f>
        <v>670.53078965185705</v>
      </c>
      <c r="AA282" s="305">
        <f t="shared" si="562"/>
        <v>668.38652341976172</v>
      </c>
      <c r="AB282" s="305">
        <f t="shared" si="562"/>
        <v>666.24225718766638</v>
      </c>
      <c r="AC282" s="305">
        <f t="shared" si="562"/>
        <v>664.09799095557105</v>
      </c>
      <c r="AD282" s="131">
        <f>AVERAGE(Z282:AC282)</f>
        <v>667.31439030371405</v>
      </c>
      <c r="AE282" s="131">
        <f t="shared" ref="AE282:AG282" si="563">AVERAGE(AE280,AE277)</f>
        <v>656.59305914323704</v>
      </c>
      <c r="AF282" s="131">
        <f t="shared" si="563"/>
        <v>643.72746175066482</v>
      </c>
      <c r="AG282" s="131">
        <f t="shared" si="563"/>
        <v>630.86186435809259</v>
      </c>
      <c r="AH282" s="12"/>
      <c r="AI282" s="12"/>
      <c r="AJ282" s="12"/>
      <c r="AK282" s="12"/>
    </row>
    <row r="283" spans="1:37" ht="13.5" customHeight="1">
      <c r="A283" s="211"/>
      <c r="B283" s="12"/>
      <c r="C283" s="108" t="s">
        <v>425</v>
      </c>
      <c r="D283" s="12"/>
      <c r="E283" s="12"/>
      <c r="F283" s="318">
        <f t="shared" ref="F283:W283" si="564">F284-F282</f>
        <v>1</v>
      </c>
      <c r="G283" s="318">
        <f t="shared" si="564"/>
        <v>1</v>
      </c>
      <c r="H283" s="318">
        <f t="shared" si="564"/>
        <v>1</v>
      </c>
      <c r="I283" s="318">
        <f t="shared" si="564"/>
        <v>0</v>
      </c>
      <c r="J283" s="301">
        <f t="shared" si="564"/>
        <v>0</v>
      </c>
      <c r="K283" s="318">
        <f t="shared" si="564"/>
        <v>1</v>
      </c>
      <c r="L283" s="318">
        <f t="shared" si="564"/>
        <v>1</v>
      </c>
      <c r="M283" s="318">
        <f t="shared" si="564"/>
        <v>1</v>
      </c>
      <c r="N283" s="318">
        <f t="shared" si="564"/>
        <v>0</v>
      </c>
      <c r="O283" s="301">
        <f t="shared" si="564"/>
        <v>0</v>
      </c>
      <c r="P283" s="318">
        <f t="shared" si="564"/>
        <v>1</v>
      </c>
      <c r="Q283" s="318">
        <f t="shared" si="564"/>
        <v>1</v>
      </c>
      <c r="R283" s="318">
        <f t="shared" si="564"/>
        <v>2</v>
      </c>
      <c r="S283" s="318">
        <f t="shared" si="564"/>
        <v>2</v>
      </c>
      <c r="T283" s="301">
        <f t="shared" si="564"/>
        <v>2</v>
      </c>
      <c r="U283" s="318">
        <f t="shared" si="564"/>
        <v>2</v>
      </c>
      <c r="V283" s="318">
        <f t="shared" si="564"/>
        <v>2</v>
      </c>
      <c r="W283" s="318">
        <f t="shared" si="564"/>
        <v>2</v>
      </c>
      <c r="X283" s="314">
        <f>W283</f>
        <v>2</v>
      </c>
      <c r="Y283" s="301">
        <f>Y284-Y282</f>
        <v>2</v>
      </c>
      <c r="Z283" s="314">
        <f>X283</f>
        <v>2</v>
      </c>
      <c r="AA283" s="314">
        <f t="shared" ref="AA283:AC283" si="565">Z283</f>
        <v>2</v>
      </c>
      <c r="AB283" s="314">
        <f t="shared" si="565"/>
        <v>2</v>
      </c>
      <c r="AC283" s="314">
        <f t="shared" si="565"/>
        <v>2</v>
      </c>
      <c r="AD283" s="301">
        <f>AD284-AD282</f>
        <v>2</v>
      </c>
      <c r="AE283" s="315">
        <f>AC283</f>
        <v>2</v>
      </c>
      <c r="AF283" s="315">
        <f t="shared" ref="AF283:AG283" si="566">AE283</f>
        <v>2</v>
      </c>
      <c r="AG283" s="315">
        <f t="shared" si="566"/>
        <v>2</v>
      </c>
      <c r="AH283" s="12"/>
      <c r="AI283" s="12"/>
      <c r="AJ283" s="12"/>
      <c r="AK283" s="12"/>
    </row>
    <row r="284" spans="1:37" ht="13.5" customHeight="1">
      <c r="A284" s="211"/>
      <c r="B284" s="12"/>
      <c r="C284" s="12" t="s">
        <v>426</v>
      </c>
      <c r="D284" s="12"/>
      <c r="E284" s="12"/>
      <c r="F284" s="304">
        <v>826</v>
      </c>
      <c r="G284" s="304">
        <v>814</v>
      </c>
      <c r="H284" s="304">
        <v>807</v>
      </c>
      <c r="I284" s="304">
        <v>801</v>
      </c>
      <c r="J284" s="312">
        <f>I284</f>
        <v>801</v>
      </c>
      <c r="K284" s="304">
        <v>826</v>
      </c>
      <c r="L284" s="304">
        <v>814</v>
      </c>
      <c r="M284" s="304">
        <v>807</v>
      </c>
      <c r="N284" s="304">
        <v>801</v>
      </c>
      <c r="O284" s="312">
        <f>N284</f>
        <v>801</v>
      </c>
      <c r="P284" s="304">
        <v>756</v>
      </c>
      <c r="Q284" s="304">
        <v>753</v>
      </c>
      <c r="R284" s="304">
        <v>754</v>
      </c>
      <c r="S284" s="304">
        <v>750</v>
      </c>
      <c r="T284" s="312">
        <f>S284</f>
        <v>750</v>
      </c>
      <c r="U284" s="304">
        <v>720</v>
      </c>
      <c r="V284" s="304">
        <v>707</v>
      </c>
      <c r="W284" s="304">
        <v>692</v>
      </c>
      <c r="X284" s="305">
        <f>SUM(X282:X283)</f>
        <v>674.67505588395238</v>
      </c>
      <c r="Y284" s="131">
        <f>AVERAGE(U284:X284)</f>
        <v>698.41876397098804</v>
      </c>
      <c r="Z284" s="305">
        <f t="shared" ref="Z284:AC284" si="567">SUM(Z282:Z283)</f>
        <v>672.53078965185705</v>
      </c>
      <c r="AA284" s="305">
        <f t="shared" si="567"/>
        <v>670.38652341976172</v>
      </c>
      <c r="AB284" s="305">
        <f t="shared" si="567"/>
        <v>668.24225718766638</v>
      </c>
      <c r="AC284" s="305">
        <f t="shared" si="567"/>
        <v>666.09799095557105</v>
      </c>
      <c r="AD284" s="131">
        <f>AVERAGE(Z284:AC284)</f>
        <v>669.31439030371405</v>
      </c>
      <c r="AE284" s="131">
        <f t="shared" ref="AE284:AG284" si="568">SUM(AE282:AE283)</f>
        <v>658.59305914323704</v>
      </c>
      <c r="AF284" s="131">
        <f t="shared" si="568"/>
        <v>645.72746175066482</v>
      </c>
      <c r="AG284" s="131">
        <f t="shared" si="568"/>
        <v>632.86186435809259</v>
      </c>
      <c r="AH284" s="12"/>
      <c r="AI284" s="12"/>
      <c r="AJ284" s="12"/>
      <c r="AK284" s="12"/>
    </row>
    <row r="285" spans="1:37" ht="13.5" customHeight="1">
      <c r="A285" s="211"/>
      <c r="B285" s="12"/>
      <c r="C285" s="12"/>
      <c r="D285" s="12"/>
      <c r="E285" s="12"/>
      <c r="F285" s="261"/>
      <c r="G285" s="261"/>
      <c r="H285" s="261"/>
      <c r="I285" s="261"/>
      <c r="J285" s="12"/>
      <c r="K285" s="261"/>
      <c r="L285" s="261"/>
      <c r="M285" s="261"/>
      <c r="N285" s="261"/>
      <c r="O285" s="12"/>
      <c r="P285" s="261"/>
      <c r="Q285" s="261"/>
      <c r="R285" s="261"/>
      <c r="S285" s="261"/>
      <c r="T285" s="12"/>
      <c r="U285" s="261"/>
      <c r="V285" s="261"/>
      <c r="W285" s="261"/>
      <c r="X285" s="262"/>
      <c r="Y285" s="12"/>
      <c r="Z285" s="262"/>
      <c r="AA285" s="262"/>
      <c r="AB285" s="262"/>
      <c r="AC285" s="262"/>
      <c r="AD285" s="12"/>
      <c r="AE285" s="12"/>
      <c r="AF285" s="12"/>
      <c r="AG285" s="12"/>
      <c r="AH285" s="12"/>
      <c r="AI285" s="12"/>
      <c r="AJ285" s="12"/>
      <c r="AK285" s="12"/>
    </row>
    <row r="286" spans="1:37" ht="13.5" customHeight="1">
      <c r="A286" s="211" t="s">
        <v>1</v>
      </c>
      <c r="B286" s="40"/>
      <c r="C286" s="55" t="s">
        <v>427</v>
      </c>
      <c r="D286" s="15"/>
      <c r="E286" s="15"/>
      <c r="F286" s="259" t="str">
        <f>F$25</f>
        <v>1Q23</v>
      </c>
      <c r="G286" s="56" t="str">
        <f t="shared" ref="G286:AG286" si="569">G$63</f>
        <v>2Q23</v>
      </c>
      <c r="H286" s="56" t="str">
        <f t="shared" si="569"/>
        <v>3Q23</v>
      </c>
      <c r="I286" s="56" t="str">
        <f t="shared" si="569"/>
        <v>4Q23</v>
      </c>
      <c r="J286" s="56">
        <f t="shared" si="569"/>
        <v>2023</v>
      </c>
      <c r="K286" s="56" t="str">
        <f t="shared" si="569"/>
        <v>1Q24</v>
      </c>
      <c r="L286" s="56" t="str">
        <f t="shared" si="569"/>
        <v>2Q24</v>
      </c>
      <c r="M286" s="56" t="str">
        <f t="shared" si="569"/>
        <v>3Q24</v>
      </c>
      <c r="N286" s="56" t="str">
        <f t="shared" si="569"/>
        <v>4Q24</v>
      </c>
      <c r="O286" s="56">
        <f t="shared" si="569"/>
        <v>2024</v>
      </c>
      <c r="P286" s="56" t="str">
        <f t="shared" si="569"/>
        <v>1Q25</v>
      </c>
      <c r="Q286" s="56" t="str">
        <f t="shared" si="569"/>
        <v>2Q25</v>
      </c>
      <c r="R286" s="56" t="str">
        <f t="shared" si="569"/>
        <v>3Q25</v>
      </c>
      <c r="S286" s="56" t="str">
        <f t="shared" si="569"/>
        <v>4Q25</v>
      </c>
      <c r="T286" s="56">
        <f t="shared" si="569"/>
        <v>2025</v>
      </c>
      <c r="U286" s="56" t="str">
        <f t="shared" si="569"/>
        <v>1Q26</v>
      </c>
      <c r="V286" s="56" t="str">
        <f t="shared" si="569"/>
        <v>2Q26</v>
      </c>
      <c r="W286" s="56" t="str">
        <f t="shared" si="569"/>
        <v>3Q26e</v>
      </c>
      <c r="X286" s="56" t="str">
        <f t="shared" si="569"/>
        <v>4Q26e</v>
      </c>
      <c r="Y286" s="56" t="str">
        <f t="shared" si="569"/>
        <v>2026e</v>
      </c>
      <c r="Z286" s="56" t="str">
        <f t="shared" si="569"/>
        <v>1Q27e</v>
      </c>
      <c r="AA286" s="56" t="str">
        <f t="shared" si="569"/>
        <v>2Q27e</v>
      </c>
      <c r="AB286" s="56" t="str">
        <f t="shared" si="569"/>
        <v>3Q27e</v>
      </c>
      <c r="AC286" s="56" t="str">
        <f t="shared" si="569"/>
        <v>4Q27e</v>
      </c>
      <c r="AD286" s="56" t="str">
        <f t="shared" si="569"/>
        <v>2027e</v>
      </c>
      <c r="AE286" s="56" t="str">
        <f t="shared" si="569"/>
        <v>2028e</v>
      </c>
      <c r="AF286" s="56" t="str">
        <f t="shared" si="569"/>
        <v>2029e</v>
      </c>
      <c r="AG286" s="57" t="str">
        <f t="shared" si="569"/>
        <v>2030e</v>
      </c>
      <c r="AH286" s="211" t="s">
        <v>1</v>
      </c>
      <c r="AI286" s="12"/>
      <c r="AJ286" s="12"/>
      <c r="AK286" s="12"/>
    </row>
    <row r="287" spans="1:37" ht="13.5" customHeight="1">
      <c r="A287" s="211"/>
      <c r="B287" s="12"/>
      <c r="C287" s="12"/>
      <c r="D287" s="12"/>
      <c r="E287" s="12"/>
      <c r="F287" s="261"/>
      <c r="G287" s="261"/>
      <c r="H287" s="261"/>
      <c r="I287" s="261"/>
      <c r="J287" s="12"/>
      <c r="K287" s="261"/>
      <c r="L287" s="261"/>
      <c r="M287" s="261"/>
      <c r="N287" s="261"/>
      <c r="O287" s="12"/>
      <c r="P287" s="261"/>
      <c r="Q287" s="261"/>
      <c r="R287" s="261"/>
      <c r="S287" s="261"/>
      <c r="T287" s="12"/>
      <c r="U287" s="261"/>
      <c r="V287" s="261"/>
      <c r="W287" s="261"/>
      <c r="X287" s="262"/>
      <c r="Y287" s="12"/>
      <c r="Z287" s="262"/>
      <c r="AA287" s="262"/>
      <c r="AB287" s="262"/>
      <c r="AC287" s="262"/>
      <c r="AD287" s="12"/>
      <c r="AE287" s="12"/>
      <c r="AF287" s="12"/>
      <c r="AG287" s="12"/>
      <c r="AH287" s="12"/>
      <c r="AI287" s="12"/>
      <c r="AJ287" s="12"/>
      <c r="AK287" s="12"/>
    </row>
    <row r="288" spans="1:37" ht="13.5" customHeight="1">
      <c r="A288" s="211"/>
      <c r="B288" s="12"/>
      <c r="C288" s="12" t="s">
        <v>308</v>
      </c>
      <c r="D288" s="12"/>
      <c r="E288" s="12"/>
      <c r="F288" s="261"/>
      <c r="G288" s="261"/>
      <c r="H288" s="261"/>
      <c r="I288" s="261"/>
      <c r="J288" s="12"/>
      <c r="K288" s="261"/>
      <c r="L288" s="261"/>
      <c r="M288" s="261"/>
      <c r="N288" s="261"/>
      <c r="O288" s="12"/>
      <c r="P288" s="261"/>
      <c r="Q288" s="261"/>
      <c r="R288" s="261"/>
      <c r="S288" s="261"/>
      <c r="T288" s="12"/>
      <c r="U288" s="261"/>
      <c r="V288" s="261"/>
      <c r="W288" s="261"/>
      <c r="X288" s="227" t="str">
        <f ca="1">X87</f>
        <v/>
      </c>
      <c r="Y288" s="12"/>
      <c r="Z288" s="227" t="str">
        <f t="shared" ref="Z288:AC288" ca="1" si="570">Z87</f>
        <v/>
      </c>
      <c r="AA288" s="227" t="str">
        <f t="shared" ca="1" si="570"/>
        <v>#REF!</v>
      </c>
      <c r="AB288" s="227" t="str">
        <f t="shared" ca="1" si="570"/>
        <v>#REF!</v>
      </c>
      <c r="AC288" s="227" t="str">
        <f t="shared" ca="1" si="570"/>
        <v>#REF!</v>
      </c>
      <c r="AD288" s="12"/>
      <c r="AE288" s="228" t="str">
        <f t="shared" ref="AE288:AG288" ca="1" si="571">AE87</f>
        <v/>
      </c>
      <c r="AF288" s="228" t="str">
        <f t="shared" ca="1" si="571"/>
        <v>#REF!</v>
      </c>
      <c r="AG288" s="228" t="str">
        <f t="shared" ca="1" si="571"/>
        <v>#REF!</v>
      </c>
      <c r="AH288" s="12"/>
      <c r="AI288" s="12"/>
      <c r="AJ288" s="12"/>
      <c r="AK288" s="12"/>
    </row>
    <row r="289" spans="1:37" ht="13.5" customHeight="1">
      <c r="A289" s="211"/>
      <c r="B289" s="12"/>
      <c r="C289" s="108" t="s">
        <v>422</v>
      </c>
      <c r="D289" s="12"/>
      <c r="E289" s="12"/>
      <c r="F289" s="261"/>
      <c r="G289" s="261"/>
      <c r="H289" s="261"/>
      <c r="I289" s="261"/>
      <c r="J289" s="12"/>
      <c r="K289" s="261"/>
      <c r="L289" s="261"/>
      <c r="M289" s="261"/>
      <c r="N289" s="261"/>
      <c r="O289" s="12"/>
      <c r="P289" s="261"/>
      <c r="Q289" s="261"/>
      <c r="R289" s="261"/>
      <c r="S289" s="261"/>
      <c r="T289" s="12"/>
      <c r="U289" s="261"/>
      <c r="V289" s="261"/>
      <c r="W289" s="261"/>
      <c r="X289" s="305">
        <f>-X241</f>
        <v>-500</v>
      </c>
      <c r="Y289" s="12"/>
      <c r="Z289" s="305">
        <f t="shared" ref="Z289:AC289" si="572">-Z241</f>
        <v>-500</v>
      </c>
      <c r="AA289" s="305">
        <f t="shared" si="572"/>
        <v>-500</v>
      </c>
      <c r="AB289" s="305">
        <f t="shared" si="572"/>
        <v>-500</v>
      </c>
      <c r="AC289" s="305">
        <f t="shared" si="572"/>
        <v>-500</v>
      </c>
      <c r="AD289" s="12"/>
      <c r="AE289" s="131">
        <f t="shared" ref="AE289:AG289" si="573">-AE241</f>
        <v>-3000</v>
      </c>
      <c r="AF289" s="131">
        <f t="shared" si="573"/>
        <v>-3000</v>
      </c>
      <c r="AG289" s="131">
        <f t="shared" si="573"/>
        <v>-3000</v>
      </c>
      <c r="AH289" s="12"/>
      <c r="AI289" s="12"/>
      <c r="AJ289" s="12"/>
      <c r="AK289" s="12"/>
    </row>
    <row r="290" spans="1:37" ht="13.5" customHeight="1">
      <c r="A290" s="211"/>
      <c r="B290" s="12"/>
      <c r="C290" s="108" t="s">
        <v>408</v>
      </c>
      <c r="D290" s="12"/>
      <c r="E290" s="12"/>
      <c r="F290" s="261"/>
      <c r="G290" s="261"/>
      <c r="H290" s="261"/>
      <c r="I290" s="261"/>
      <c r="J290" s="12"/>
      <c r="K290" s="261"/>
      <c r="L290" s="261"/>
      <c r="M290" s="261"/>
      <c r="N290" s="261"/>
      <c r="O290" s="12"/>
      <c r="P290" s="261"/>
      <c r="Q290" s="261"/>
      <c r="R290" s="261"/>
      <c r="S290" s="261"/>
      <c r="T290" s="12"/>
      <c r="U290" s="261"/>
      <c r="V290" s="261"/>
      <c r="W290" s="261"/>
      <c r="X290" s="305">
        <f>-X267</f>
        <v>-519.79999999999995</v>
      </c>
      <c r="Y290" s="12"/>
      <c r="Z290" s="305">
        <f t="shared" ref="Z290:AC290" si="574">-Z267</f>
        <v>-505.99999999999994</v>
      </c>
      <c r="AA290" s="305">
        <f t="shared" si="574"/>
        <v>-494.49999999999994</v>
      </c>
      <c r="AB290" s="305">
        <f t="shared" si="574"/>
        <v>-647.44999999999993</v>
      </c>
      <c r="AC290" s="305">
        <f t="shared" si="574"/>
        <v>-597.76999999999987</v>
      </c>
      <c r="AD290" s="12"/>
      <c r="AE290" s="131">
        <f t="shared" ref="AE290:AG290" si="575">-AE267</f>
        <v>-2470.2919999999999</v>
      </c>
      <c r="AF290" s="131">
        <f t="shared" si="575"/>
        <v>-2717.3212000000003</v>
      </c>
      <c r="AG290" s="131">
        <f t="shared" si="575"/>
        <v>-2989.0533200000004</v>
      </c>
      <c r="AH290" s="12"/>
      <c r="AI290" s="12"/>
      <c r="AJ290" s="12"/>
      <c r="AK290" s="12"/>
    </row>
    <row r="291" spans="1:37" ht="13.5" customHeight="1">
      <c r="A291" s="211"/>
      <c r="B291" s="12"/>
      <c r="C291" s="108" t="s">
        <v>312</v>
      </c>
      <c r="D291" s="12"/>
      <c r="E291" s="12"/>
      <c r="F291" s="261"/>
      <c r="G291" s="261"/>
      <c r="H291" s="261"/>
      <c r="I291" s="261"/>
      <c r="J291" s="12"/>
      <c r="K291" s="261"/>
      <c r="L291" s="261"/>
      <c r="M291" s="261"/>
      <c r="N291" s="261"/>
      <c r="O291" s="12"/>
      <c r="P291" s="261"/>
      <c r="Q291" s="261"/>
      <c r="R291" s="261"/>
      <c r="S291" s="261"/>
      <c r="T291" s="12"/>
      <c r="U291" s="261"/>
      <c r="V291" s="261"/>
      <c r="W291" s="261"/>
      <c r="X291" s="276">
        <f>X245</f>
        <v>0</v>
      </c>
      <c r="Y291" s="12"/>
      <c r="Z291" s="276">
        <f t="shared" ref="Z291:AC291" si="576">Z245</f>
        <v>0</v>
      </c>
      <c r="AA291" s="276">
        <f t="shared" si="576"/>
        <v>0</v>
      </c>
      <c r="AB291" s="276">
        <f t="shared" si="576"/>
        <v>0</v>
      </c>
      <c r="AC291" s="276">
        <f t="shared" si="576"/>
        <v>0</v>
      </c>
      <c r="AD291" s="12"/>
      <c r="AE291" s="275">
        <f t="shared" ref="AE291:AG291" si="577">AE245</f>
        <v>0</v>
      </c>
      <c r="AF291" s="275">
        <f t="shared" si="577"/>
        <v>0</v>
      </c>
      <c r="AG291" s="275">
        <f t="shared" si="577"/>
        <v>0</v>
      </c>
      <c r="AH291" s="12"/>
      <c r="AI291" s="12"/>
      <c r="AJ291" s="12"/>
      <c r="AK291" s="12"/>
    </row>
    <row r="292" spans="1:37" ht="13.5" customHeight="1">
      <c r="A292" s="211"/>
      <c r="B292" s="12"/>
      <c r="C292" s="108" t="s">
        <v>320</v>
      </c>
      <c r="D292" s="12"/>
      <c r="E292" s="12"/>
      <c r="F292" s="261"/>
      <c r="G292" s="261"/>
      <c r="H292" s="261"/>
      <c r="I292" s="261"/>
      <c r="J292" s="12"/>
      <c r="K292" s="261"/>
      <c r="L292" s="261"/>
      <c r="M292" s="261"/>
      <c r="N292" s="261"/>
      <c r="O292" s="12"/>
      <c r="P292" s="261"/>
      <c r="Q292" s="261"/>
      <c r="R292" s="261"/>
      <c r="S292" s="261"/>
      <c r="T292" s="12"/>
      <c r="U292" s="261"/>
      <c r="V292" s="261"/>
      <c r="W292" s="261"/>
      <c r="X292" s="305">
        <f>X102</f>
        <v>6673</v>
      </c>
      <c r="Y292" s="12"/>
      <c r="Z292" s="305" t="str">
        <f t="shared" ref="Z292:AC292" ca="1" si="578">Z102</f>
        <v/>
      </c>
      <c r="AA292" s="305" t="str">
        <f t="shared" ca="1" si="578"/>
        <v>#REF!</v>
      </c>
      <c r="AB292" s="305" t="str">
        <f t="shared" ca="1" si="578"/>
        <v>#REF!</v>
      </c>
      <c r="AC292" s="305" t="str">
        <f t="shared" ca="1" si="578"/>
        <v>#REF!</v>
      </c>
      <c r="AD292" s="12"/>
      <c r="AE292" s="131" t="str">
        <f t="shared" ref="AE292:AG292" ca="1" si="579">AE102</f>
        <v/>
      </c>
      <c r="AF292" s="131" t="str">
        <f t="shared" ca="1" si="579"/>
        <v>#REF!</v>
      </c>
      <c r="AG292" s="131" t="str">
        <f t="shared" ca="1" si="579"/>
        <v>#REF!</v>
      </c>
      <c r="AH292" s="12"/>
      <c r="AI292" s="12"/>
      <c r="AJ292" s="12"/>
      <c r="AK292" s="12"/>
    </row>
    <row r="293" spans="1:37" ht="13.5" customHeight="1">
      <c r="A293" s="211"/>
      <c r="B293" s="12"/>
      <c r="C293" s="108" t="s">
        <v>428</v>
      </c>
      <c r="D293" s="12"/>
      <c r="E293" s="12"/>
      <c r="F293" s="261"/>
      <c r="G293" s="261"/>
      <c r="H293" s="261"/>
      <c r="I293" s="261"/>
      <c r="J293" s="12"/>
      <c r="K293" s="261"/>
      <c r="L293" s="261"/>
      <c r="M293" s="261"/>
      <c r="N293" s="261"/>
      <c r="O293" s="12"/>
      <c r="P293" s="261"/>
      <c r="Q293" s="261"/>
      <c r="R293" s="261"/>
      <c r="S293" s="261"/>
      <c r="T293" s="12"/>
      <c r="U293" s="261"/>
      <c r="V293" s="261"/>
      <c r="W293" s="261"/>
      <c r="X293" s="305">
        <f>X299*X28</f>
        <v>-315.20845191861622</v>
      </c>
      <c r="Y293" s="12"/>
      <c r="Z293" s="305">
        <f t="shared" ref="Z293:AC293" si="580">Z299*Z28</f>
        <v>-371.94597326396712</v>
      </c>
      <c r="AA293" s="305">
        <f t="shared" si="580"/>
        <v>-424.01840952092255</v>
      </c>
      <c r="AB293" s="305">
        <f t="shared" si="580"/>
        <v>-373.13620037841184</v>
      </c>
      <c r="AC293" s="305">
        <f t="shared" si="580"/>
        <v>-354.47939035949122</v>
      </c>
      <c r="AD293" s="12"/>
      <c r="AE293" s="131">
        <f t="shared" ref="AE293:AG293" si="581">AE299*AE28</f>
        <v>-1554.0515729932483</v>
      </c>
      <c r="AF293" s="131">
        <f t="shared" si="581"/>
        <v>-1585.1326044531133</v>
      </c>
      <c r="AG293" s="131">
        <f t="shared" si="581"/>
        <v>-1616.8352565421756</v>
      </c>
      <c r="AH293" s="12"/>
      <c r="AI293" s="12"/>
      <c r="AJ293" s="12"/>
      <c r="AK293" s="12"/>
    </row>
    <row r="294" spans="1:37" ht="13.5" customHeight="1">
      <c r="A294" s="211"/>
      <c r="B294" s="12"/>
      <c r="C294" s="108" t="s">
        <v>429</v>
      </c>
      <c r="D294" s="12"/>
      <c r="E294" s="12"/>
      <c r="F294" s="261"/>
      <c r="G294" s="261"/>
      <c r="H294" s="261"/>
      <c r="I294" s="261"/>
      <c r="J294" s="12"/>
      <c r="K294" s="261"/>
      <c r="L294" s="261"/>
      <c r="M294" s="261"/>
      <c r="N294" s="261"/>
      <c r="O294" s="12"/>
      <c r="P294" s="261"/>
      <c r="Q294" s="261"/>
      <c r="R294" s="261"/>
      <c r="S294" s="261"/>
      <c r="T294" s="12"/>
      <c r="U294" s="261"/>
      <c r="V294" s="261"/>
      <c r="W294" s="261"/>
      <c r="X294" s="227" t="str">
        <f ca="1">SUM(X288:X293)</f>
        <v/>
      </c>
      <c r="Y294" s="12"/>
      <c r="Z294" s="227" t="str">
        <f t="shared" ref="Z294:AC294" ca="1" si="582">SUM(Z288:Z293)</f>
        <v/>
      </c>
      <c r="AA294" s="227" t="str">
        <f t="shared" ca="1" si="582"/>
        <v>#REF!</v>
      </c>
      <c r="AB294" s="227" t="str">
        <f t="shared" ca="1" si="582"/>
        <v>#REF!</v>
      </c>
      <c r="AC294" s="227" t="str">
        <f t="shared" ca="1" si="582"/>
        <v>#REF!</v>
      </c>
      <c r="AD294" s="12"/>
      <c r="AE294" s="228" t="str">
        <f t="shared" ref="AE294:AG294" ca="1" si="583">SUM(AE288:AE293)</f>
        <v/>
      </c>
      <c r="AF294" s="228" t="str">
        <f t="shared" ca="1" si="583"/>
        <v>#REF!</v>
      </c>
      <c r="AG294" s="228" t="str">
        <f t="shared" ca="1" si="583"/>
        <v>#REF!</v>
      </c>
      <c r="AH294" s="12"/>
      <c r="AI294" s="12"/>
      <c r="AJ294" s="12"/>
      <c r="AK294" s="12"/>
    </row>
    <row r="295" spans="1:37" ht="13.5" customHeight="1">
      <c r="A295" s="211"/>
      <c r="B295" s="12"/>
      <c r="C295" s="108" t="s">
        <v>430</v>
      </c>
      <c r="D295" s="12"/>
      <c r="E295" s="12"/>
      <c r="F295" s="261"/>
      <c r="G295" s="261"/>
      <c r="H295" s="261"/>
      <c r="I295" s="261"/>
      <c r="J295" s="12"/>
      <c r="K295" s="261"/>
      <c r="L295" s="261"/>
      <c r="M295" s="261"/>
      <c r="N295" s="261"/>
      <c r="O295" s="12"/>
      <c r="P295" s="261"/>
      <c r="Q295" s="261"/>
      <c r="R295" s="261"/>
      <c r="S295" s="261"/>
      <c r="T295" s="12"/>
      <c r="U295" s="261"/>
      <c r="V295" s="261"/>
      <c r="W295" s="261"/>
      <c r="X295" s="406">
        <f>Drivers!X152</f>
        <v>0</v>
      </c>
      <c r="Y295" s="407"/>
      <c r="Z295" s="406">
        <f>Drivers!Z152</f>
        <v>0</v>
      </c>
      <c r="AA295" s="406">
        <f>Drivers!AA152</f>
        <v>0</v>
      </c>
      <c r="AB295" s="406">
        <f>Drivers!AB152</f>
        <v>0</v>
      </c>
      <c r="AC295" s="406">
        <f>Drivers!AC152</f>
        <v>0</v>
      </c>
      <c r="AD295" s="12"/>
      <c r="AE295" s="408">
        <f>Drivers!AE152</f>
        <v>0</v>
      </c>
      <c r="AF295" s="408">
        <f>Drivers!AF152</f>
        <v>0</v>
      </c>
      <c r="AG295" s="408">
        <f>Drivers!AG152</f>
        <v>0</v>
      </c>
      <c r="AH295" s="12"/>
      <c r="AI295" s="12"/>
      <c r="AJ295" s="12"/>
      <c r="AK295" s="12"/>
    </row>
    <row r="296" spans="1:37" ht="13.5" customHeight="1">
      <c r="A296" s="211"/>
      <c r="B296" s="12"/>
      <c r="C296" s="108" t="s">
        <v>431</v>
      </c>
      <c r="D296" s="12"/>
      <c r="E296" s="12"/>
      <c r="F296" s="261"/>
      <c r="G296" s="261"/>
      <c r="H296" s="261"/>
      <c r="I296" s="261"/>
      <c r="J296" s="12"/>
      <c r="K296" s="261"/>
      <c r="L296" s="261"/>
      <c r="M296" s="261"/>
      <c r="N296" s="261"/>
      <c r="O296" s="12"/>
      <c r="P296" s="261"/>
      <c r="Q296" s="261"/>
      <c r="R296" s="261"/>
      <c r="S296" s="261"/>
      <c r="T296" s="12"/>
      <c r="U296" s="261"/>
      <c r="V296" s="261"/>
      <c r="W296" s="261"/>
      <c r="X296" s="406">
        <f>Drivers!X157</f>
        <v>-500</v>
      </c>
      <c r="Y296" s="407"/>
      <c r="Z296" s="406">
        <f>Drivers!Z157</f>
        <v>-500</v>
      </c>
      <c r="AA296" s="406">
        <f>Drivers!AA157</f>
        <v>-500</v>
      </c>
      <c r="AB296" s="406">
        <f>Drivers!AB157</f>
        <v>-500</v>
      </c>
      <c r="AC296" s="406">
        <f>Drivers!AC157</f>
        <v>-500</v>
      </c>
      <c r="AD296" s="12"/>
      <c r="AE296" s="408">
        <f>Drivers!AE157</f>
        <v>-1400</v>
      </c>
      <c r="AF296" s="408">
        <f>Drivers!AF157</f>
        <v>-1300</v>
      </c>
      <c r="AG296" s="408">
        <f>Drivers!AG157</f>
        <v>-1200</v>
      </c>
      <c r="AH296" s="12"/>
      <c r="AI296" s="12"/>
      <c r="AJ296" s="12"/>
      <c r="AK296" s="12"/>
    </row>
    <row r="297" spans="1:37" ht="13.5" customHeight="1">
      <c r="A297" s="211"/>
      <c r="B297" s="12"/>
      <c r="C297" s="12" t="s">
        <v>432</v>
      </c>
      <c r="D297" s="12"/>
      <c r="E297" s="12"/>
      <c r="F297" s="261"/>
      <c r="G297" s="261"/>
      <c r="H297" s="261"/>
      <c r="I297" s="261"/>
      <c r="J297" s="12"/>
      <c r="K297" s="261"/>
      <c r="L297" s="261"/>
      <c r="M297" s="261"/>
      <c r="N297" s="261"/>
      <c r="O297" s="12"/>
      <c r="P297" s="261"/>
      <c r="Q297" s="261"/>
      <c r="R297" s="261"/>
      <c r="S297" s="261"/>
      <c r="T297" s="12"/>
      <c r="U297" s="261"/>
      <c r="V297" s="261"/>
      <c r="W297" s="261"/>
      <c r="X297" s="227" t="str">
        <f ca="1">SUM(X294:X296)</f>
        <v/>
      </c>
      <c r="Y297" s="12"/>
      <c r="Z297" s="227" t="str">
        <f t="shared" ref="Z297:AC297" ca="1" si="584">SUM(Z294:Z296)</f>
        <v/>
      </c>
      <c r="AA297" s="227" t="str">
        <f t="shared" ca="1" si="584"/>
        <v>#REF!</v>
      </c>
      <c r="AB297" s="227" t="str">
        <f t="shared" ca="1" si="584"/>
        <v>#REF!</v>
      </c>
      <c r="AC297" s="227" t="str">
        <f t="shared" ca="1" si="584"/>
        <v>#REF!</v>
      </c>
      <c r="AD297" s="12"/>
      <c r="AE297" s="228" t="str">
        <f t="shared" ref="AE297:AG297" ca="1" si="585">SUM(AE294:AE296)</f>
        <v/>
      </c>
      <c r="AF297" s="228" t="str">
        <f t="shared" ca="1" si="585"/>
        <v>#REF!</v>
      </c>
      <c r="AG297" s="228" t="str">
        <f t="shared" ca="1" si="585"/>
        <v>#REF!</v>
      </c>
      <c r="AH297" s="12"/>
      <c r="AI297" s="12"/>
      <c r="AJ297" s="12"/>
      <c r="AK297" s="12"/>
    </row>
    <row r="298" spans="1:37" ht="13.5" customHeight="1">
      <c r="A298" s="211"/>
      <c r="B298" s="12"/>
      <c r="C298" s="12"/>
      <c r="D298" s="12"/>
      <c r="E298" s="12"/>
      <c r="F298" s="261"/>
      <c r="G298" s="261"/>
      <c r="H298" s="261"/>
      <c r="I298" s="261"/>
      <c r="J298" s="12"/>
      <c r="K298" s="261"/>
      <c r="L298" s="261"/>
      <c r="M298" s="261"/>
      <c r="N298" s="261"/>
      <c r="O298" s="12"/>
      <c r="P298" s="261"/>
      <c r="Q298" s="261"/>
      <c r="R298" s="261"/>
      <c r="S298" s="261"/>
      <c r="T298" s="12"/>
      <c r="U298" s="261"/>
      <c r="V298" s="261"/>
      <c r="W298" s="261"/>
      <c r="X298" s="262"/>
      <c r="Y298" s="12"/>
      <c r="Z298" s="262"/>
      <c r="AA298" s="262"/>
      <c r="AB298" s="262"/>
      <c r="AC298" s="262"/>
      <c r="AD298" s="12"/>
      <c r="AE298" s="12"/>
      <c r="AF298" s="12"/>
      <c r="AG298" s="12"/>
      <c r="AH298" s="12"/>
      <c r="AI298" s="12"/>
      <c r="AJ298" s="12"/>
      <c r="AK298" s="12"/>
    </row>
    <row r="299" spans="1:37" ht="13.5" customHeight="1">
      <c r="A299" s="211"/>
      <c r="B299" s="12"/>
      <c r="C299" s="249" t="s">
        <v>433</v>
      </c>
      <c r="D299" s="12"/>
      <c r="E299" s="12"/>
      <c r="F299" s="409">
        <f t="shared" ref="F299:W299" si="586">F178/F28</f>
        <v>0</v>
      </c>
      <c r="G299" s="409">
        <f t="shared" si="586"/>
        <v>-0.16395964921773373</v>
      </c>
      <c r="H299" s="409">
        <f t="shared" si="586"/>
        <v>6.5671599504921019E-2</v>
      </c>
      <c r="I299" s="409">
        <f t="shared" si="586"/>
        <v>-1.9227144203581724E-3</v>
      </c>
      <c r="J299" s="410">
        <f t="shared" si="586"/>
        <v>0</v>
      </c>
      <c r="K299" s="409">
        <f t="shared" si="586"/>
        <v>-0.27800871677317185</v>
      </c>
      <c r="L299" s="409">
        <f t="shared" si="586"/>
        <v>0.1346550117110964</v>
      </c>
      <c r="M299" s="409">
        <f t="shared" si="586"/>
        <v>5.8420086591929364E-3</v>
      </c>
      <c r="N299" s="409">
        <f t="shared" si="586"/>
        <v>7.7583076310936222E-2</v>
      </c>
      <c r="O299" s="410">
        <f t="shared" si="586"/>
        <v>-1.1935678721393736E-2</v>
      </c>
      <c r="P299" s="409">
        <f t="shared" si="586"/>
        <v>-0.13178850667863315</v>
      </c>
      <c r="Q299" s="409">
        <f t="shared" si="586"/>
        <v>4.2442635122535509E-2</v>
      </c>
      <c r="R299" s="409">
        <f t="shared" si="586"/>
        <v>-0.14947342412326625</v>
      </c>
      <c r="S299" s="409">
        <f t="shared" si="586"/>
        <v>-3.1003931535615838E-2</v>
      </c>
      <c r="T299" s="410">
        <f t="shared" si="586"/>
        <v>-6.6690892573044461E-2</v>
      </c>
      <c r="U299" s="409">
        <f t="shared" si="586"/>
        <v>-0.17918159519409232</v>
      </c>
      <c r="V299" s="409">
        <f t="shared" si="586"/>
        <v>0.44165103373231773</v>
      </c>
      <c r="W299" s="409">
        <f t="shared" si="586"/>
        <v>-1.7453529976437735E-3</v>
      </c>
      <c r="X299" s="411">
        <f>AVERAGE($F$299:$V$299)</f>
        <v>-1.4477632011547633E-2</v>
      </c>
      <c r="Y299" s="12"/>
      <c r="Z299" s="411">
        <f t="shared" ref="Z299:AC299" si="587">AVERAGE($F$299:$V$299)</f>
        <v>-1.4477632011547633E-2</v>
      </c>
      <c r="AA299" s="411">
        <f t="shared" si="587"/>
        <v>-1.4477632011547633E-2</v>
      </c>
      <c r="AB299" s="411">
        <f t="shared" si="587"/>
        <v>-1.4477632011547633E-2</v>
      </c>
      <c r="AC299" s="411">
        <f t="shared" si="587"/>
        <v>-1.4477632011547633E-2</v>
      </c>
      <c r="AD299" s="12"/>
      <c r="AE299" s="410">
        <f t="shared" ref="AE299:AG299" si="588">AVERAGE($F$299:$V$299)</f>
        <v>-1.4477632011547633E-2</v>
      </c>
      <c r="AF299" s="410">
        <f t="shared" si="588"/>
        <v>-1.4477632011547633E-2</v>
      </c>
      <c r="AG299" s="410">
        <f t="shared" si="588"/>
        <v>-1.4477632011547633E-2</v>
      </c>
      <c r="AH299" s="12"/>
      <c r="AI299" s="12"/>
      <c r="AJ299" s="12"/>
      <c r="AK299" s="12"/>
    </row>
    <row r="300" spans="1:37" ht="13.5" customHeight="1">
      <c r="A300" s="211"/>
      <c r="B300" s="12"/>
      <c r="C300" s="12"/>
      <c r="D300" s="12"/>
      <c r="E300" s="12"/>
      <c r="F300" s="261"/>
      <c r="G300" s="261"/>
      <c r="H300" s="261"/>
      <c r="I300" s="261"/>
      <c r="J300" s="12"/>
      <c r="K300" s="261"/>
      <c r="L300" s="261"/>
      <c r="M300" s="261"/>
      <c r="N300" s="261"/>
      <c r="O300" s="12"/>
      <c r="P300" s="261"/>
      <c r="Q300" s="261"/>
      <c r="R300" s="261"/>
      <c r="S300" s="261"/>
      <c r="T300" s="12"/>
      <c r="U300" s="261"/>
      <c r="V300" s="261"/>
      <c r="W300" s="261"/>
      <c r="X300" s="262"/>
      <c r="Y300" s="12"/>
      <c r="Z300" s="262"/>
      <c r="AA300" s="262"/>
      <c r="AB300" s="262"/>
      <c r="AC300" s="262"/>
      <c r="AD300" s="12"/>
      <c r="AE300" s="12"/>
      <c r="AF300" s="12"/>
      <c r="AG300" s="12"/>
      <c r="AH300" s="12"/>
      <c r="AI300" s="12"/>
      <c r="AJ300" s="12"/>
      <c r="AK300" s="12"/>
    </row>
    <row r="301" spans="1:37" ht="13.5" customHeight="1">
      <c r="A301" s="211"/>
      <c r="B301" s="12"/>
      <c r="C301" s="100" t="s">
        <v>434</v>
      </c>
      <c r="D301" s="12"/>
      <c r="E301" s="12"/>
      <c r="F301" s="261"/>
      <c r="G301" s="261"/>
      <c r="H301" s="261"/>
      <c r="I301" s="261"/>
      <c r="J301" s="12"/>
      <c r="K301" s="261"/>
      <c r="L301" s="261"/>
      <c r="M301" s="261"/>
      <c r="N301" s="261"/>
      <c r="O301" s="12"/>
      <c r="P301" s="261"/>
      <c r="Q301" s="261"/>
      <c r="R301" s="261"/>
      <c r="S301" s="261"/>
      <c r="T301" s="12"/>
      <c r="U301" s="261"/>
      <c r="V301" s="261"/>
      <c r="W301" s="261"/>
      <c r="X301" s="262"/>
      <c r="Y301" s="12"/>
      <c r="Z301" s="262"/>
      <c r="AA301" s="262"/>
      <c r="AB301" s="262"/>
      <c r="AC301" s="262"/>
      <c r="AD301" s="12"/>
      <c r="AE301" s="12"/>
      <c r="AF301" s="12"/>
      <c r="AG301" s="12"/>
      <c r="AH301" s="12"/>
      <c r="AI301" s="12"/>
      <c r="AJ301" s="12"/>
      <c r="AK301" s="12"/>
    </row>
    <row r="302" spans="1:37" ht="13.5" customHeight="1">
      <c r="A302" s="211"/>
      <c r="B302" s="12"/>
      <c r="C302" s="108" t="s">
        <v>403</v>
      </c>
      <c r="D302" s="12"/>
      <c r="E302" s="12"/>
      <c r="F302" s="362">
        <f t="shared" ref="F302:I302" si="589">E304</f>
        <v>0</v>
      </c>
      <c r="G302" s="299">
        <f t="shared" si="589"/>
        <v>0</v>
      </c>
      <c r="H302" s="299">
        <f t="shared" si="589"/>
        <v>0</v>
      </c>
      <c r="I302" s="299">
        <f t="shared" si="589"/>
        <v>0</v>
      </c>
      <c r="J302" s="228">
        <f>F302</f>
        <v>0</v>
      </c>
      <c r="K302" s="299">
        <f t="shared" ref="K302:N302" si="590">J304</f>
        <v>0</v>
      </c>
      <c r="L302" s="299">
        <f t="shared" si="590"/>
        <v>0</v>
      </c>
      <c r="M302" s="299">
        <f t="shared" si="590"/>
        <v>0</v>
      </c>
      <c r="N302" s="299">
        <f t="shared" si="590"/>
        <v>0</v>
      </c>
      <c r="O302" s="228">
        <f>K302</f>
        <v>0</v>
      </c>
      <c r="P302" s="299">
        <f t="shared" ref="P302:S302" si="591">O304</f>
        <v>0</v>
      </c>
      <c r="Q302" s="299">
        <f t="shared" si="591"/>
        <v>0</v>
      </c>
      <c r="R302" s="299">
        <f t="shared" si="591"/>
        <v>0</v>
      </c>
      <c r="S302" s="299">
        <f t="shared" si="591"/>
        <v>0</v>
      </c>
      <c r="T302" s="228">
        <f>P302</f>
        <v>0</v>
      </c>
      <c r="U302" s="299">
        <f t="shared" ref="U302:X302" si="592">T304</f>
        <v>0</v>
      </c>
      <c r="V302" s="299">
        <f t="shared" si="592"/>
        <v>0</v>
      </c>
      <c r="W302" s="299">
        <f t="shared" si="592"/>
        <v>0</v>
      </c>
      <c r="X302" s="227">
        <f t="shared" si="592"/>
        <v>0</v>
      </c>
      <c r="Y302" s="12"/>
      <c r="Z302" s="227" t="str">
        <f ca="1">X304</f>
        <v/>
      </c>
      <c r="AA302" s="227" t="str">
        <f t="shared" ref="AA302:AC302" ca="1" si="593">Z304</f>
        <v/>
      </c>
      <c r="AB302" s="227" t="str">
        <f t="shared" ca="1" si="593"/>
        <v>#REF!</v>
      </c>
      <c r="AC302" s="227" t="str">
        <f t="shared" ca="1" si="593"/>
        <v>#REF!</v>
      </c>
      <c r="AD302" s="12"/>
      <c r="AE302" s="228" t="str">
        <f ca="1">AC304</f>
        <v/>
      </c>
      <c r="AF302" s="228" t="str">
        <f t="shared" ref="AF302:AG302" ca="1" si="594">AE304</f>
        <v/>
      </c>
      <c r="AG302" s="228" t="str">
        <f t="shared" ca="1" si="594"/>
        <v>#REF!</v>
      </c>
      <c r="AH302" s="12"/>
      <c r="AI302" s="12"/>
      <c r="AJ302" s="12"/>
      <c r="AK302" s="12"/>
    </row>
    <row r="303" spans="1:37" ht="13.5" customHeight="1">
      <c r="A303" s="211"/>
      <c r="B303" s="12"/>
      <c r="C303" s="108" t="s">
        <v>435</v>
      </c>
      <c r="D303" s="12"/>
      <c r="E303" s="12"/>
      <c r="F303" s="330">
        <f t="shared" ref="F303:I303" si="595">F304-F302</f>
        <v>0</v>
      </c>
      <c r="G303" s="330">
        <f t="shared" si="595"/>
        <v>0</v>
      </c>
      <c r="H303" s="330">
        <f t="shared" si="595"/>
        <v>0</v>
      </c>
      <c r="I303" s="330">
        <f t="shared" si="595"/>
        <v>0</v>
      </c>
      <c r="J303" s="131">
        <f>IF(J305&gt;J302,J305-J302,0)</f>
        <v>0</v>
      </c>
      <c r="K303" s="330">
        <f t="shared" ref="K303:N303" si="596">K304-K302</f>
        <v>0</v>
      </c>
      <c r="L303" s="330">
        <f t="shared" si="596"/>
        <v>0</v>
      </c>
      <c r="M303" s="330">
        <f t="shared" si="596"/>
        <v>0</v>
      </c>
      <c r="N303" s="330">
        <f t="shared" si="596"/>
        <v>0</v>
      </c>
      <c r="O303" s="131">
        <f>IF(O305&gt;O302,O305-O302,0)</f>
        <v>0</v>
      </c>
      <c r="P303" s="330">
        <f t="shared" ref="P303:S303" si="597">P304-P302</f>
        <v>0</v>
      </c>
      <c r="Q303" s="330">
        <f t="shared" si="597"/>
        <v>0</v>
      </c>
      <c r="R303" s="330">
        <f t="shared" si="597"/>
        <v>0</v>
      </c>
      <c r="S303" s="330">
        <f t="shared" si="597"/>
        <v>0</v>
      </c>
      <c r="T303" s="131">
        <f>IF(T305&gt;T302,T305-T302,0)</f>
        <v>0</v>
      </c>
      <c r="U303" s="330">
        <f t="shared" ref="U303:W303" si="598">U304-U302</f>
        <v>0</v>
      </c>
      <c r="V303" s="330">
        <f t="shared" si="598"/>
        <v>0</v>
      </c>
      <c r="W303" s="330">
        <f t="shared" si="598"/>
        <v>0</v>
      </c>
      <c r="X303" s="276" t="str">
        <f ca="1">IF(X297&lt;0,-X297,IF(X297&gt;X302,-X302,-X297))</f>
        <v/>
      </c>
      <c r="Y303" s="12"/>
      <c r="Z303" s="276" t="str">
        <f t="shared" ref="Z303:AC303" ca="1" si="599">IF(Z297&lt;0,-Z297,IF(Z297&gt;Z302,-Z302,-Z297))</f>
        <v/>
      </c>
      <c r="AA303" s="276" t="str">
        <f t="shared" ca="1" si="599"/>
        <v>#REF!</v>
      </c>
      <c r="AB303" s="276" t="str">
        <f t="shared" ca="1" si="599"/>
        <v>#REF!</v>
      </c>
      <c r="AC303" s="276" t="str">
        <f t="shared" ca="1" si="599"/>
        <v>#REF!</v>
      </c>
      <c r="AD303" s="12"/>
      <c r="AE303" s="275" t="str">
        <f t="shared" ref="AE303:AG303" ca="1" si="600">IF(AE297&lt;0,-AE297,IF(AE297&gt;AE302,-AE302,-AE297))</f>
        <v/>
      </c>
      <c r="AF303" s="275" t="str">
        <f t="shared" ca="1" si="600"/>
        <v>#REF!</v>
      </c>
      <c r="AG303" s="275" t="str">
        <f t="shared" ca="1" si="600"/>
        <v>#REF!</v>
      </c>
      <c r="AH303" s="12"/>
      <c r="AI303" s="12"/>
      <c r="AJ303" s="12"/>
      <c r="AK303" s="12"/>
    </row>
    <row r="304" spans="1:37" ht="13.5" customHeight="1">
      <c r="A304" s="211"/>
      <c r="B304" s="12"/>
      <c r="C304" s="12" t="s">
        <v>406</v>
      </c>
      <c r="D304" s="12"/>
      <c r="E304" s="12"/>
      <c r="F304" s="299">
        <f t="shared" ref="F304:W304" si="601">F139</f>
        <v>0</v>
      </c>
      <c r="G304" s="299">
        <f t="shared" si="601"/>
        <v>0</v>
      </c>
      <c r="H304" s="299">
        <f t="shared" si="601"/>
        <v>0</v>
      </c>
      <c r="I304" s="299">
        <f t="shared" si="601"/>
        <v>0</v>
      </c>
      <c r="J304" s="228">
        <f t="shared" si="601"/>
        <v>0</v>
      </c>
      <c r="K304" s="299">
        <f t="shared" si="601"/>
        <v>0</v>
      </c>
      <c r="L304" s="299">
        <f t="shared" si="601"/>
        <v>0</v>
      </c>
      <c r="M304" s="299">
        <f t="shared" si="601"/>
        <v>0</v>
      </c>
      <c r="N304" s="299">
        <f t="shared" si="601"/>
        <v>0</v>
      </c>
      <c r="O304" s="228">
        <f t="shared" si="601"/>
        <v>0</v>
      </c>
      <c r="P304" s="299">
        <f t="shared" si="601"/>
        <v>0</v>
      </c>
      <c r="Q304" s="299">
        <f t="shared" si="601"/>
        <v>0</v>
      </c>
      <c r="R304" s="299">
        <f t="shared" si="601"/>
        <v>0</v>
      </c>
      <c r="S304" s="299">
        <f t="shared" si="601"/>
        <v>0</v>
      </c>
      <c r="T304" s="228">
        <f t="shared" si="601"/>
        <v>0</v>
      </c>
      <c r="U304" s="299">
        <f t="shared" si="601"/>
        <v>0</v>
      </c>
      <c r="V304" s="299">
        <f t="shared" si="601"/>
        <v>0</v>
      </c>
      <c r="W304" s="299">
        <f t="shared" si="601"/>
        <v>0</v>
      </c>
      <c r="X304" s="227" t="str">
        <f ca="1">SUM(X302:X303)</f>
        <v/>
      </c>
      <c r="Y304" s="12"/>
      <c r="Z304" s="227" t="str">
        <f t="shared" ref="Z304:AC304" ca="1" si="602">SUM(Z302:Z303)</f>
        <v/>
      </c>
      <c r="AA304" s="227" t="str">
        <f t="shared" ca="1" si="602"/>
        <v>#REF!</v>
      </c>
      <c r="AB304" s="227" t="str">
        <f t="shared" ca="1" si="602"/>
        <v>#REF!</v>
      </c>
      <c r="AC304" s="227" t="str">
        <f t="shared" ca="1" si="602"/>
        <v>#REF!</v>
      </c>
      <c r="AD304" s="12"/>
      <c r="AE304" s="228" t="str">
        <f t="shared" ref="AE304:AG304" ca="1" si="603">SUM(AE302:AE303)</f>
        <v/>
      </c>
      <c r="AF304" s="228" t="str">
        <f t="shared" ca="1" si="603"/>
        <v>#REF!</v>
      </c>
      <c r="AG304" s="228" t="str">
        <f t="shared" ca="1" si="603"/>
        <v>#REF!</v>
      </c>
      <c r="AH304" s="12"/>
      <c r="AI304" s="12"/>
      <c r="AJ304" s="12"/>
      <c r="AK304" s="12"/>
    </row>
    <row r="305" spans="1:37" ht="13.5" customHeight="1">
      <c r="A305" s="211"/>
      <c r="B305" s="12"/>
      <c r="C305" s="12"/>
      <c r="D305" s="12"/>
      <c r="E305" s="12"/>
      <c r="F305" s="330"/>
      <c r="G305" s="330"/>
      <c r="H305" s="330"/>
      <c r="I305" s="330"/>
      <c r="J305" s="131"/>
      <c r="K305" s="330"/>
      <c r="L305" s="330"/>
      <c r="M305" s="330"/>
      <c r="N305" s="330"/>
      <c r="O305" s="131"/>
      <c r="P305" s="330"/>
      <c r="Q305" s="330"/>
      <c r="R305" s="330"/>
      <c r="S305" s="330"/>
      <c r="T305" s="131"/>
      <c r="U305" s="330"/>
      <c r="V305" s="330"/>
      <c r="W305" s="330"/>
      <c r="X305" s="305"/>
      <c r="Y305" s="12"/>
      <c r="Z305" s="305"/>
      <c r="AA305" s="305"/>
      <c r="AB305" s="305"/>
      <c r="AC305" s="305"/>
      <c r="AD305" s="12"/>
      <c r="AE305" s="131"/>
      <c r="AF305" s="131"/>
      <c r="AG305" s="131"/>
      <c r="AH305" s="12"/>
      <c r="AI305" s="12"/>
      <c r="AJ305" s="12"/>
      <c r="AK305" s="12"/>
    </row>
    <row r="306" spans="1:37" ht="13.5" customHeight="1">
      <c r="A306" s="211"/>
      <c r="B306" s="12"/>
      <c r="C306" s="100" t="s">
        <v>436</v>
      </c>
      <c r="D306" s="12"/>
      <c r="E306" s="12"/>
      <c r="F306" s="330"/>
      <c r="G306" s="330"/>
      <c r="H306" s="330"/>
      <c r="I306" s="330"/>
      <c r="J306" s="131"/>
      <c r="K306" s="330"/>
      <c r="L306" s="330"/>
      <c r="M306" s="330"/>
      <c r="N306" s="330"/>
      <c r="O306" s="131"/>
      <c r="P306" s="330"/>
      <c r="Q306" s="330"/>
      <c r="R306" s="330"/>
      <c r="S306" s="330"/>
      <c r="T306" s="131"/>
      <c r="U306" s="330"/>
      <c r="V306" s="330"/>
      <c r="W306" s="330"/>
      <c r="X306" s="305"/>
      <c r="Y306" s="12"/>
      <c r="Z306" s="305"/>
      <c r="AA306" s="305"/>
      <c r="AB306" s="305"/>
      <c r="AC306" s="305"/>
      <c r="AD306" s="12"/>
      <c r="AE306" s="131"/>
      <c r="AF306" s="131"/>
      <c r="AG306" s="131"/>
      <c r="AH306" s="12"/>
      <c r="AI306" s="12"/>
      <c r="AJ306" s="12"/>
      <c r="AK306" s="12"/>
    </row>
    <row r="307" spans="1:37" ht="13.5" customHeight="1">
      <c r="A307" s="211"/>
      <c r="B307" s="12"/>
      <c r="C307" s="108" t="s">
        <v>403</v>
      </c>
      <c r="D307" s="12"/>
      <c r="E307" s="12"/>
      <c r="F307" s="362">
        <f t="shared" ref="F307:I307" si="604">E310</f>
        <v>0</v>
      </c>
      <c r="G307" s="299">
        <f t="shared" si="604"/>
        <v>15844</v>
      </c>
      <c r="H307" s="299">
        <f t="shared" si="604"/>
        <v>15831</v>
      </c>
      <c r="I307" s="299">
        <f t="shared" si="604"/>
        <v>15577</v>
      </c>
      <c r="J307" s="228">
        <f>F307</f>
        <v>0</v>
      </c>
      <c r="K307" s="299">
        <f t="shared" ref="K307:N307" si="605">J310</f>
        <v>15501</v>
      </c>
      <c r="L307" s="299">
        <f t="shared" si="605"/>
        <v>17550</v>
      </c>
      <c r="M307" s="299">
        <f t="shared" si="605"/>
        <v>17547</v>
      </c>
      <c r="N307" s="299">
        <f t="shared" si="605"/>
        <v>17209</v>
      </c>
      <c r="O307" s="228">
        <f>K307</f>
        <v>15501</v>
      </c>
      <c r="P307" s="299">
        <f t="shared" ref="P307:S307" si="606">O310</f>
        <v>17365</v>
      </c>
      <c r="Q307" s="299">
        <f t="shared" si="606"/>
        <v>15016.918</v>
      </c>
      <c r="R307" s="299">
        <f t="shared" si="606"/>
        <v>14453.206</v>
      </c>
      <c r="S307" s="299">
        <f t="shared" si="606"/>
        <v>14463.02</v>
      </c>
      <c r="T307" s="228">
        <f>P307</f>
        <v>17365</v>
      </c>
      <c r="U307" s="299">
        <f t="shared" ref="U307:X307" si="607">T310</f>
        <v>14462.835999999999</v>
      </c>
      <c r="V307" s="299">
        <f t="shared" si="607"/>
        <v>23244</v>
      </c>
      <c r="W307" s="299">
        <f t="shared" si="607"/>
        <v>23311</v>
      </c>
      <c r="X307" s="227">
        <f t="shared" si="607"/>
        <v>25233</v>
      </c>
      <c r="Y307" s="12"/>
      <c r="Z307" s="227">
        <f>X310</f>
        <v>24733</v>
      </c>
      <c r="AA307" s="227">
        <f t="shared" ref="AA307:AC307" si="608">Z310</f>
        <v>24233</v>
      </c>
      <c r="AB307" s="227">
        <f t="shared" si="608"/>
        <v>23733</v>
      </c>
      <c r="AC307" s="227">
        <f t="shared" si="608"/>
        <v>23233</v>
      </c>
      <c r="AD307" s="12"/>
      <c r="AE307" s="228">
        <f>AC310</f>
        <v>22733</v>
      </c>
      <c r="AF307" s="228">
        <f t="shared" ref="AF307:AG307" si="609">AE310</f>
        <v>21333</v>
      </c>
      <c r="AG307" s="228">
        <f t="shared" si="609"/>
        <v>20033</v>
      </c>
      <c r="AH307" s="12"/>
      <c r="AI307" s="12"/>
      <c r="AJ307" s="12"/>
      <c r="AK307" s="12"/>
    </row>
    <row r="308" spans="1:37" ht="13.5" customHeight="1">
      <c r="A308" s="211"/>
      <c r="B308" s="12"/>
      <c r="C308" s="108" t="s">
        <v>310</v>
      </c>
      <c r="D308" s="12"/>
      <c r="E308" s="12"/>
      <c r="F308" s="330">
        <f t="shared" ref="F308:W308" si="610">IF(F310&gt;F307,F310-F307,0)</f>
        <v>15844</v>
      </c>
      <c r="G308" s="330">
        <f t="shared" si="610"/>
        <v>0</v>
      </c>
      <c r="H308" s="330">
        <f t="shared" si="610"/>
        <v>0</v>
      </c>
      <c r="I308" s="330">
        <f t="shared" si="610"/>
        <v>0</v>
      </c>
      <c r="J308" s="131">
        <f t="shared" si="610"/>
        <v>15501</v>
      </c>
      <c r="K308" s="330">
        <f t="shared" si="610"/>
        <v>2049</v>
      </c>
      <c r="L308" s="330">
        <f t="shared" si="610"/>
        <v>0</v>
      </c>
      <c r="M308" s="330">
        <f t="shared" si="610"/>
        <v>0</v>
      </c>
      <c r="N308" s="330">
        <f t="shared" si="610"/>
        <v>156</v>
      </c>
      <c r="O308" s="131">
        <f t="shared" si="610"/>
        <v>1864</v>
      </c>
      <c r="P308" s="330">
        <f t="shared" si="610"/>
        <v>0</v>
      </c>
      <c r="Q308" s="330">
        <f t="shared" si="610"/>
        <v>0</v>
      </c>
      <c r="R308" s="330">
        <f t="shared" si="610"/>
        <v>9.8140000000003056</v>
      </c>
      <c r="S308" s="330">
        <f t="shared" si="610"/>
        <v>0</v>
      </c>
      <c r="T308" s="131">
        <f t="shared" si="610"/>
        <v>0</v>
      </c>
      <c r="U308" s="330">
        <f t="shared" si="610"/>
        <v>8781.1640000000007</v>
      </c>
      <c r="V308" s="330">
        <f t="shared" si="610"/>
        <v>67</v>
      </c>
      <c r="W308" s="330">
        <f t="shared" si="610"/>
        <v>1922</v>
      </c>
      <c r="X308" s="276">
        <f t="shared" ref="X308:X309" si="611">X295</f>
        <v>0</v>
      </c>
      <c r="Y308" s="12"/>
      <c r="Z308" s="276">
        <f t="shared" ref="Z308:AC308" si="612">Z295</f>
        <v>0</v>
      </c>
      <c r="AA308" s="276">
        <f t="shared" si="612"/>
        <v>0</v>
      </c>
      <c r="AB308" s="276">
        <f t="shared" si="612"/>
        <v>0</v>
      </c>
      <c r="AC308" s="276">
        <f t="shared" si="612"/>
        <v>0</v>
      </c>
      <c r="AD308" s="12"/>
      <c r="AE308" s="275">
        <f t="shared" ref="AE308:AG308" si="613">AE295</f>
        <v>0</v>
      </c>
      <c r="AF308" s="275">
        <f t="shared" si="613"/>
        <v>0</v>
      </c>
      <c r="AG308" s="275">
        <f t="shared" si="613"/>
        <v>0</v>
      </c>
      <c r="AH308" s="12"/>
      <c r="AI308" s="12"/>
      <c r="AJ308" s="12"/>
      <c r="AK308" s="12"/>
    </row>
    <row r="309" spans="1:37" ht="13.5" customHeight="1">
      <c r="A309" s="211"/>
      <c r="B309" s="12"/>
      <c r="C309" s="108" t="s">
        <v>437</v>
      </c>
      <c r="D309" s="12"/>
      <c r="E309" s="12"/>
      <c r="F309" s="330">
        <f t="shared" ref="F309:W309" si="614">IF(F307&gt;F310,F310-F307,0)</f>
        <v>0</v>
      </c>
      <c r="G309" s="330">
        <f t="shared" si="614"/>
        <v>-13</v>
      </c>
      <c r="H309" s="330">
        <f t="shared" si="614"/>
        <v>-254</v>
      </c>
      <c r="I309" s="330">
        <f t="shared" si="614"/>
        <v>-76</v>
      </c>
      <c r="J309" s="131">
        <f t="shared" si="614"/>
        <v>0</v>
      </c>
      <c r="K309" s="330">
        <f t="shared" si="614"/>
        <v>0</v>
      </c>
      <c r="L309" s="330">
        <f t="shared" si="614"/>
        <v>-3</v>
      </c>
      <c r="M309" s="330">
        <f t="shared" si="614"/>
        <v>-338</v>
      </c>
      <c r="N309" s="330">
        <f t="shared" si="614"/>
        <v>0</v>
      </c>
      <c r="O309" s="131">
        <f t="shared" si="614"/>
        <v>0</v>
      </c>
      <c r="P309" s="330">
        <f t="shared" si="614"/>
        <v>-2348.0820000000003</v>
      </c>
      <c r="Q309" s="330">
        <f t="shared" si="614"/>
        <v>-563.71199999999953</v>
      </c>
      <c r="R309" s="330">
        <f t="shared" si="614"/>
        <v>0</v>
      </c>
      <c r="S309" s="330">
        <f t="shared" si="614"/>
        <v>-0.18400000000110595</v>
      </c>
      <c r="T309" s="131">
        <f t="shared" si="614"/>
        <v>-2902.1640000000007</v>
      </c>
      <c r="U309" s="330">
        <f t="shared" si="614"/>
        <v>0</v>
      </c>
      <c r="V309" s="330">
        <f t="shared" si="614"/>
        <v>0</v>
      </c>
      <c r="W309" s="330">
        <f t="shared" si="614"/>
        <v>0</v>
      </c>
      <c r="X309" s="276">
        <f t="shared" si="611"/>
        <v>-500</v>
      </c>
      <c r="Y309" s="12"/>
      <c r="Z309" s="276">
        <f t="shared" ref="Z309:AC309" si="615">Z296</f>
        <v>-500</v>
      </c>
      <c r="AA309" s="276">
        <f t="shared" si="615"/>
        <v>-500</v>
      </c>
      <c r="AB309" s="276">
        <f t="shared" si="615"/>
        <v>-500</v>
      </c>
      <c r="AC309" s="276">
        <f t="shared" si="615"/>
        <v>-500</v>
      </c>
      <c r="AD309" s="12"/>
      <c r="AE309" s="275">
        <f t="shared" ref="AE309:AG309" si="616">AE296</f>
        <v>-1400</v>
      </c>
      <c r="AF309" s="275">
        <f t="shared" si="616"/>
        <v>-1300</v>
      </c>
      <c r="AG309" s="275">
        <f t="shared" si="616"/>
        <v>-1200</v>
      </c>
      <c r="AH309" s="12"/>
      <c r="AI309" s="12"/>
      <c r="AJ309" s="12"/>
      <c r="AK309" s="12"/>
    </row>
    <row r="310" spans="1:37" ht="13.5" customHeight="1">
      <c r="A310" s="211"/>
      <c r="B310" s="12"/>
      <c r="C310" s="12" t="s">
        <v>406</v>
      </c>
      <c r="D310" s="12"/>
      <c r="E310" s="12"/>
      <c r="F310" s="299">
        <f t="shared" ref="F310:W310" si="617">F140</f>
        <v>15844</v>
      </c>
      <c r="G310" s="299">
        <f t="shared" si="617"/>
        <v>15831</v>
      </c>
      <c r="H310" s="299">
        <f t="shared" si="617"/>
        <v>15577</v>
      </c>
      <c r="I310" s="299">
        <f t="shared" si="617"/>
        <v>15501</v>
      </c>
      <c r="J310" s="228">
        <f t="shared" si="617"/>
        <v>15501</v>
      </c>
      <c r="K310" s="299">
        <f t="shared" si="617"/>
        <v>17550</v>
      </c>
      <c r="L310" s="299">
        <f t="shared" si="617"/>
        <v>17547</v>
      </c>
      <c r="M310" s="299">
        <f t="shared" si="617"/>
        <v>17209</v>
      </c>
      <c r="N310" s="299">
        <f t="shared" si="617"/>
        <v>17365</v>
      </c>
      <c r="O310" s="228">
        <f t="shared" si="617"/>
        <v>17365</v>
      </c>
      <c r="P310" s="299">
        <f t="shared" si="617"/>
        <v>15016.918</v>
      </c>
      <c r="Q310" s="299">
        <f t="shared" si="617"/>
        <v>14453.206</v>
      </c>
      <c r="R310" s="299">
        <f t="shared" si="617"/>
        <v>14463.02</v>
      </c>
      <c r="S310" s="299">
        <f t="shared" si="617"/>
        <v>14462.835999999999</v>
      </c>
      <c r="T310" s="228">
        <f t="shared" si="617"/>
        <v>14462.835999999999</v>
      </c>
      <c r="U310" s="299">
        <f t="shared" si="617"/>
        <v>23244</v>
      </c>
      <c r="V310" s="299">
        <f t="shared" si="617"/>
        <v>23311</v>
      </c>
      <c r="W310" s="299">
        <f t="shared" si="617"/>
        <v>25233</v>
      </c>
      <c r="X310" s="227">
        <f>SUM(X307:X309)</f>
        <v>24733</v>
      </c>
      <c r="Y310" s="12"/>
      <c r="Z310" s="227">
        <f t="shared" ref="Z310:AC310" si="618">SUM(Z307:Z309)</f>
        <v>24233</v>
      </c>
      <c r="AA310" s="227">
        <f t="shared" si="618"/>
        <v>23733</v>
      </c>
      <c r="AB310" s="227">
        <f t="shared" si="618"/>
        <v>23233</v>
      </c>
      <c r="AC310" s="227">
        <f t="shared" si="618"/>
        <v>22733</v>
      </c>
      <c r="AD310" s="12"/>
      <c r="AE310" s="228">
        <f t="shared" ref="AE310:AG310" si="619">SUM(AE307:AE309)</f>
        <v>21333</v>
      </c>
      <c r="AF310" s="228">
        <f t="shared" si="619"/>
        <v>20033</v>
      </c>
      <c r="AG310" s="228">
        <f t="shared" si="619"/>
        <v>18833</v>
      </c>
      <c r="AH310" s="12"/>
      <c r="AI310" s="12"/>
      <c r="AJ310" s="12"/>
      <c r="AK310" s="12"/>
    </row>
    <row r="311" spans="1:37" ht="13.5" customHeight="1">
      <c r="A311" s="211"/>
      <c r="B311" s="12"/>
      <c r="C311" s="12"/>
      <c r="D311" s="12"/>
      <c r="E311" s="12"/>
      <c r="F311" s="261"/>
      <c r="G311" s="261"/>
      <c r="H311" s="261"/>
      <c r="I311" s="261"/>
      <c r="J311" s="12"/>
      <c r="K311" s="261"/>
      <c r="L311" s="261"/>
      <c r="M311" s="261"/>
      <c r="N311" s="261"/>
      <c r="O311" s="12"/>
      <c r="P311" s="261"/>
      <c r="Q311" s="261"/>
      <c r="R311" s="261"/>
      <c r="S311" s="261"/>
      <c r="T311" s="12"/>
      <c r="U311" s="261"/>
      <c r="V311" s="261"/>
      <c r="W311" s="261"/>
      <c r="X311" s="262"/>
      <c r="Y311" s="12"/>
      <c r="Z311" s="262"/>
      <c r="AA311" s="262"/>
      <c r="AB311" s="262"/>
      <c r="AC311" s="262"/>
      <c r="AD311" s="12"/>
      <c r="AE311" s="12"/>
      <c r="AF311" s="12"/>
      <c r="AG311" s="12"/>
      <c r="AH311" s="12"/>
      <c r="AI311" s="12"/>
      <c r="AJ311" s="12"/>
      <c r="AK311" s="12"/>
    </row>
    <row r="312" spans="1:37" ht="13.5" customHeight="1">
      <c r="A312" s="211"/>
      <c r="B312" s="12"/>
      <c r="C312" s="100" t="s">
        <v>438</v>
      </c>
      <c r="D312" s="12"/>
      <c r="E312" s="12"/>
      <c r="F312" s="261"/>
      <c r="G312" s="261"/>
      <c r="H312" s="261"/>
      <c r="I312" s="261"/>
      <c r="J312" s="12"/>
      <c r="K312" s="261"/>
      <c r="L312" s="261"/>
      <c r="M312" s="261"/>
      <c r="N312" s="261"/>
      <c r="O312" s="12"/>
      <c r="P312" s="261"/>
      <c r="Q312" s="261"/>
      <c r="R312" s="261"/>
      <c r="S312" s="261"/>
      <c r="T312" s="12"/>
      <c r="U312" s="261"/>
      <c r="V312" s="261"/>
      <c r="W312" s="261"/>
      <c r="X312" s="262"/>
      <c r="Y312" s="12"/>
      <c r="Z312" s="262"/>
      <c r="AA312" s="262"/>
      <c r="AB312" s="262"/>
      <c r="AC312" s="262"/>
      <c r="AD312" s="12"/>
      <c r="AE312" s="12"/>
      <c r="AF312" s="12"/>
      <c r="AG312" s="12"/>
      <c r="AH312" s="12"/>
      <c r="AI312" s="12"/>
      <c r="AJ312" s="12"/>
      <c r="AK312" s="12"/>
    </row>
    <row r="313" spans="1:37" ht="13.5" customHeight="1">
      <c r="A313" s="211"/>
      <c r="B313" s="12"/>
      <c r="C313" s="108" t="s">
        <v>439</v>
      </c>
      <c r="D313" s="12"/>
      <c r="E313" s="12"/>
      <c r="F313" s="261"/>
      <c r="G313" s="261"/>
      <c r="H313" s="261"/>
      <c r="I313" s="261"/>
      <c r="J313" s="12"/>
      <c r="K313" s="261"/>
      <c r="L313" s="261"/>
      <c r="M313" s="261"/>
      <c r="N313" s="261"/>
      <c r="O313" s="12"/>
      <c r="P313" s="261"/>
      <c r="Q313" s="261"/>
      <c r="R313" s="261"/>
      <c r="S313" s="261"/>
      <c r="T313" s="12"/>
      <c r="U313" s="261"/>
      <c r="V313" s="261"/>
      <c r="W313" s="261"/>
      <c r="X313" s="227" t="str">
        <f ca="1">AVERAGE(X304,X302)</f>
        <v/>
      </c>
      <c r="Y313" s="12"/>
      <c r="Z313" s="227" t="str">
        <f t="shared" ref="Z313:AC313" ca="1" si="620">AVERAGE(Z304,Z302)</f>
        <v/>
      </c>
      <c r="AA313" s="227" t="str">
        <f t="shared" ca="1" si="620"/>
        <v>#REF!</v>
      </c>
      <c r="AB313" s="227" t="str">
        <f t="shared" ca="1" si="620"/>
        <v>#REF!</v>
      </c>
      <c r="AC313" s="227" t="str">
        <f t="shared" ca="1" si="620"/>
        <v>#REF!</v>
      </c>
      <c r="AD313" s="12"/>
      <c r="AE313" s="228" t="str">
        <f t="shared" ref="AE313:AG313" ca="1" si="621">AVERAGE(AE304,AE302)</f>
        <v/>
      </c>
      <c r="AF313" s="228" t="str">
        <f t="shared" ca="1" si="621"/>
        <v>#REF!</v>
      </c>
      <c r="AG313" s="228" t="str">
        <f t="shared" ca="1" si="621"/>
        <v>#REF!</v>
      </c>
      <c r="AH313" s="12"/>
      <c r="AI313" s="12"/>
      <c r="AJ313" s="12"/>
      <c r="AK313" s="12"/>
    </row>
    <row r="314" spans="1:37" ht="13.5" customHeight="1">
      <c r="A314" s="211"/>
      <c r="B314" s="12"/>
      <c r="C314" s="108" t="s">
        <v>440</v>
      </c>
      <c r="D314" s="12"/>
      <c r="E314" s="12"/>
      <c r="F314" s="261"/>
      <c r="G314" s="261"/>
      <c r="H314" s="261"/>
      <c r="I314" s="261"/>
      <c r="J314" s="12"/>
      <c r="K314" s="261"/>
      <c r="L314" s="261"/>
      <c r="M314" s="261"/>
      <c r="N314" s="261"/>
      <c r="O314" s="12"/>
      <c r="P314" s="261"/>
      <c r="Q314" s="261"/>
      <c r="R314" s="261"/>
      <c r="S314" s="261"/>
      <c r="T314" s="12"/>
      <c r="U314" s="261"/>
      <c r="V314" s="261"/>
      <c r="W314" s="261"/>
      <c r="X314" s="412">
        <f>5%/4</f>
        <v>1.2500000000000001E-2</v>
      </c>
      <c r="Y314" s="12"/>
      <c r="Z314" s="412">
        <f t="shared" ref="Z314:AC314" si="622">5%/4</f>
        <v>1.2500000000000001E-2</v>
      </c>
      <c r="AA314" s="412">
        <f t="shared" si="622"/>
        <v>1.2500000000000001E-2</v>
      </c>
      <c r="AB314" s="412">
        <f t="shared" si="622"/>
        <v>1.2500000000000001E-2</v>
      </c>
      <c r="AC314" s="412">
        <f t="shared" si="622"/>
        <v>1.2500000000000001E-2</v>
      </c>
      <c r="AD314" s="12"/>
      <c r="AE314" s="413">
        <f t="shared" ref="AE314:AG314" si="623">5%</f>
        <v>0.05</v>
      </c>
      <c r="AF314" s="413">
        <f t="shared" si="623"/>
        <v>0.05</v>
      </c>
      <c r="AG314" s="413">
        <f t="shared" si="623"/>
        <v>0.05</v>
      </c>
      <c r="AH314" s="12"/>
      <c r="AI314" s="12"/>
      <c r="AJ314" s="12"/>
      <c r="AK314" s="12"/>
    </row>
    <row r="315" spans="1:37" ht="13.5" customHeight="1">
      <c r="A315" s="211"/>
      <c r="B315" s="12"/>
      <c r="C315" s="108" t="s">
        <v>277</v>
      </c>
      <c r="D315" s="12"/>
      <c r="E315" s="12"/>
      <c r="F315" s="261"/>
      <c r="G315" s="261"/>
      <c r="H315" s="261"/>
      <c r="I315" s="261"/>
      <c r="J315" s="12"/>
      <c r="K315" s="261"/>
      <c r="L315" s="261"/>
      <c r="M315" s="261"/>
      <c r="N315" s="261"/>
      <c r="O315" s="12"/>
      <c r="P315" s="261"/>
      <c r="Q315" s="261"/>
      <c r="R315" s="261"/>
      <c r="S315" s="261"/>
      <c r="T315" s="12"/>
      <c r="U315" s="261"/>
      <c r="V315" s="261"/>
      <c r="W315" s="261"/>
      <c r="X315" s="227" t="str">
        <f ca="1">-(X313*X314)</f>
        <v/>
      </c>
      <c r="Y315" s="12"/>
      <c r="Z315" s="227" t="str">
        <f t="shared" ref="Z315:AC315" ca="1" si="624">-(Z313*Z314)</f>
        <v/>
      </c>
      <c r="AA315" s="227" t="str">
        <f t="shared" ca="1" si="624"/>
        <v>#REF!</v>
      </c>
      <c r="AB315" s="227" t="str">
        <f t="shared" ca="1" si="624"/>
        <v>#REF!</v>
      </c>
      <c r="AC315" s="227" t="str">
        <f t="shared" ca="1" si="624"/>
        <v>#REF!</v>
      </c>
      <c r="AD315" s="12"/>
      <c r="AE315" s="228" t="str">
        <f t="shared" ref="AE315:AG315" ca="1" si="625">-(AE313*AE314)</f>
        <v/>
      </c>
      <c r="AF315" s="228" t="str">
        <f t="shared" ca="1" si="625"/>
        <v>#REF!</v>
      </c>
      <c r="AG315" s="228" t="str">
        <f t="shared" ca="1" si="625"/>
        <v>#REF!</v>
      </c>
      <c r="AH315" s="12"/>
      <c r="AI315" s="12"/>
      <c r="AJ315" s="12"/>
      <c r="AK315" s="12"/>
    </row>
    <row r="316" spans="1:37" ht="13.5" customHeight="1">
      <c r="A316" s="211"/>
      <c r="B316" s="12"/>
      <c r="C316" s="12"/>
      <c r="D316" s="12"/>
      <c r="E316" s="12"/>
      <c r="F316" s="261"/>
      <c r="G316" s="261"/>
      <c r="H316" s="261"/>
      <c r="I316" s="261"/>
      <c r="J316" s="12"/>
      <c r="K316" s="261"/>
      <c r="L316" s="261"/>
      <c r="M316" s="261"/>
      <c r="N316" s="261"/>
      <c r="O316" s="12"/>
      <c r="P316" s="261"/>
      <c r="Q316" s="261"/>
      <c r="R316" s="261"/>
      <c r="S316" s="261"/>
      <c r="T316" s="12"/>
      <c r="U316" s="261"/>
      <c r="V316" s="261"/>
      <c r="W316" s="261"/>
      <c r="X316" s="262"/>
      <c r="Y316" s="12"/>
      <c r="Z316" s="262"/>
      <c r="AA316" s="262"/>
      <c r="AB316" s="262"/>
      <c r="AC316" s="262"/>
      <c r="AD316" s="12"/>
      <c r="AE316" s="12"/>
      <c r="AF316" s="12"/>
      <c r="AG316" s="12"/>
      <c r="AH316" s="12"/>
      <c r="AI316" s="12"/>
      <c r="AJ316" s="12"/>
      <c r="AK316" s="12"/>
    </row>
    <row r="317" spans="1:37" ht="13.5" customHeight="1">
      <c r="A317" s="211"/>
      <c r="B317" s="12"/>
      <c r="C317" s="100" t="s">
        <v>441</v>
      </c>
      <c r="D317" s="12"/>
      <c r="E317" s="12"/>
      <c r="F317" s="261"/>
      <c r="G317" s="261"/>
      <c r="H317" s="261"/>
      <c r="I317" s="261"/>
      <c r="J317" s="12"/>
      <c r="K317" s="261"/>
      <c r="L317" s="261"/>
      <c r="M317" s="261"/>
      <c r="N317" s="261"/>
      <c r="O317" s="12"/>
      <c r="P317" s="261"/>
      <c r="Q317" s="261"/>
      <c r="R317" s="261"/>
      <c r="S317" s="261"/>
      <c r="T317" s="12"/>
      <c r="U317" s="261"/>
      <c r="V317" s="261"/>
      <c r="W317" s="261"/>
      <c r="X317" s="262"/>
      <c r="Y317" s="12"/>
      <c r="Z317" s="262"/>
      <c r="AA317" s="262"/>
      <c r="AB317" s="262"/>
      <c r="AC317" s="262"/>
      <c r="AD317" s="12"/>
      <c r="AE317" s="12"/>
      <c r="AF317" s="12"/>
      <c r="AG317" s="12"/>
      <c r="AH317" s="12"/>
      <c r="AI317" s="12"/>
      <c r="AJ317" s="12"/>
      <c r="AK317" s="12"/>
    </row>
    <row r="318" spans="1:37" ht="13.5" customHeight="1">
      <c r="A318" s="211"/>
      <c r="B318" s="12"/>
      <c r="C318" s="108" t="s">
        <v>439</v>
      </c>
      <c r="D318" s="12"/>
      <c r="E318" s="12"/>
      <c r="F318" s="261"/>
      <c r="G318" s="261"/>
      <c r="H318" s="261"/>
      <c r="I318" s="261"/>
      <c r="J318" s="12"/>
      <c r="K318" s="261"/>
      <c r="L318" s="261"/>
      <c r="M318" s="261"/>
      <c r="N318" s="261"/>
      <c r="O318" s="12"/>
      <c r="P318" s="261"/>
      <c r="Q318" s="261"/>
      <c r="R318" s="261"/>
      <c r="S318" s="261"/>
      <c r="T318" s="12"/>
      <c r="U318" s="261"/>
      <c r="V318" s="261"/>
      <c r="W318" s="261"/>
      <c r="X318" s="227">
        <f>AVERAGE(X310,X307)</f>
        <v>24983</v>
      </c>
      <c r="Y318" s="12"/>
      <c r="Z318" s="227">
        <f t="shared" ref="Z318:AC318" si="626">AVERAGE(Z310,Z307)</f>
        <v>24483</v>
      </c>
      <c r="AA318" s="227">
        <f t="shared" si="626"/>
        <v>23983</v>
      </c>
      <c r="AB318" s="227">
        <f t="shared" si="626"/>
        <v>23483</v>
      </c>
      <c r="AC318" s="227">
        <f t="shared" si="626"/>
        <v>22983</v>
      </c>
      <c r="AD318" s="12"/>
      <c r="AE318" s="228">
        <f t="shared" ref="AE318:AG318" si="627">AVERAGE(AE310,AE307)</f>
        <v>22033</v>
      </c>
      <c r="AF318" s="228">
        <f t="shared" si="627"/>
        <v>20683</v>
      </c>
      <c r="AG318" s="228">
        <f t="shared" si="627"/>
        <v>19433</v>
      </c>
      <c r="AH318" s="12"/>
      <c r="AI318" s="12"/>
      <c r="AJ318" s="12"/>
      <c r="AK318" s="12"/>
    </row>
    <row r="319" spans="1:37" ht="13.5" customHeight="1">
      <c r="A319" s="211"/>
      <c r="B319" s="12"/>
      <c r="C319" s="108" t="s">
        <v>440</v>
      </c>
      <c r="D319" s="12"/>
      <c r="E319" s="12"/>
      <c r="F319" s="261"/>
      <c r="G319" s="261"/>
      <c r="H319" s="261"/>
      <c r="I319" s="261"/>
      <c r="J319" s="12"/>
      <c r="K319" s="261"/>
      <c r="L319" s="261"/>
      <c r="M319" s="261"/>
      <c r="N319" s="261"/>
      <c r="O319" s="12"/>
      <c r="P319" s="261"/>
      <c r="Q319" s="261"/>
      <c r="R319" s="261"/>
      <c r="S319" s="261"/>
      <c r="T319" s="12"/>
      <c r="U319" s="261"/>
      <c r="V319" s="261"/>
      <c r="W319" s="261"/>
      <c r="X319" s="412">
        <f>3.49%/4</f>
        <v>8.7250000000000001E-3</v>
      </c>
      <c r="Y319" s="12"/>
      <c r="Z319" s="412">
        <v>8.7250000000000001E-3</v>
      </c>
      <c r="AA319" s="412">
        <v>8.7250000000000001E-3</v>
      </c>
      <c r="AB319" s="412">
        <v>8.7250000000000001E-3</v>
      </c>
      <c r="AC319" s="412">
        <v>8.7250000000000001E-3</v>
      </c>
      <c r="AD319" s="12"/>
      <c r="AE319" s="413">
        <v>3.49E-2</v>
      </c>
      <c r="AF319" s="413">
        <v>3.49E-2</v>
      </c>
      <c r="AG319" s="413">
        <v>3.49E-2</v>
      </c>
      <c r="AH319" s="12"/>
      <c r="AI319" s="12"/>
      <c r="AJ319" s="12"/>
      <c r="AK319" s="12"/>
    </row>
    <row r="320" spans="1:37" ht="13.5" customHeight="1">
      <c r="A320" s="211"/>
      <c r="B320" s="12"/>
      <c r="C320" s="108" t="s">
        <v>277</v>
      </c>
      <c r="D320" s="12"/>
      <c r="E320" s="12"/>
      <c r="F320" s="261"/>
      <c r="G320" s="261"/>
      <c r="H320" s="261"/>
      <c r="I320" s="261"/>
      <c r="J320" s="12"/>
      <c r="K320" s="261"/>
      <c r="L320" s="261"/>
      <c r="M320" s="261"/>
      <c r="N320" s="261"/>
      <c r="O320" s="12"/>
      <c r="P320" s="261"/>
      <c r="Q320" s="261"/>
      <c r="R320" s="261"/>
      <c r="S320" s="261"/>
      <c r="T320" s="12"/>
      <c r="U320" s="261"/>
      <c r="V320" s="261"/>
      <c r="W320" s="261"/>
      <c r="X320" s="227">
        <f>-(X318*X319)</f>
        <v>-217.976675</v>
      </c>
      <c r="Y320" s="12"/>
      <c r="Z320" s="227">
        <f t="shared" ref="Z320:AC320" si="628">-(Z318*Z319)</f>
        <v>-213.61417499999999</v>
      </c>
      <c r="AA320" s="227">
        <f t="shared" si="628"/>
        <v>-209.25167500000001</v>
      </c>
      <c r="AB320" s="227">
        <f t="shared" si="628"/>
        <v>-204.88917499999999</v>
      </c>
      <c r="AC320" s="227">
        <f t="shared" si="628"/>
        <v>-200.52667500000001</v>
      </c>
      <c r="AD320" s="12"/>
      <c r="AE320" s="228">
        <f t="shared" ref="AE320:AG320" si="629">-(AE318*AE319)</f>
        <v>-768.95169999999996</v>
      </c>
      <c r="AF320" s="228">
        <f t="shared" si="629"/>
        <v>-721.83670000000006</v>
      </c>
      <c r="AG320" s="228">
        <f t="shared" si="629"/>
        <v>-678.21170000000006</v>
      </c>
      <c r="AH320" s="12"/>
      <c r="AI320" s="12"/>
      <c r="AJ320" s="12"/>
      <c r="AK320" s="12"/>
    </row>
    <row r="321" spans="1:37" ht="13.5" customHeight="1">
      <c r="A321" s="211"/>
      <c r="B321" s="12"/>
      <c r="C321" s="12"/>
      <c r="D321" s="12"/>
      <c r="E321" s="12"/>
      <c r="F321" s="261"/>
      <c r="G321" s="261"/>
      <c r="H321" s="261"/>
      <c r="I321" s="261"/>
      <c r="J321" s="12"/>
      <c r="K321" s="261"/>
      <c r="L321" s="261"/>
      <c r="M321" s="261"/>
      <c r="N321" s="261"/>
      <c r="O321" s="12"/>
      <c r="P321" s="261"/>
      <c r="Q321" s="261"/>
      <c r="R321" s="261"/>
      <c r="S321" s="261"/>
      <c r="T321" s="12"/>
      <c r="U321" s="261"/>
      <c r="V321" s="261"/>
      <c r="W321" s="261"/>
      <c r="X321" s="262"/>
      <c r="Y321" s="12"/>
      <c r="Z321" s="262"/>
      <c r="AA321" s="262"/>
      <c r="AB321" s="262"/>
      <c r="AC321" s="262"/>
      <c r="AD321" s="12"/>
      <c r="AE321" s="12"/>
      <c r="AF321" s="12"/>
      <c r="AG321" s="12"/>
      <c r="AH321" s="12"/>
      <c r="AI321" s="12"/>
      <c r="AJ321" s="12"/>
      <c r="AK321" s="12"/>
    </row>
    <row r="322" spans="1:37" ht="13.5" customHeight="1">
      <c r="A322" s="211"/>
      <c r="B322" s="332"/>
      <c r="C322" s="75" t="s">
        <v>442</v>
      </c>
      <c r="D322" s="75"/>
      <c r="E322" s="75"/>
      <c r="F322" s="414"/>
      <c r="G322" s="414"/>
      <c r="H322" s="414"/>
      <c r="I322" s="414"/>
      <c r="J322" s="75"/>
      <c r="K322" s="414"/>
      <c r="L322" s="414"/>
      <c r="M322" s="414"/>
      <c r="N322" s="414"/>
      <c r="O322" s="75"/>
      <c r="P322" s="414"/>
      <c r="Q322" s="414"/>
      <c r="R322" s="414"/>
      <c r="S322" s="414"/>
      <c r="T322" s="75"/>
      <c r="U322" s="414"/>
      <c r="V322" s="414"/>
      <c r="W322" s="414"/>
      <c r="X322" s="336" t="str">
        <f ca="1">SUM(X315,X320)</f>
        <v/>
      </c>
      <c r="Y322" s="75"/>
      <c r="Z322" s="336" t="str">
        <f t="shared" ref="Z322:AC322" ca="1" si="630">SUM(Z315,Z320)</f>
        <v/>
      </c>
      <c r="AA322" s="336" t="str">
        <f t="shared" ca="1" si="630"/>
        <v>#REF!</v>
      </c>
      <c r="AB322" s="336" t="str">
        <f t="shared" ca="1" si="630"/>
        <v>#REF!</v>
      </c>
      <c r="AC322" s="336" t="str">
        <f t="shared" ca="1" si="630"/>
        <v>#REF!</v>
      </c>
      <c r="AD322" s="75"/>
      <c r="AE322" s="335" t="str">
        <f t="shared" ref="AE322:AG322" ca="1" si="631">SUM(AE315,AE320)</f>
        <v/>
      </c>
      <c r="AF322" s="335" t="str">
        <f t="shared" ca="1" si="631"/>
        <v>#REF!</v>
      </c>
      <c r="AG322" s="353" t="str">
        <f t="shared" ca="1" si="631"/>
        <v>#REF!</v>
      </c>
      <c r="AH322" s="228"/>
      <c r="AI322" s="12"/>
      <c r="AJ322" s="12"/>
      <c r="AK322" s="12"/>
    </row>
    <row r="323" spans="1:37" ht="13.5" customHeight="1">
      <c r="A323" s="211"/>
      <c r="B323" s="12"/>
      <c r="C323" s="12"/>
      <c r="D323" s="12"/>
      <c r="E323" s="12"/>
      <c r="F323" s="261"/>
      <c r="G323" s="261"/>
      <c r="H323" s="261"/>
      <c r="I323" s="261"/>
      <c r="J323" s="12"/>
      <c r="K323" s="261"/>
      <c r="L323" s="261"/>
      <c r="M323" s="261"/>
      <c r="N323" s="261"/>
      <c r="O323" s="12"/>
      <c r="P323" s="261"/>
      <c r="Q323" s="261"/>
      <c r="R323" s="261"/>
      <c r="S323" s="261"/>
      <c r="T323" s="12"/>
      <c r="U323" s="261"/>
      <c r="V323" s="261"/>
      <c r="W323" s="261"/>
      <c r="X323" s="262"/>
      <c r="Y323" s="12"/>
      <c r="Z323" s="262"/>
      <c r="AA323" s="262"/>
      <c r="AB323" s="262"/>
      <c r="AC323" s="262"/>
      <c r="AD323" s="12"/>
      <c r="AE323" s="12"/>
      <c r="AF323" s="12"/>
      <c r="AG323" s="12"/>
      <c r="AH323" s="12"/>
      <c r="AI323" s="12"/>
      <c r="AJ323" s="12"/>
      <c r="AK323" s="12"/>
    </row>
    <row r="324" spans="1:37" ht="13.5" customHeight="1">
      <c r="A324" s="211"/>
      <c r="B324" s="12"/>
      <c r="C324" s="100" t="s">
        <v>443</v>
      </c>
      <c r="D324" s="12"/>
      <c r="E324" s="12"/>
      <c r="F324" s="261"/>
      <c r="G324" s="261"/>
      <c r="H324" s="261"/>
      <c r="I324" s="261"/>
      <c r="J324" s="12"/>
      <c r="K324" s="261"/>
      <c r="L324" s="261"/>
      <c r="M324" s="261"/>
      <c r="N324" s="261"/>
      <c r="O324" s="12"/>
      <c r="P324" s="261"/>
      <c r="Q324" s="261"/>
      <c r="R324" s="261"/>
      <c r="S324" s="261"/>
      <c r="T324" s="12"/>
      <c r="U324" s="261"/>
      <c r="V324" s="261"/>
      <c r="W324" s="261"/>
      <c r="X324" s="262"/>
      <c r="Y324" s="12"/>
      <c r="Z324" s="262"/>
      <c r="AA324" s="262"/>
      <c r="AB324" s="262"/>
      <c r="AC324" s="262"/>
      <c r="AD324" s="12"/>
      <c r="AE324" s="12"/>
      <c r="AF324" s="12"/>
      <c r="AG324" s="12"/>
      <c r="AH324" s="12"/>
      <c r="AI324" s="12"/>
      <c r="AJ324" s="12"/>
      <c r="AK324" s="12"/>
    </row>
    <row r="325" spans="1:37" ht="13.5" customHeight="1">
      <c r="A325" s="211"/>
      <c r="B325" s="12"/>
      <c r="C325" s="108" t="s">
        <v>439</v>
      </c>
      <c r="D325" s="12"/>
      <c r="E325" s="12"/>
      <c r="F325" s="261"/>
      <c r="G325" s="261"/>
      <c r="H325" s="261"/>
      <c r="I325" s="261"/>
      <c r="J325" s="12"/>
      <c r="K325" s="261"/>
      <c r="L325" s="261"/>
      <c r="M325" s="261"/>
      <c r="N325" s="261"/>
      <c r="O325" s="12"/>
      <c r="P325" s="261"/>
      <c r="Q325" s="261"/>
      <c r="R325" s="261"/>
      <c r="S325" s="261"/>
      <c r="T325" s="12"/>
      <c r="U325" s="261"/>
      <c r="V325" s="261"/>
      <c r="W325" s="261"/>
      <c r="X325" s="227" t="str">
        <f ca="1">AVERAGE(X120,W120)</f>
        <v/>
      </c>
      <c r="Y325" s="12"/>
      <c r="Z325" s="227" t="str">
        <f t="shared" ref="Z325:AC325" ca="1" si="632">AVERAGE(Z120,Y120)</f>
        <v/>
      </c>
      <c r="AA325" s="227" t="str">
        <f t="shared" ca="1" si="632"/>
        <v>#REF!</v>
      </c>
      <c r="AB325" s="227" t="str">
        <f t="shared" ca="1" si="632"/>
        <v>#REF!</v>
      </c>
      <c r="AC325" s="227" t="str">
        <f t="shared" ca="1" si="632"/>
        <v>#REF!</v>
      </c>
      <c r="AD325" s="12"/>
      <c r="AE325" s="228" t="str">
        <f t="shared" ref="AE325:AG325" ca="1" si="633">AVERAGE(AE120,AD120)</f>
        <v/>
      </c>
      <c r="AF325" s="228" t="str">
        <f t="shared" ca="1" si="633"/>
        <v>#REF!</v>
      </c>
      <c r="AG325" s="228" t="str">
        <f t="shared" ca="1" si="633"/>
        <v>#REF!</v>
      </c>
      <c r="AH325" s="12"/>
      <c r="AI325" s="12"/>
      <c r="AJ325" s="12"/>
      <c r="AK325" s="12"/>
    </row>
    <row r="326" spans="1:37" ht="13.5" customHeight="1">
      <c r="A326" s="211"/>
      <c r="B326" s="12"/>
      <c r="C326" s="108" t="s">
        <v>440</v>
      </c>
      <c r="D326" s="12"/>
      <c r="E326" s="12"/>
      <c r="F326" s="261"/>
      <c r="G326" s="261"/>
      <c r="H326" s="261"/>
      <c r="I326" s="261"/>
      <c r="J326" s="12"/>
      <c r="K326" s="261"/>
      <c r="L326" s="261"/>
      <c r="M326" s="261"/>
      <c r="N326" s="261"/>
      <c r="O326" s="12"/>
      <c r="P326" s="261"/>
      <c r="Q326" s="261"/>
      <c r="R326" s="261"/>
      <c r="S326" s="261"/>
      <c r="T326" s="12"/>
      <c r="U326" s="261"/>
      <c r="V326" s="261"/>
      <c r="W326" s="261"/>
      <c r="X326" s="412">
        <f>W326</f>
        <v>0</v>
      </c>
      <c r="Y326" s="12"/>
      <c r="Z326" s="412">
        <f>X326</f>
        <v>0</v>
      </c>
      <c r="AA326" s="412">
        <f t="shared" ref="AA326:AC326" si="634">Z326</f>
        <v>0</v>
      </c>
      <c r="AB326" s="412">
        <f t="shared" si="634"/>
        <v>0</v>
      </c>
      <c r="AC326" s="412">
        <f t="shared" si="634"/>
        <v>0</v>
      </c>
      <c r="AD326" s="12"/>
      <c r="AE326" s="413">
        <f>AC326</f>
        <v>0</v>
      </c>
      <c r="AF326" s="413">
        <f t="shared" ref="AF326:AG326" si="635">AE326</f>
        <v>0</v>
      </c>
      <c r="AG326" s="413">
        <f t="shared" si="635"/>
        <v>0</v>
      </c>
      <c r="AH326" s="12"/>
      <c r="AI326" s="12"/>
      <c r="AJ326" s="12"/>
      <c r="AK326" s="12"/>
    </row>
    <row r="327" spans="1:37" ht="13.5" customHeight="1">
      <c r="A327" s="211"/>
      <c r="B327" s="12"/>
      <c r="C327" s="108" t="s">
        <v>276</v>
      </c>
      <c r="D327" s="12"/>
      <c r="E327" s="12"/>
      <c r="F327" s="261"/>
      <c r="G327" s="261"/>
      <c r="H327" s="261"/>
      <c r="I327" s="261"/>
      <c r="J327" s="12"/>
      <c r="K327" s="261"/>
      <c r="L327" s="261"/>
      <c r="M327" s="261"/>
      <c r="N327" s="261"/>
      <c r="O327" s="12"/>
      <c r="P327" s="261"/>
      <c r="Q327" s="261"/>
      <c r="R327" s="261"/>
      <c r="S327" s="261"/>
      <c r="T327" s="12"/>
      <c r="U327" s="261"/>
      <c r="V327" s="261"/>
      <c r="W327" s="261"/>
      <c r="X327" s="227" t="str">
        <f ca="1">X325*X326</f>
        <v/>
      </c>
      <c r="Y327" s="12"/>
      <c r="Z327" s="227" t="str">
        <f t="shared" ref="Z327:AC327" ca="1" si="636">Z325*Z326</f>
        <v/>
      </c>
      <c r="AA327" s="227" t="str">
        <f t="shared" ca="1" si="636"/>
        <v>#REF!</v>
      </c>
      <c r="AB327" s="227" t="str">
        <f t="shared" ca="1" si="636"/>
        <v>#REF!</v>
      </c>
      <c r="AC327" s="227" t="str">
        <f t="shared" ca="1" si="636"/>
        <v>#REF!</v>
      </c>
      <c r="AD327" s="12"/>
      <c r="AE327" s="228" t="str">
        <f t="shared" ref="AE327:AG327" ca="1" si="637">AE325*AE326</f>
        <v/>
      </c>
      <c r="AF327" s="228" t="str">
        <f t="shared" ca="1" si="637"/>
        <v>#REF!</v>
      </c>
      <c r="AG327" s="228" t="str">
        <f t="shared" ca="1" si="637"/>
        <v>#REF!</v>
      </c>
      <c r="AH327" s="12"/>
      <c r="AI327" s="12"/>
      <c r="AJ327" s="12"/>
      <c r="AK327" s="12"/>
    </row>
    <row r="328" spans="1:37" ht="13.5" customHeight="1">
      <c r="A328" s="211"/>
      <c r="B328" s="12"/>
      <c r="C328" s="12"/>
      <c r="D328" s="12"/>
      <c r="E328" s="12"/>
      <c r="F328" s="261"/>
      <c r="G328" s="261"/>
      <c r="H328" s="261"/>
      <c r="I328" s="261"/>
      <c r="J328" s="12"/>
      <c r="K328" s="261"/>
      <c r="L328" s="261"/>
      <c r="M328" s="261"/>
      <c r="N328" s="261"/>
      <c r="O328" s="12"/>
      <c r="P328" s="261"/>
      <c r="Q328" s="261"/>
      <c r="R328" s="261"/>
      <c r="S328" s="261"/>
      <c r="T328" s="12"/>
      <c r="U328" s="261"/>
      <c r="V328" s="261"/>
      <c r="W328" s="261"/>
      <c r="X328" s="262"/>
      <c r="Y328" s="12"/>
      <c r="Z328" s="262"/>
      <c r="AA328" s="262"/>
      <c r="AB328" s="262"/>
      <c r="AC328" s="262"/>
      <c r="AD328" s="12"/>
      <c r="AE328" s="12"/>
      <c r="AF328" s="12"/>
      <c r="AG328" s="12"/>
      <c r="AH328" s="12"/>
      <c r="AI328" s="12"/>
      <c r="AJ328" s="12"/>
      <c r="AK328" s="12"/>
    </row>
    <row r="329" spans="1:37" ht="13.5" customHeight="1">
      <c r="A329" s="211"/>
      <c r="B329" s="332"/>
      <c r="C329" s="75" t="s">
        <v>444</v>
      </c>
      <c r="D329" s="75"/>
      <c r="E329" s="75"/>
      <c r="F329" s="414"/>
      <c r="G329" s="414"/>
      <c r="H329" s="414"/>
      <c r="I329" s="414"/>
      <c r="J329" s="75"/>
      <c r="K329" s="414"/>
      <c r="L329" s="414"/>
      <c r="M329" s="414"/>
      <c r="N329" s="414"/>
      <c r="O329" s="75"/>
      <c r="P329" s="414"/>
      <c r="Q329" s="414"/>
      <c r="R329" s="414"/>
      <c r="S329" s="414"/>
      <c r="T329" s="75"/>
      <c r="U329" s="414"/>
      <c r="V329" s="414"/>
      <c r="W329" s="414"/>
      <c r="X329" s="336" t="str">
        <f ca="1">X327</f>
        <v/>
      </c>
      <c r="Y329" s="75"/>
      <c r="Z329" s="336" t="str">
        <f t="shared" ref="Z329:AC329" ca="1" si="638">Z327</f>
        <v/>
      </c>
      <c r="AA329" s="336" t="str">
        <f t="shared" ca="1" si="638"/>
        <v>#REF!</v>
      </c>
      <c r="AB329" s="336" t="str">
        <f t="shared" ca="1" si="638"/>
        <v>#REF!</v>
      </c>
      <c r="AC329" s="336" t="str">
        <f t="shared" ca="1" si="638"/>
        <v>#REF!</v>
      </c>
      <c r="AD329" s="75"/>
      <c r="AE329" s="335" t="str">
        <f t="shared" ref="AE329:AG329" ca="1" si="639">AE327</f>
        <v/>
      </c>
      <c r="AF329" s="335" t="str">
        <f t="shared" ca="1" si="639"/>
        <v>#REF!</v>
      </c>
      <c r="AG329" s="353" t="str">
        <f t="shared" ca="1" si="639"/>
        <v>#REF!</v>
      </c>
      <c r="AH329" s="228"/>
      <c r="AI329" s="12"/>
      <c r="AJ329" s="12"/>
      <c r="AK329" s="12"/>
    </row>
    <row r="330" spans="1:37" ht="13.5" customHeight="1">
      <c r="A330" s="211"/>
      <c r="B330" s="12"/>
      <c r="C330" s="12"/>
      <c r="D330" s="12"/>
      <c r="E330" s="12"/>
      <c r="F330" s="261"/>
      <c r="G330" s="261"/>
      <c r="H330" s="261"/>
      <c r="I330" s="261"/>
      <c r="J330" s="12"/>
      <c r="K330" s="261"/>
      <c r="L330" s="261"/>
      <c r="M330" s="261"/>
      <c r="N330" s="261"/>
      <c r="O330" s="12"/>
      <c r="P330" s="261"/>
      <c r="Q330" s="261"/>
      <c r="R330" s="261"/>
      <c r="S330" s="261"/>
      <c r="T330" s="12"/>
      <c r="U330" s="261"/>
      <c r="V330" s="261"/>
      <c r="W330" s="261"/>
      <c r="X330" s="262"/>
      <c r="Y330" s="12"/>
      <c r="Z330" s="262"/>
      <c r="AA330" s="262"/>
      <c r="AB330" s="262"/>
      <c r="AC330" s="262"/>
      <c r="AD330" s="12"/>
      <c r="AE330" s="12"/>
      <c r="AF330" s="12"/>
      <c r="AG330" s="12"/>
      <c r="AH330" s="12"/>
      <c r="AI330" s="12"/>
      <c r="AJ330" s="12"/>
      <c r="AK330" s="12"/>
    </row>
    <row r="331" spans="1:37" ht="13.5" customHeight="1">
      <c r="A331" s="211" t="s">
        <v>1</v>
      </c>
      <c r="B331" s="40" t="s">
        <v>1</v>
      </c>
      <c r="C331" s="55" t="s">
        <v>262</v>
      </c>
      <c r="D331" s="15"/>
      <c r="E331" s="15"/>
      <c r="F331" s="259"/>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7"/>
      <c r="AH331" s="211" t="s">
        <v>1</v>
      </c>
      <c r="AI331" s="12"/>
      <c r="AJ331" s="12"/>
      <c r="AK331" s="12"/>
    </row>
    <row r="332" spans="1:37" ht="13.5" customHeight="1">
      <c r="A332" s="211"/>
      <c r="B332" s="211"/>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3.5" customHeight="1">
      <c r="A333" s="211"/>
      <c r="B333" s="211"/>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3.5" customHeight="1">
      <c r="A334" s="211"/>
      <c r="B334" s="211"/>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3.5" customHeight="1">
      <c r="A335" s="211" t="s">
        <v>1</v>
      </c>
      <c r="B335" s="211" t="s">
        <v>1</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3.5" customHeight="1">
      <c r="A336" s="290"/>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spans="1:37" ht="13.5" customHeight="1">
      <c r="A337" s="290"/>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spans="1:37" ht="13.5" customHeight="1">
      <c r="A338" s="290"/>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spans="1:37" ht="13.5" customHeight="1">
      <c r="A339" s="29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3.5" customHeight="1">
      <c r="A340" s="29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3.5" customHeight="1">
      <c r="A341" s="29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3.5" customHeight="1">
      <c r="A342" s="29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3.5" customHeight="1">
      <c r="A343" s="29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3.5" customHeight="1">
      <c r="A344" s="29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3.5" customHeight="1">
      <c r="A345" s="29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3.5" customHeight="1">
      <c r="A346" s="29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3.5" customHeight="1">
      <c r="A347" s="29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3.5" customHeight="1">
      <c r="A348" s="29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3.5" customHeight="1">
      <c r="A349" s="29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3.5" customHeight="1">
      <c r="A350" s="29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3.5" customHeight="1">
      <c r="A351" s="29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3.5" customHeight="1">
      <c r="A352" s="29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3.5" customHeight="1">
      <c r="A353" s="29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3.5" customHeight="1">
      <c r="A354" s="29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3.5" customHeight="1">
      <c r="A355" s="29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3.5" customHeight="1">
      <c r="A356" s="29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3.5" customHeight="1">
      <c r="A357" s="29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3.5" customHeight="1">
      <c r="A358" s="29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3.5" customHeight="1">
      <c r="A359" s="29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3.5" customHeight="1">
      <c r="A360" s="29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3.5" customHeight="1">
      <c r="A361" s="29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3.5" customHeight="1">
      <c r="A362" s="29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3.5" customHeight="1">
      <c r="A363" s="29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3.5" customHeight="1">
      <c r="A364" s="29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3.5" customHeight="1">
      <c r="A365" s="29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3.5" customHeight="1">
      <c r="A366" s="29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3.5" customHeight="1">
      <c r="A367" s="29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3.5" customHeight="1">
      <c r="A368" s="29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3.5" customHeight="1">
      <c r="A369" s="29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3.5" customHeight="1">
      <c r="A370" s="29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3.5" customHeight="1">
      <c r="A371" s="29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3.5" customHeight="1">
      <c r="A372" s="29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3.5" customHeight="1">
      <c r="A373" s="29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3.5" customHeight="1">
      <c r="A374" s="29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3.5" customHeight="1">
      <c r="A375" s="29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3.5" customHeight="1">
      <c r="A376" s="29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3.5" customHeight="1">
      <c r="A377" s="29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3.5" customHeight="1">
      <c r="A378" s="29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3.5" customHeight="1">
      <c r="A379" s="29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3.5" customHeight="1">
      <c r="A380" s="29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3.5" customHeight="1">
      <c r="A381" s="29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3.5" customHeight="1">
      <c r="A382" s="29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3.5" customHeight="1">
      <c r="A383" s="29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3.5" customHeight="1">
      <c r="A384" s="29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3.5" customHeight="1">
      <c r="A385" s="29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3.5" customHeight="1">
      <c r="A386" s="29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3.5" customHeight="1">
      <c r="A387" s="29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3.5" customHeight="1">
      <c r="A388" s="29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3.5" customHeight="1">
      <c r="A389" s="29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3.5" customHeight="1">
      <c r="A390" s="2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3.5" customHeight="1">
      <c r="A391" s="29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3.5" customHeight="1">
      <c r="A392" s="29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3.5" customHeight="1">
      <c r="A393" s="29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3.5" customHeight="1">
      <c r="A394" s="29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3.5" customHeight="1">
      <c r="A395" s="29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3.5" customHeight="1">
      <c r="A396" s="29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3.5" customHeight="1">
      <c r="A397" s="29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3.5" customHeight="1">
      <c r="A398" s="29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3.5" customHeight="1">
      <c r="A399" s="29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3.5" customHeight="1">
      <c r="A400" s="29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3.5" customHeight="1">
      <c r="A401" s="29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3.5" customHeight="1">
      <c r="A402" s="29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3.5" customHeight="1">
      <c r="A403" s="29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3.5" customHeight="1">
      <c r="A404" s="29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3.5" customHeight="1">
      <c r="A405" s="29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3.5" customHeight="1">
      <c r="A406" s="29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3.5" customHeight="1">
      <c r="A407" s="29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3.5" customHeight="1">
      <c r="A408" s="29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3.5" customHeight="1">
      <c r="A409" s="29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3.5" customHeight="1">
      <c r="A410" s="29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3.5" customHeight="1">
      <c r="A411" s="29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3.5" customHeight="1">
      <c r="A412" s="29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3.5" customHeight="1">
      <c r="A413" s="29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3.5" customHeight="1">
      <c r="A414" s="29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3.5" customHeight="1">
      <c r="A415" s="29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3.5" customHeight="1">
      <c r="A416" s="29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3.5" customHeight="1">
      <c r="A417" s="29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3.5" customHeight="1">
      <c r="A418" s="29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3.5" customHeight="1">
      <c r="A419" s="29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3.5" customHeight="1">
      <c r="A420" s="29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3.5" customHeight="1">
      <c r="A421" s="29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3.5" customHeight="1">
      <c r="A422" s="29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3.5" customHeight="1">
      <c r="A423" s="29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3.5" customHeight="1">
      <c r="A424" s="29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3.5" customHeight="1">
      <c r="A425" s="29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3.5" customHeight="1">
      <c r="A426" s="29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3.5" customHeight="1">
      <c r="A427" s="29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3.5" customHeight="1">
      <c r="A428" s="29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3.5" customHeight="1">
      <c r="A429" s="29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3.5" customHeight="1">
      <c r="A430" s="29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3.5" customHeight="1">
      <c r="A431" s="29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3.5" customHeight="1">
      <c r="A432" s="29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3.5" customHeight="1">
      <c r="A433" s="29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3.5" customHeight="1">
      <c r="A434" s="29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3.5" customHeight="1">
      <c r="A435" s="29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3.5" customHeight="1">
      <c r="A436" s="29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3.5" customHeight="1">
      <c r="A437" s="29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3.5" customHeight="1">
      <c r="A438" s="29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3.5" customHeight="1">
      <c r="A439" s="29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3.5" customHeight="1">
      <c r="A440" s="29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3.5" customHeight="1">
      <c r="A441" s="29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3.5" customHeight="1">
      <c r="A442" s="29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3.5" customHeight="1">
      <c r="A443" s="29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3.5" customHeight="1">
      <c r="A444" s="29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3.5" customHeight="1">
      <c r="A445" s="29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3.5" customHeight="1">
      <c r="A446" s="29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3.5" customHeight="1">
      <c r="A447" s="29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3.5" customHeight="1">
      <c r="A448" s="29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3.5" customHeight="1">
      <c r="A449" s="29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3.5" customHeight="1">
      <c r="A450" s="29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3.5" customHeight="1">
      <c r="A451" s="29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3.5" customHeight="1">
      <c r="A452" s="29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3.5" customHeight="1">
      <c r="A453" s="29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3.5" customHeight="1">
      <c r="A454" s="29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3.5" customHeight="1">
      <c r="A455" s="29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3.5" customHeight="1">
      <c r="A456" s="29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3.5" customHeight="1">
      <c r="A457" s="29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3.5" customHeight="1">
      <c r="A458" s="29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3.5" customHeight="1">
      <c r="A459" s="29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3.5" customHeight="1">
      <c r="A460" s="29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3.5" customHeight="1">
      <c r="A461" s="29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3.5" customHeight="1">
      <c r="A462" s="29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3.5" customHeight="1">
      <c r="A463" s="29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3.5" customHeight="1">
      <c r="A464" s="29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3.5" customHeight="1">
      <c r="A465" s="29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3.5" customHeight="1">
      <c r="A466" s="29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3.5" customHeight="1">
      <c r="A467" s="29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3.5" customHeight="1">
      <c r="A468" s="29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3.5" customHeight="1">
      <c r="A469" s="29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3.5" customHeight="1">
      <c r="A470" s="29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3.5" customHeight="1">
      <c r="A471" s="29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3.5" customHeight="1">
      <c r="A472" s="29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3.5" customHeight="1">
      <c r="A473" s="29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3.5" customHeight="1">
      <c r="A474" s="29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3.5" customHeight="1">
      <c r="A475" s="29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3.5" customHeight="1">
      <c r="A476" s="29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3.5" customHeight="1">
      <c r="A477" s="29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3.5" customHeight="1">
      <c r="A478" s="29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3.5" customHeight="1">
      <c r="A479" s="29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3.5" customHeight="1">
      <c r="A480" s="29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3.5" customHeight="1">
      <c r="A481" s="29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3.5" customHeight="1">
      <c r="A482" s="29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3.5" customHeight="1">
      <c r="A483" s="29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3.5" customHeight="1">
      <c r="A484" s="29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3.5" customHeight="1">
      <c r="A485" s="29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3.5" customHeight="1">
      <c r="A486" s="29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3.5" customHeight="1">
      <c r="A487" s="29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3.5" customHeight="1">
      <c r="A488" s="29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3.5" customHeight="1">
      <c r="A489" s="29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3.5" customHeight="1">
      <c r="A490" s="2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3.5" customHeight="1">
      <c r="A491" s="29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3.5" customHeight="1">
      <c r="A492" s="29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3.5" customHeight="1">
      <c r="A493" s="29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3.5" customHeight="1">
      <c r="A494" s="29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3.5" customHeight="1">
      <c r="A495" s="29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3.5" customHeight="1">
      <c r="A496" s="29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3.5" customHeight="1">
      <c r="A497" s="29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3.5" customHeight="1">
      <c r="A498" s="29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3.5" customHeight="1">
      <c r="A499" s="29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3.5" customHeight="1">
      <c r="A500" s="29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3.5" customHeight="1">
      <c r="A501" s="29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3.5" customHeight="1">
      <c r="A502" s="29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3.5" customHeight="1">
      <c r="A503" s="29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3.5" customHeight="1">
      <c r="A504" s="29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3.5" customHeight="1">
      <c r="A505" s="29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3.5" customHeight="1">
      <c r="A506" s="29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3.5" customHeight="1">
      <c r="A507" s="29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3.5" customHeight="1">
      <c r="A508" s="29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3.5" customHeight="1">
      <c r="A509" s="29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3.5" customHeight="1">
      <c r="A510" s="29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3.5" customHeight="1">
      <c r="A511" s="29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3.5" customHeight="1">
      <c r="A512" s="29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3.5" customHeight="1">
      <c r="A513" s="29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3.5" customHeight="1">
      <c r="A514" s="29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3.5" customHeight="1">
      <c r="A515" s="29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3.5" customHeight="1">
      <c r="A516" s="29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3.5" customHeight="1">
      <c r="A517" s="29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3.5" customHeight="1">
      <c r="A518" s="29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3.5" customHeight="1">
      <c r="A519" s="29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3.5" customHeight="1">
      <c r="A520" s="29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3.5" customHeight="1">
      <c r="A521" s="29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3.5" customHeight="1">
      <c r="A522" s="29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3.5" customHeight="1">
      <c r="A523" s="29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3.5" customHeight="1">
      <c r="A524" s="29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3.5" customHeight="1">
      <c r="A525" s="29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3.5" customHeight="1">
      <c r="A526" s="29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3.5" customHeight="1">
      <c r="A527" s="29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3.5" customHeight="1">
      <c r="A528" s="29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3.5" customHeight="1">
      <c r="A529" s="29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3.5" customHeight="1">
      <c r="A530" s="29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3.5" customHeight="1">
      <c r="A531" s="29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3.5" customHeight="1">
      <c r="A532" s="29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3.5" customHeight="1">
      <c r="A533" s="29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3.5" customHeight="1">
      <c r="A534" s="29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3.5" customHeight="1">
      <c r="A535" s="29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3.5" customHeight="1">
      <c r="A536" s="29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3.5" customHeight="1">
      <c r="A537" s="29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3.5" customHeight="1">
      <c r="A538" s="29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3.5" customHeight="1">
      <c r="A539" s="29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3.5" customHeight="1">
      <c r="A540" s="29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3.5" customHeight="1">
      <c r="A541" s="29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3.5" customHeight="1">
      <c r="A542" s="29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3.5" customHeight="1">
      <c r="A543" s="29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3.5" customHeight="1">
      <c r="A544" s="29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3.5" customHeight="1">
      <c r="A545" s="29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3.5" customHeight="1">
      <c r="A546" s="29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3.5" customHeight="1">
      <c r="A547" s="29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3.5" customHeight="1">
      <c r="A548" s="29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3.5" customHeight="1">
      <c r="A549" s="29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3.5" customHeight="1">
      <c r="A550" s="29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3.5" customHeight="1">
      <c r="A551" s="29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3.5" customHeight="1">
      <c r="A552" s="29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3.5" customHeight="1">
      <c r="A553" s="29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3.5" customHeight="1">
      <c r="A554" s="29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3.5" customHeight="1">
      <c r="A555" s="29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3.5" customHeight="1">
      <c r="A556" s="29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3.5" customHeight="1">
      <c r="A557" s="29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3.5" customHeight="1">
      <c r="A558" s="29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3.5" customHeight="1">
      <c r="A559" s="29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3.5" customHeight="1">
      <c r="A560" s="29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3.5" customHeight="1">
      <c r="A561" s="29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3.5" customHeight="1">
      <c r="A562" s="29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3.5" customHeight="1">
      <c r="A563" s="29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3.5" customHeight="1">
      <c r="A564" s="29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3.5" customHeight="1">
      <c r="A565" s="29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3.5" customHeight="1">
      <c r="A566" s="29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3.5" customHeight="1">
      <c r="A567" s="29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3.5" customHeight="1">
      <c r="A568" s="29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3.5" customHeight="1">
      <c r="A569" s="29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3.5" customHeight="1">
      <c r="A570" s="29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3.5" customHeight="1">
      <c r="A571" s="29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3.5" customHeight="1">
      <c r="A572" s="29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3.5" customHeight="1">
      <c r="A573" s="29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3.5" customHeight="1">
      <c r="A574" s="29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3.5" customHeight="1">
      <c r="A575" s="29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3.5" customHeight="1">
      <c r="A576" s="29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3.5" customHeight="1">
      <c r="A577" s="29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3.5" customHeight="1">
      <c r="A578" s="29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3.5" customHeight="1">
      <c r="A579" s="29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3.5" customHeight="1">
      <c r="A580" s="29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3.5" customHeight="1">
      <c r="A581" s="29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3.5" customHeight="1">
      <c r="A582" s="29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3.5" customHeight="1">
      <c r="A583" s="29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3.5" customHeight="1">
      <c r="A584" s="29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3.5" customHeight="1">
      <c r="A585" s="29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3.5" customHeight="1">
      <c r="A586" s="29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3.5" customHeight="1">
      <c r="A587" s="29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3.5" customHeight="1">
      <c r="A588" s="29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3.5" customHeight="1">
      <c r="A589" s="29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3.5" customHeight="1">
      <c r="A590" s="2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3.5" customHeight="1">
      <c r="A591" s="29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3.5" customHeight="1">
      <c r="A592" s="29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3.5" customHeight="1">
      <c r="A593" s="29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3.5" customHeight="1">
      <c r="A594" s="29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3.5" customHeight="1">
      <c r="A595" s="29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3.5" customHeight="1">
      <c r="A596" s="29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3.5" customHeight="1">
      <c r="A597" s="29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3.5" customHeight="1">
      <c r="A598" s="29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3.5" customHeight="1">
      <c r="A599" s="29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3.5" customHeight="1">
      <c r="A600" s="29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3.5" customHeight="1">
      <c r="A601" s="29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3.5" customHeight="1">
      <c r="A602" s="29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3.5" customHeight="1">
      <c r="A603" s="29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3.5" customHeight="1">
      <c r="A604" s="29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3.5" customHeight="1">
      <c r="A605" s="29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3.5" customHeight="1">
      <c r="A606" s="29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3.5" customHeight="1">
      <c r="A607" s="29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3.5" customHeight="1">
      <c r="A608" s="29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3.5" customHeight="1">
      <c r="A609" s="29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3.5" customHeight="1">
      <c r="A610" s="29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3.5" customHeight="1">
      <c r="A611" s="29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3.5" customHeight="1">
      <c r="A612" s="29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3.5" customHeight="1">
      <c r="A613" s="29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3.5" customHeight="1">
      <c r="A614" s="29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3.5" customHeight="1">
      <c r="A615" s="29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3.5" customHeight="1">
      <c r="A616" s="29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3.5" customHeight="1">
      <c r="A617" s="29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3.5" customHeight="1">
      <c r="A618" s="29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3.5" customHeight="1">
      <c r="A619" s="29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3.5" customHeight="1">
      <c r="A620" s="29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3.5" customHeight="1">
      <c r="A621" s="29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3.5" customHeight="1">
      <c r="A622" s="29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3.5" customHeight="1">
      <c r="A623" s="29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3.5" customHeight="1">
      <c r="A624" s="29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3.5" customHeight="1">
      <c r="A625" s="29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3.5" customHeight="1">
      <c r="A626" s="29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3.5" customHeight="1">
      <c r="A627" s="29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3.5" customHeight="1">
      <c r="A628" s="29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3.5" customHeight="1">
      <c r="A629" s="29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3.5" customHeight="1">
      <c r="A630" s="29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3.5" customHeight="1">
      <c r="A631" s="29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3.5" customHeight="1">
      <c r="A632" s="29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3.5" customHeight="1">
      <c r="A633" s="29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3.5" customHeight="1">
      <c r="A634" s="29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3.5" customHeight="1">
      <c r="A635" s="29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3.5" customHeight="1">
      <c r="A636" s="29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3.5" customHeight="1">
      <c r="A637" s="29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3.5" customHeight="1">
      <c r="A638" s="29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3.5" customHeight="1">
      <c r="A639" s="29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3.5" customHeight="1">
      <c r="A640" s="29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3.5" customHeight="1">
      <c r="A641" s="29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3.5" customHeight="1">
      <c r="A642" s="29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3.5" customHeight="1">
      <c r="A643" s="29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3.5" customHeight="1">
      <c r="A644" s="29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3.5" customHeight="1">
      <c r="A645" s="29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3.5" customHeight="1">
      <c r="A646" s="29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3.5" customHeight="1">
      <c r="A647" s="29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3.5" customHeight="1">
      <c r="A648" s="29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3.5" customHeight="1">
      <c r="A649" s="29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3.5" customHeight="1">
      <c r="A650" s="29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3.5" customHeight="1">
      <c r="A651" s="29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3.5" customHeight="1">
      <c r="A652" s="29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3.5" customHeight="1">
      <c r="A653" s="29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3.5" customHeight="1">
      <c r="A654" s="29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3.5" customHeight="1">
      <c r="A655" s="29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3.5" customHeight="1">
      <c r="A656" s="29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3.5" customHeight="1">
      <c r="A657" s="29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3.5" customHeight="1">
      <c r="A658" s="29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3.5" customHeight="1">
      <c r="A659" s="29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3.5" customHeight="1">
      <c r="A660" s="29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3.5" customHeight="1">
      <c r="A661" s="29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3.5" customHeight="1">
      <c r="A662" s="29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3.5" customHeight="1">
      <c r="A663" s="29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3.5" customHeight="1">
      <c r="A664" s="29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3.5" customHeight="1">
      <c r="A665" s="29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3.5" customHeight="1">
      <c r="A666" s="29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3.5" customHeight="1">
      <c r="A667" s="29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3.5" customHeight="1">
      <c r="A668" s="29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3.5" customHeight="1">
      <c r="A669" s="29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3.5" customHeight="1">
      <c r="A670" s="29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3.5" customHeight="1">
      <c r="A671" s="29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3.5" customHeight="1">
      <c r="A672" s="29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3.5" customHeight="1">
      <c r="A673" s="29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3.5" customHeight="1">
      <c r="A674" s="29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3.5" customHeight="1">
      <c r="A675" s="29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3.5" customHeight="1">
      <c r="A676" s="29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3.5" customHeight="1">
      <c r="A677" s="29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3.5" customHeight="1">
      <c r="A678" s="29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3.5" customHeight="1">
      <c r="A679" s="29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3.5" customHeight="1">
      <c r="A680" s="29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3.5" customHeight="1">
      <c r="A681" s="29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3.5" customHeight="1">
      <c r="A682" s="29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3.5" customHeight="1">
      <c r="A683" s="29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3.5" customHeight="1">
      <c r="A684" s="29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3.5" customHeight="1">
      <c r="A685" s="29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3.5" customHeight="1">
      <c r="A686" s="29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3.5" customHeight="1">
      <c r="A687" s="29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3.5" customHeight="1">
      <c r="A688" s="29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3.5" customHeight="1">
      <c r="A689" s="29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3.5" customHeight="1">
      <c r="A690" s="2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3.5" customHeight="1">
      <c r="A691" s="29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3.5" customHeight="1">
      <c r="A692" s="29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3.5" customHeight="1">
      <c r="A693" s="29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3.5" customHeight="1">
      <c r="A694" s="29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3.5" customHeight="1">
      <c r="A695" s="29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3.5" customHeight="1">
      <c r="A696" s="29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3.5" customHeight="1">
      <c r="A697" s="29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3.5" customHeight="1">
      <c r="A698" s="29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3.5" customHeight="1">
      <c r="A699" s="29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3.5" customHeight="1">
      <c r="A700" s="29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3.5" customHeight="1">
      <c r="A701" s="29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3.5" customHeight="1">
      <c r="A702" s="29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3.5" customHeight="1">
      <c r="A703" s="29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3.5" customHeight="1">
      <c r="A704" s="29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3.5" customHeight="1">
      <c r="A705" s="29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3.5" customHeight="1">
      <c r="A706" s="29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3.5" customHeight="1">
      <c r="A707" s="29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3.5" customHeight="1">
      <c r="A708" s="29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3.5" customHeight="1">
      <c r="A709" s="29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3.5" customHeight="1">
      <c r="A710" s="29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3.5" customHeight="1">
      <c r="A711" s="29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3.5" customHeight="1">
      <c r="A712" s="29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3.5" customHeight="1">
      <c r="A713" s="29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3.5" customHeight="1">
      <c r="A714" s="29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3.5" customHeight="1">
      <c r="A715" s="29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3.5" customHeight="1">
      <c r="A716" s="29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3.5" customHeight="1">
      <c r="A717" s="29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3.5" customHeight="1">
      <c r="A718" s="29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3.5" customHeight="1">
      <c r="A719" s="29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3.5" customHeight="1">
      <c r="A720" s="29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3.5" customHeight="1">
      <c r="A721" s="29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3.5" customHeight="1">
      <c r="A722" s="29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3.5" customHeight="1">
      <c r="A723" s="29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3.5" customHeight="1">
      <c r="A724" s="29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3.5" customHeight="1">
      <c r="A725" s="29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3.5" customHeight="1">
      <c r="A726" s="29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3.5" customHeight="1">
      <c r="A727" s="29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3.5" customHeight="1">
      <c r="A728" s="29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3.5" customHeight="1">
      <c r="A729" s="29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3.5" customHeight="1">
      <c r="A730" s="29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3.5" customHeight="1">
      <c r="A731" s="29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3.5" customHeight="1">
      <c r="A732" s="29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3.5" customHeight="1">
      <c r="A733" s="29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3.5" customHeight="1">
      <c r="A734" s="29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3.5" customHeight="1">
      <c r="A735" s="29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3.5" customHeight="1">
      <c r="A736" s="29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3.5" customHeight="1">
      <c r="A737" s="29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3.5" customHeight="1">
      <c r="A738" s="29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3.5" customHeight="1">
      <c r="A739" s="29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3.5" customHeight="1">
      <c r="A740" s="29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3.5" customHeight="1">
      <c r="A741" s="29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3.5" customHeight="1">
      <c r="A742" s="29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3.5" customHeight="1">
      <c r="A743" s="29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3.5" customHeight="1">
      <c r="A744" s="29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3.5" customHeight="1">
      <c r="A745" s="29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3.5" customHeight="1">
      <c r="A746" s="29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3.5" customHeight="1">
      <c r="A747" s="29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3.5" customHeight="1">
      <c r="A748" s="29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3.5" customHeight="1">
      <c r="A749" s="29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3.5" customHeight="1">
      <c r="A750" s="29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3.5" customHeight="1">
      <c r="A751" s="29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3.5" customHeight="1">
      <c r="A752" s="29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3.5" customHeight="1">
      <c r="A753" s="29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3.5" customHeight="1">
      <c r="A754" s="29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3.5" customHeight="1">
      <c r="A755" s="29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3.5" customHeight="1">
      <c r="A756" s="29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3.5" customHeight="1">
      <c r="A757" s="29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3.5" customHeight="1">
      <c r="A758" s="29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3.5" customHeight="1">
      <c r="A759" s="29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3.5" customHeight="1">
      <c r="A760" s="29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3.5" customHeight="1">
      <c r="A761" s="29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3.5" customHeight="1">
      <c r="A762" s="29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3.5" customHeight="1">
      <c r="A763" s="29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3.5" customHeight="1">
      <c r="A764" s="29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3.5" customHeight="1">
      <c r="A765" s="29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3.5" customHeight="1">
      <c r="A766" s="29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3.5" customHeight="1">
      <c r="A767" s="29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3.5" customHeight="1">
      <c r="A768" s="29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3.5" customHeight="1">
      <c r="A769" s="29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3.5" customHeight="1">
      <c r="A770" s="29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3.5" customHeight="1">
      <c r="A771" s="29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3.5" customHeight="1">
      <c r="A772" s="29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3.5" customHeight="1">
      <c r="A773" s="29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3.5" customHeight="1">
      <c r="A774" s="29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3.5" customHeight="1">
      <c r="A775" s="29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3.5" customHeight="1">
      <c r="A776" s="29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3.5" customHeight="1">
      <c r="A777" s="29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3.5" customHeight="1">
      <c r="A778" s="29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3.5" customHeight="1">
      <c r="A779" s="29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3.5" customHeight="1">
      <c r="A780" s="29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3.5" customHeight="1">
      <c r="A781" s="29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3.5" customHeight="1">
      <c r="A782" s="29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3.5" customHeight="1">
      <c r="A783" s="29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3.5" customHeight="1">
      <c r="A784" s="29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3.5" customHeight="1">
      <c r="A785" s="29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3.5" customHeight="1">
      <c r="A786" s="29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3.5" customHeight="1">
      <c r="A787" s="29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3.5" customHeight="1">
      <c r="A788" s="29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3.5" customHeight="1">
      <c r="A789" s="29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3.5" customHeight="1">
      <c r="A790" s="2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3.5" customHeight="1">
      <c r="A791" s="29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3.5" customHeight="1">
      <c r="A792" s="29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3.5" customHeight="1">
      <c r="A793" s="29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3.5" customHeight="1">
      <c r="A794" s="29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3.5" customHeight="1">
      <c r="A795" s="29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3.5" customHeight="1">
      <c r="A796" s="29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3.5" customHeight="1">
      <c r="A797" s="29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3.5" customHeight="1">
      <c r="A798" s="29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3.5" customHeight="1">
      <c r="A799" s="29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3.5" customHeight="1">
      <c r="A800" s="29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3.5" customHeight="1">
      <c r="A801" s="29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3.5" customHeight="1">
      <c r="A802" s="29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3.5" customHeight="1">
      <c r="A803" s="29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3.5" customHeight="1">
      <c r="A804" s="29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3.5" customHeight="1">
      <c r="A805" s="29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3.5" customHeight="1">
      <c r="A806" s="29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3.5" customHeight="1">
      <c r="A807" s="29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3.5" customHeight="1">
      <c r="A808" s="29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3.5" customHeight="1">
      <c r="A809" s="29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3.5" customHeight="1">
      <c r="A810" s="29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3.5" customHeight="1">
      <c r="A811" s="29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3.5" customHeight="1">
      <c r="A812" s="29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3.5" customHeight="1">
      <c r="A813" s="29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3.5" customHeight="1">
      <c r="A814" s="29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3.5" customHeight="1">
      <c r="A815" s="29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3.5" customHeight="1">
      <c r="A816" s="29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3.5" customHeight="1">
      <c r="A817" s="29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3.5" customHeight="1">
      <c r="A818" s="29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3.5" customHeight="1">
      <c r="A819" s="29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3.5" customHeight="1">
      <c r="A820" s="29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3.5" customHeight="1">
      <c r="A821" s="29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3.5" customHeight="1">
      <c r="A822" s="29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3.5" customHeight="1">
      <c r="A823" s="29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3.5" customHeight="1">
      <c r="A824" s="29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3.5" customHeight="1">
      <c r="A825" s="29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3.5" customHeight="1">
      <c r="A826" s="29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3.5" customHeight="1">
      <c r="A827" s="29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3.5" customHeight="1">
      <c r="A828" s="29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3.5" customHeight="1">
      <c r="A829" s="29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3.5" customHeight="1">
      <c r="A830" s="29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3.5" customHeight="1">
      <c r="A831" s="29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3.5" customHeight="1">
      <c r="A832" s="29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3.5" customHeight="1">
      <c r="A833" s="29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3.5" customHeight="1">
      <c r="A834" s="29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3.5" customHeight="1">
      <c r="A835" s="29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3.5" customHeight="1">
      <c r="A836" s="29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3.5" customHeight="1">
      <c r="A837" s="29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3.5" customHeight="1">
      <c r="A838" s="29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3.5" customHeight="1">
      <c r="A839" s="29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3.5" customHeight="1">
      <c r="A840" s="29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3.5" customHeight="1">
      <c r="A841" s="29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3.5" customHeight="1">
      <c r="A842" s="29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3.5" customHeight="1">
      <c r="A843" s="29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3.5" customHeight="1">
      <c r="A844" s="29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3.5" customHeight="1">
      <c r="A845" s="29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3.5" customHeight="1">
      <c r="A846" s="29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3.5" customHeight="1">
      <c r="A847" s="29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3.5" customHeight="1">
      <c r="A848" s="29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3.5" customHeight="1">
      <c r="A849" s="29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3.5" customHeight="1">
      <c r="A850" s="29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3.5" customHeight="1">
      <c r="A851" s="29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3.5" customHeight="1">
      <c r="A852" s="29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3.5" customHeight="1">
      <c r="A853" s="29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3.5" customHeight="1">
      <c r="A854" s="29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3.5" customHeight="1">
      <c r="A855" s="29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3.5" customHeight="1">
      <c r="A856" s="29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3.5" customHeight="1">
      <c r="A857" s="29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3.5" customHeight="1">
      <c r="A858" s="29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3.5" customHeight="1">
      <c r="A859" s="29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3.5" customHeight="1">
      <c r="A860" s="29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3.5" customHeight="1">
      <c r="A861" s="29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3.5" customHeight="1">
      <c r="A862" s="29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3.5" customHeight="1">
      <c r="A863" s="29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3.5" customHeight="1">
      <c r="A864" s="29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3.5" customHeight="1">
      <c r="A865" s="29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3.5" customHeight="1">
      <c r="A866" s="29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3.5" customHeight="1">
      <c r="A867" s="29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3.5" customHeight="1">
      <c r="A868" s="29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3.5" customHeight="1">
      <c r="A869" s="29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3.5" customHeight="1">
      <c r="A870" s="29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3.5" customHeight="1">
      <c r="A871" s="29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3.5" customHeight="1">
      <c r="A872" s="29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3.5" customHeight="1">
      <c r="A873" s="29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3.5" customHeight="1">
      <c r="A874" s="29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3.5" customHeight="1">
      <c r="A875" s="29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3.5" customHeight="1">
      <c r="A876" s="29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3.5" customHeight="1">
      <c r="A877" s="29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3.5" customHeight="1">
      <c r="A878" s="29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3.5" customHeight="1">
      <c r="A879" s="29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3.5" customHeight="1">
      <c r="A880" s="29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3.5" customHeight="1">
      <c r="A881" s="29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3.5" customHeight="1">
      <c r="A882" s="29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3.5" customHeight="1">
      <c r="A883" s="29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3.5" customHeight="1">
      <c r="A884" s="29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3.5" customHeight="1">
      <c r="A885" s="29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3.5" customHeight="1">
      <c r="A886" s="29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3.5" customHeight="1">
      <c r="A887" s="29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3.5" customHeight="1">
      <c r="A888" s="29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3.5" customHeight="1">
      <c r="A889" s="29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3.5" customHeight="1">
      <c r="A890" s="2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3.5" customHeight="1">
      <c r="A891" s="29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3.5" customHeight="1">
      <c r="A892" s="29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3.5" customHeight="1">
      <c r="A893" s="29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3.5" customHeight="1">
      <c r="A894" s="29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3.5" customHeight="1">
      <c r="A895" s="29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3.5" customHeight="1">
      <c r="A896" s="29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3.5" customHeight="1">
      <c r="A897" s="29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3.5" customHeight="1">
      <c r="A898" s="29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3.5" customHeight="1">
      <c r="A899" s="29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3.5" customHeight="1">
      <c r="A900" s="29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3.5" customHeight="1">
      <c r="A901" s="29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3.5" customHeight="1">
      <c r="A902" s="29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3.5" customHeight="1">
      <c r="A903" s="29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3.5" customHeight="1">
      <c r="A904" s="29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3.5" customHeight="1">
      <c r="A905" s="29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3.5" customHeight="1">
      <c r="A906" s="29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3.5" customHeight="1">
      <c r="A907" s="29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3.5" customHeight="1">
      <c r="A908" s="29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3.5" customHeight="1">
      <c r="A909" s="29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3.5" customHeight="1">
      <c r="A910" s="29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3.5" customHeight="1">
      <c r="A911" s="29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3.5" customHeight="1">
      <c r="A912" s="29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3.5" customHeight="1">
      <c r="A913" s="29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3.5" customHeight="1">
      <c r="A914" s="29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3.5" customHeight="1">
      <c r="A915" s="29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3.5" customHeight="1">
      <c r="A916" s="29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3.5" customHeight="1">
      <c r="A917" s="29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3.5" customHeight="1">
      <c r="A918" s="29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3.5" customHeight="1">
      <c r="A919" s="29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3.5" customHeight="1">
      <c r="A920" s="29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3.5" customHeight="1">
      <c r="A921" s="29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3.5" customHeight="1">
      <c r="A922" s="29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3.5" customHeight="1">
      <c r="A923" s="29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3.5" customHeight="1">
      <c r="A924" s="29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3.5" customHeight="1">
      <c r="A925" s="29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3.5" customHeight="1">
      <c r="A926" s="29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3.5" customHeight="1">
      <c r="A927" s="29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3.5" customHeight="1">
      <c r="A928" s="29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3.5" customHeight="1">
      <c r="A929" s="29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3.5" customHeight="1">
      <c r="A930" s="29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3.5" customHeight="1">
      <c r="A931" s="29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3.5" customHeight="1">
      <c r="A932" s="29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3.5" customHeight="1">
      <c r="A933" s="29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3.5" customHeight="1">
      <c r="A934" s="29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3.5" customHeight="1">
      <c r="A935" s="29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3.5" customHeight="1">
      <c r="A936" s="29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3.5" customHeight="1">
      <c r="A937" s="29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3.5" customHeight="1">
      <c r="A938" s="29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3.5" customHeight="1">
      <c r="A939" s="29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3.5" customHeight="1">
      <c r="A940" s="29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3.5" customHeight="1">
      <c r="A941" s="29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3.5" customHeight="1">
      <c r="A942" s="29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3.5" customHeight="1">
      <c r="A943" s="29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3.5" customHeight="1">
      <c r="A944" s="29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3.5" customHeight="1">
      <c r="A945" s="29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3.5" customHeight="1">
      <c r="A946" s="29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3.5" customHeight="1">
      <c r="A947" s="29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3.5" customHeight="1">
      <c r="A948" s="29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3.5" customHeight="1">
      <c r="A949" s="29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3.5" customHeight="1">
      <c r="A950" s="29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3.5" customHeight="1">
      <c r="A951" s="29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3.5" customHeight="1">
      <c r="A952" s="29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3.5" customHeight="1">
      <c r="A953" s="29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3.5" customHeight="1">
      <c r="A954" s="29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3.5" customHeight="1">
      <c r="A955" s="29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3.5" customHeight="1">
      <c r="A956" s="29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3.5" customHeight="1">
      <c r="A957" s="29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3.5" customHeight="1">
      <c r="A958" s="29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3.5" customHeight="1">
      <c r="A959" s="29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3.5" customHeight="1">
      <c r="A960" s="29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3.5" customHeight="1">
      <c r="A961" s="29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3.5" customHeight="1">
      <c r="A962" s="29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3.5" customHeight="1">
      <c r="A963" s="29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3.5" customHeight="1">
      <c r="A964" s="29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3.5" customHeight="1">
      <c r="A965" s="29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3.5" customHeight="1">
      <c r="A966" s="29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3.5" customHeight="1">
      <c r="A967" s="29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3.5" customHeight="1">
      <c r="A968" s="29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3.5" customHeight="1">
      <c r="A969" s="29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3.5" customHeight="1">
      <c r="A970" s="29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3.5" customHeight="1">
      <c r="A971" s="29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3.5" customHeight="1">
      <c r="A972" s="29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3.5" customHeight="1">
      <c r="A973" s="29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3.5" customHeight="1">
      <c r="A974" s="29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3.5" customHeight="1">
      <c r="A975" s="29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3.5" customHeight="1">
      <c r="A976" s="29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3.5" customHeight="1">
      <c r="A977" s="29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3.5" customHeight="1">
      <c r="A978" s="29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3.5" customHeight="1">
      <c r="A979" s="29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3.5" customHeight="1">
      <c r="A980" s="29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3.5" customHeight="1">
      <c r="A981" s="29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3.5" customHeight="1">
      <c r="A982" s="29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3.5" customHeight="1">
      <c r="A983" s="29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3.5" customHeight="1">
      <c r="A984" s="29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3.5" customHeight="1">
      <c r="A985" s="29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3.5" customHeight="1">
      <c r="A986" s="29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3.5" customHeight="1">
      <c r="A987" s="29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3.5" customHeight="1">
      <c r="A988" s="29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3.5" customHeight="1">
      <c r="A989" s="29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3.5" customHeight="1">
      <c r="A990" s="2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3.5" customHeight="1">
      <c r="A991" s="29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3.5" customHeight="1">
      <c r="A992" s="29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3.5" customHeight="1">
      <c r="A993" s="29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3.5" customHeight="1">
      <c r="A994" s="29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3.5" customHeight="1">
      <c r="A995" s="29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3.5" customHeight="1">
      <c r="A996" s="29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3.5" customHeight="1">
      <c r="A997" s="29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3.5" customHeight="1">
      <c r="A998" s="29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3.5" customHeight="1">
      <c r="A999" s="29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3.5" customHeight="1">
      <c r="A1000" s="29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26" priority="1">
      <formula>$C$5="Report"</formula>
    </cfRule>
  </conditionalFormatting>
  <conditionalFormatting sqref="C75:AG104 C120:AG158">
    <cfRule type="expression" dxfId="125" priority="2">
      <formula>$C$5="Report"</formula>
    </cfRule>
  </conditionalFormatting>
  <dataValidations count="3">
    <dataValidation type="list" allowBlank="1" showErrorMessage="1" sqref="C34" xr:uid="{00000000-0002-0000-0700-000000000000}">
      <formula1>"Depreciation &amp; Amortization (incl. in SG&amp;A),Depreciation &amp; Amortization"</formula1>
    </dataValidation>
    <dataValidation type="list" allowBlank="1" showErrorMessage="1" sqref="C5" xr:uid="{00000000-0002-0000-0700-000001000000}">
      <formula1>"Report,Working"</formula1>
    </dataValidation>
    <dataValidation type="list" allowBlank="1" showErrorMessage="1" sqref="C8:C9" xr:uid="{00000000-0002-0000-07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G1000"/>
  <sheetViews>
    <sheetView showGridLines="0" zoomScaleNormal="100" workbookViewId="0"/>
  </sheetViews>
  <sheetFormatPr baseColWidth="10" defaultColWidth="14.5" defaultRowHeight="15" outlineLevelRow="2" outlineLevelCol="1"/>
  <cols>
    <col min="1" max="2" width="1.6640625" customWidth="1"/>
    <col min="3" max="3" width="51.33203125" customWidth="1"/>
    <col min="4" max="5" width="1.6640625" customWidth="1"/>
    <col min="6" max="9" width="12.6640625" customWidth="1" outlineLevel="1" collapsed="1"/>
    <col min="10" max="10" width="12.83203125" customWidth="1"/>
    <col min="11" max="14" width="12.6640625" customWidth="1" outlineLevel="1" collapsed="1"/>
    <col min="15" max="15" width="12.83203125" customWidth="1"/>
    <col min="16" max="19" width="12.6640625" customWidth="1" outlineLevel="1" collapsed="1"/>
    <col min="20" max="20" width="13.5" customWidth="1"/>
    <col min="21" max="24" width="12.6640625" customWidth="1" outlineLevel="1" collapsed="1"/>
    <col min="25" max="25" width="13.5" customWidth="1"/>
    <col min="26" max="29" width="12.6640625" customWidth="1" outlineLevel="1" collapsed="1"/>
    <col min="30" max="33" width="13.5" customWidth="1"/>
  </cols>
  <sheetData>
    <row r="1" spans="1:33" ht="14.25" customHeight="1">
      <c r="A1" s="289"/>
      <c r="B1" s="7"/>
      <c r="C1" s="8" t="str">
        <f ca="1">Company_Name&amp;" - "&amp;MID(CELL("filename",A1),FIND("]",CELL("filename",A1))+1,255)&amp;": "&amp;Case_Scenario&amp;" Case"</f>
        <v>NETFLIX INC - Segment Analysis: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spans="1:33" ht="14.25" customHeight="1">
      <c r="A2" s="290"/>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4.25" customHeight="1">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14.25" customHeight="1">
      <c r="A4" s="290"/>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4.25" customHeight="1">
      <c r="C5" s="296" t="s">
        <v>44</v>
      </c>
      <c r="D5" s="319"/>
      <c r="E5" s="319"/>
      <c r="F5" s="297" t="str">
        <f>Model!F63</f>
        <v>1Q23</v>
      </c>
      <c r="G5" s="297" t="str">
        <f>Model!G63</f>
        <v>2Q23</v>
      </c>
      <c r="H5" s="297" t="str">
        <f>Model!H63</f>
        <v>3Q23</v>
      </c>
      <c r="I5" s="297" t="str">
        <f>Model!I63</f>
        <v>4Q23</v>
      </c>
      <c r="J5" s="297">
        <f>Model!J63</f>
        <v>2023</v>
      </c>
      <c r="K5" s="297" t="str">
        <f>Model!K63</f>
        <v>1Q24</v>
      </c>
      <c r="L5" s="297" t="str">
        <f>Model!L63</f>
        <v>2Q24</v>
      </c>
      <c r="M5" s="297" t="str">
        <f>Model!M63</f>
        <v>3Q24</v>
      </c>
      <c r="N5" s="297" t="str">
        <f>Model!N63</f>
        <v>4Q24</v>
      </c>
      <c r="O5" s="297">
        <f>Model!O63</f>
        <v>2024</v>
      </c>
      <c r="P5" s="297" t="str">
        <f>Model!P63</f>
        <v>1Q25</v>
      </c>
      <c r="Q5" s="297" t="str">
        <f>Model!Q63</f>
        <v>2Q25</v>
      </c>
      <c r="R5" s="297" t="str">
        <f>Model!R63</f>
        <v>3Q25</v>
      </c>
      <c r="S5" s="297" t="str">
        <f>Model!S63</f>
        <v>4Q25</v>
      </c>
      <c r="T5" s="297">
        <f>Model!T63</f>
        <v>2025</v>
      </c>
      <c r="U5" s="297" t="str">
        <f>Model!U63</f>
        <v>1Q26</v>
      </c>
      <c r="V5" s="297" t="str">
        <f>Model!V63</f>
        <v>2Q26</v>
      </c>
      <c r="W5" s="297" t="str">
        <f>Model!W63</f>
        <v>3Q26e</v>
      </c>
      <c r="X5" s="297" t="str">
        <f>Model!X63</f>
        <v>4Q26e</v>
      </c>
      <c r="Y5" s="297" t="str">
        <f>Model!Y63</f>
        <v>2026e</v>
      </c>
      <c r="Z5" s="297" t="str">
        <f>Model!Z63</f>
        <v>1Q27e</v>
      </c>
      <c r="AA5" s="297" t="str">
        <f>Model!AA63</f>
        <v>2Q27e</v>
      </c>
      <c r="AB5" s="297" t="str">
        <f>Model!AB63</f>
        <v>3Q27e</v>
      </c>
      <c r="AC5" s="297" t="str">
        <f>Model!AC63</f>
        <v>4Q27e</v>
      </c>
      <c r="AD5" s="297" t="str">
        <f>Model!AD63</f>
        <v>2027e</v>
      </c>
      <c r="AE5" s="297" t="str">
        <f>Model!AE63</f>
        <v>2028e</v>
      </c>
      <c r="AF5" s="297" t="str">
        <f>Model!AF63</f>
        <v>2029e</v>
      </c>
      <c r="AG5" s="297" t="str">
        <f>Model!AG63</f>
        <v>2030e</v>
      </c>
    </row>
    <row r="6" spans="1:33" ht="14.25" customHeight="1">
      <c r="C6" s="36" t="s">
        <v>46</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42"/>
    </row>
    <row r="7" spans="1:33" ht="14.25" customHeight="1">
      <c r="C7" s="12" t="s">
        <v>247</v>
      </c>
      <c r="D7" s="12"/>
      <c r="E7" s="12"/>
      <c r="F7" s="263">
        <f t="shared" ref="F7:I7" si="0">SUM(F8:F13)</f>
        <v>8161.5029999999997</v>
      </c>
      <c r="G7" s="263">
        <f t="shared" si="0"/>
        <v>8187.3010000000004</v>
      </c>
      <c r="H7" s="263">
        <f t="shared" si="0"/>
        <v>8541.6679999999997</v>
      </c>
      <c r="I7" s="263">
        <f t="shared" si="0"/>
        <v>8832.8250000000007</v>
      </c>
      <c r="J7" s="233">
        <f t="shared" ref="J7:J13" si="1">SUM(F7:I7)</f>
        <v>33723.297000000006</v>
      </c>
      <c r="K7" s="263">
        <f t="shared" ref="K7:N7" si="2">SUM(K8:K13)</f>
        <v>9370.44</v>
      </c>
      <c r="L7" s="263">
        <f t="shared" si="2"/>
        <v>9559.31</v>
      </c>
      <c r="M7" s="263">
        <f t="shared" si="2"/>
        <v>9824.7029999999995</v>
      </c>
      <c r="N7" s="263">
        <f t="shared" si="2"/>
        <v>10246.513000000001</v>
      </c>
      <c r="O7" s="233">
        <f t="shared" ref="O7:O13" si="3">SUM(K7:N7)</f>
        <v>39000.966</v>
      </c>
      <c r="P7" s="263">
        <f t="shared" ref="P7:S7" si="4">SUM(P8:P13)</f>
        <v>10542.800999999999</v>
      </c>
      <c r="Q7" s="263">
        <f t="shared" si="4"/>
        <v>11079.165999999999</v>
      </c>
      <c r="R7" s="263">
        <f t="shared" si="4"/>
        <v>11510.307000000001</v>
      </c>
      <c r="S7" s="263">
        <f t="shared" si="4"/>
        <v>12050.762000000001</v>
      </c>
      <c r="T7" s="233">
        <f t="shared" ref="T7:T13" si="5">SUM(P7:S7)</f>
        <v>45183.036</v>
      </c>
      <c r="U7" s="263">
        <f t="shared" ref="U7:X7" si="6">SUM(U8:U13)</f>
        <v>12249.757</v>
      </c>
      <c r="V7" s="263">
        <f t="shared" si="6"/>
        <v>27570</v>
      </c>
      <c r="W7" s="263">
        <f t="shared" si="6"/>
        <v>22918</v>
      </c>
      <c r="X7" s="232">
        <f t="shared" si="6"/>
        <v>21772.1</v>
      </c>
      <c r="Y7" s="233">
        <f t="shared" ref="Y7:Y13" si="7">SUM(U7:X7)</f>
        <v>84509.856999999989</v>
      </c>
      <c r="Z7" s="232">
        <f t="shared" ref="Z7:AC7" si="8">SUM(Z8:Z13)</f>
        <v>25691.077999999998</v>
      </c>
      <c r="AA7" s="232">
        <f t="shared" si="8"/>
        <v>29287.82892</v>
      </c>
      <c r="AB7" s="232">
        <f t="shared" si="8"/>
        <v>25773.289449600001</v>
      </c>
      <c r="AC7" s="232">
        <f t="shared" si="8"/>
        <v>24484.624977119998</v>
      </c>
      <c r="AD7" s="233">
        <f t="shared" ref="AD7:AD13" si="9">SUM(Z7:AC7)</f>
        <v>105236.82134671998</v>
      </c>
      <c r="AE7" s="233">
        <f t="shared" ref="AE7:AG7" si="10">SUM(AE8:AE13)</f>
        <v>107341.55777365438</v>
      </c>
      <c r="AF7" s="233">
        <f t="shared" si="10"/>
        <v>109488.38892912747</v>
      </c>
      <c r="AG7" s="233">
        <f t="shared" si="10"/>
        <v>111678.15670771002</v>
      </c>
    </row>
    <row r="8" spans="1:33" ht="14.25" customHeight="1">
      <c r="C8" s="108" t="str">
        <f t="shared" ref="C8:C13" si="11">C16&amp;" Revenue"</f>
        <v>Home Improvement Retail Revenue</v>
      </c>
      <c r="D8" s="12"/>
      <c r="E8" s="12"/>
      <c r="F8" s="415">
        <v>8161.5029999999997</v>
      </c>
      <c r="G8" s="415">
        <v>8187.3010000000004</v>
      </c>
      <c r="H8" s="415">
        <v>8541.6679999999997</v>
      </c>
      <c r="I8" s="415">
        <v>8832.8250000000007</v>
      </c>
      <c r="J8" s="416">
        <f t="shared" si="1"/>
        <v>33723.297000000006</v>
      </c>
      <c r="K8" s="415">
        <v>9370.44</v>
      </c>
      <c r="L8" s="415">
        <v>9559.31</v>
      </c>
      <c r="M8" s="415">
        <v>9824.7029999999995</v>
      </c>
      <c r="N8" s="415">
        <v>10246.513000000001</v>
      </c>
      <c r="O8" s="416">
        <f t="shared" si="3"/>
        <v>39000.966</v>
      </c>
      <c r="P8" s="415">
        <v>10542.800999999999</v>
      </c>
      <c r="Q8" s="415">
        <v>11079.165999999999</v>
      </c>
      <c r="R8" s="415">
        <v>11510.307000000001</v>
      </c>
      <c r="S8" s="415">
        <v>12050.762000000001</v>
      </c>
      <c r="T8" s="416">
        <f t="shared" si="5"/>
        <v>45183.036</v>
      </c>
      <c r="U8" s="415">
        <v>12249.757</v>
      </c>
      <c r="V8" s="415">
        <v>27570</v>
      </c>
      <c r="W8" s="415">
        <v>22918</v>
      </c>
      <c r="X8" s="417">
        <f>'Revenue Build'!X32</f>
        <v>21772.1</v>
      </c>
      <c r="Y8" s="416">
        <f t="shared" si="7"/>
        <v>84509.856999999989</v>
      </c>
      <c r="Z8" s="417">
        <f>'Revenue Build'!Z32</f>
        <v>25691.077999999998</v>
      </c>
      <c r="AA8" s="417">
        <f>'Revenue Build'!AA32</f>
        <v>29287.82892</v>
      </c>
      <c r="AB8" s="417">
        <f>'Revenue Build'!AB32</f>
        <v>25773.289449600001</v>
      </c>
      <c r="AC8" s="417">
        <f>'Revenue Build'!AC32</f>
        <v>24484.624977119998</v>
      </c>
      <c r="AD8" s="416">
        <f t="shared" si="9"/>
        <v>105236.82134671998</v>
      </c>
      <c r="AE8" s="418">
        <f>'Revenue Build'!AE32</f>
        <v>107341.55777365438</v>
      </c>
      <c r="AF8" s="418">
        <f>'Revenue Build'!AF32</f>
        <v>109488.38892912747</v>
      </c>
      <c r="AG8" s="418">
        <f>'Revenue Build'!AG32</f>
        <v>111678.15670771002</v>
      </c>
    </row>
    <row r="9" spans="1:33" ht="14.25" hidden="1" customHeight="1" outlineLevel="1">
      <c r="C9" s="108" t="str">
        <f t="shared" si="11"/>
        <v>Segment 2 Revenue</v>
      </c>
      <c r="D9" s="12"/>
      <c r="E9" s="12"/>
      <c r="F9" s="415">
        <v>0</v>
      </c>
      <c r="G9" s="415">
        <v>0</v>
      </c>
      <c r="H9" s="415">
        <v>0</v>
      </c>
      <c r="I9" s="415">
        <v>0</v>
      </c>
      <c r="J9" s="416">
        <f t="shared" si="1"/>
        <v>0</v>
      </c>
      <c r="K9" s="415">
        <v>0</v>
      </c>
      <c r="L9" s="415">
        <v>0</v>
      </c>
      <c r="M9" s="415">
        <v>0</v>
      </c>
      <c r="N9" s="415">
        <v>0</v>
      </c>
      <c r="O9" s="416">
        <f t="shared" si="3"/>
        <v>0</v>
      </c>
      <c r="P9" s="415">
        <v>0</v>
      </c>
      <c r="Q9" s="415">
        <v>0</v>
      </c>
      <c r="R9" s="415">
        <v>0</v>
      </c>
      <c r="S9" s="415">
        <v>0</v>
      </c>
      <c r="T9" s="416">
        <f t="shared" si="5"/>
        <v>0</v>
      </c>
      <c r="U9" s="415">
        <v>0</v>
      </c>
      <c r="V9" s="415">
        <v>0</v>
      </c>
      <c r="W9" s="415">
        <v>0</v>
      </c>
      <c r="X9" s="417">
        <f>'Revenue Build'!X35</f>
        <v>0</v>
      </c>
      <c r="Y9" s="416">
        <f t="shared" si="7"/>
        <v>0</v>
      </c>
      <c r="Z9" s="417">
        <f>'Revenue Build'!Z35</f>
        <v>0</v>
      </c>
      <c r="AA9" s="417">
        <f>'Revenue Build'!AA35</f>
        <v>0</v>
      </c>
      <c r="AB9" s="417">
        <f>'Revenue Build'!AB35</f>
        <v>0</v>
      </c>
      <c r="AC9" s="417">
        <f>'Revenue Build'!AC35</f>
        <v>0</v>
      </c>
      <c r="AD9" s="416">
        <f t="shared" si="9"/>
        <v>0</v>
      </c>
      <c r="AE9" s="418">
        <f>'Revenue Build'!AE35</f>
        <v>0</v>
      </c>
      <c r="AF9" s="418">
        <f>'Revenue Build'!AF35</f>
        <v>0</v>
      </c>
      <c r="AG9" s="418">
        <f>'Revenue Build'!AG35</f>
        <v>0</v>
      </c>
    </row>
    <row r="10" spans="1:33" ht="14.25" hidden="1" customHeight="1" outlineLevel="1">
      <c r="C10" s="108" t="str">
        <f t="shared" si="11"/>
        <v>Segment 3 Revenue</v>
      </c>
      <c r="D10" s="12"/>
      <c r="E10" s="12"/>
      <c r="F10" s="415">
        <v>0</v>
      </c>
      <c r="G10" s="415">
        <v>0</v>
      </c>
      <c r="H10" s="415">
        <v>0</v>
      </c>
      <c r="I10" s="415">
        <v>0</v>
      </c>
      <c r="J10" s="416">
        <f t="shared" si="1"/>
        <v>0</v>
      </c>
      <c r="K10" s="415">
        <v>0</v>
      </c>
      <c r="L10" s="415">
        <v>0</v>
      </c>
      <c r="M10" s="415">
        <v>0</v>
      </c>
      <c r="N10" s="415">
        <v>0</v>
      </c>
      <c r="O10" s="416">
        <f t="shared" si="3"/>
        <v>0</v>
      </c>
      <c r="P10" s="415">
        <v>0</v>
      </c>
      <c r="Q10" s="415">
        <v>0</v>
      </c>
      <c r="R10" s="415">
        <v>0</v>
      </c>
      <c r="S10" s="415">
        <v>0</v>
      </c>
      <c r="T10" s="416">
        <f t="shared" si="5"/>
        <v>0</v>
      </c>
      <c r="U10" s="415">
        <v>0</v>
      </c>
      <c r="V10" s="415">
        <v>0</v>
      </c>
      <c r="W10" s="415">
        <v>0</v>
      </c>
      <c r="X10" s="417">
        <f>'Revenue Build'!X38</f>
        <v>0</v>
      </c>
      <c r="Y10" s="416">
        <f t="shared" si="7"/>
        <v>0</v>
      </c>
      <c r="Z10" s="417">
        <f>'Revenue Build'!Z38</f>
        <v>0</v>
      </c>
      <c r="AA10" s="417">
        <f>'Revenue Build'!AA38</f>
        <v>0</v>
      </c>
      <c r="AB10" s="417">
        <f>'Revenue Build'!AB38</f>
        <v>0</v>
      </c>
      <c r="AC10" s="417">
        <f>'Revenue Build'!AC38</f>
        <v>0</v>
      </c>
      <c r="AD10" s="416">
        <f t="shared" si="9"/>
        <v>0</v>
      </c>
      <c r="AE10" s="418">
        <f>'Revenue Build'!AE38</f>
        <v>0</v>
      </c>
      <c r="AF10" s="418">
        <f>'Revenue Build'!AF38</f>
        <v>0</v>
      </c>
      <c r="AG10" s="418">
        <f>'Revenue Build'!AG38</f>
        <v>0</v>
      </c>
    </row>
    <row r="11" spans="1:33" ht="14.25" hidden="1" customHeight="1" outlineLevel="1">
      <c r="C11" s="108" t="str">
        <f t="shared" si="11"/>
        <v>Segment 4 Revenue</v>
      </c>
      <c r="D11" s="12"/>
      <c r="E11" s="12"/>
      <c r="F11" s="415">
        <v>0</v>
      </c>
      <c r="G11" s="415">
        <v>0</v>
      </c>
      <c r="H11" s="415">
        <v>0</v>
      </c>
      <c r="I11" s="415">
        <v>0</v>
      </c>
      <c r="J11" s="416">
        <f t="shared" si="1"/>
        <v>0</v>
      </c>
      <c r="K11" s="415">
        <v>0</v>
      </c>
      <c r="L11" s="415">
        <v>0</v>
      </c>
      <c r="M11" s="415">
        <v>0</v>
      </c>
      <c r="N11" s="415">
        <v>0</v>
      </c>
      <c r="O11" s="416">
        <f t="shared" si="3"/>
        <v>0</v>
      </c>
      <c r="P11" s="415">
        <v>0</v>
      </c>
      <c r="Q11" s="415">
        <v>0</v>
      </c>
      <c r="R11" s="415">
        <v>0</v>
      </c>
      <c r="S11" s="415">
        <v>0</v>
      </c>
      <c r="T11" s="416">
        <f t="shared" si="5"/>
        <v>0</v>
      </c>
      <c r="U11" s="415">
        <v>0</v>
      </c>
      <c r="V11" s="415">
        <v>0</v>
      </c>
      <c r="W11" s="415">
        <v>0</v>
      </c>
      <c r="X11" s="417">
        <f>'Revenue Build'!X41</f>
        <v>0</v>
      </c>
      <c r="Y11" s="416">
        <f t="shared" si="7"/>
        <v>0</v>
      </c>
      <c r="Z11" s="417">
        <f>'Revenue Build'!Z41</f>
        <v>0</v>
      </c>
      <c r="AA11" s="417">
        <f>'Revenue Build'!AA41</f>
        <v>0</v>
      </c>
      <c r="AB11" s="417">
        <f>'Revenue Build'!AB41</f>
        <v>0</v>
      </c>
      <c r="AC11" s="417">
        <f>'Revenue Build'!AC41</f>
        <v>0</v>
      </c>
      <c r="AD11" s="416">
        <f t="shared" si="9"/>
        <v>0</v>
      </c>
      <c r="AE11" s="418">
        <f>'Revenue Build'!AE41</f>
        <v>0</v>
      </c>
      <c r="AF11" s="418">
        <f>'Revenue Build'!AF41</f>
        <v>0</v>
      </c>
      <c r="AG11" s="418">
        <f>'Revenue Build'!AG41</f>
        <v>0</v>
      </c>
    </row>
    <row r="12" spans="1:33" ht="14.25" hidden="1" customHeight="1" outlineLevel="1">
      <c r="C12" s="108" t="str">
        <f t="shared" si="11"/>
        <v>Segment 5 Revenue</v>
      </c>
      <c r="D12" s="12"/>
      <c r="E12" s="12"/>
      <c r="F12" s="415">
        <v>0</v>
      </c>
      <c r="G12" s="415">
        <v>0</v>
      </c>
      <c r="H12" s="415">
        <v>0</v>
      </c>
      <c r="I12" s="415">
        <v>0</v>
      </c>
      <c r="J12" s="416">
        <f t="shared" si="1"/>
        <v>0</v>
      </c>
      <c r="K12" s="415">
        <v>0</v>
      </c>
      <c r="L12" s="415">
        <v>0</v>
      </c>
      <c r="M12" s="415">
        <v>0</v>
      </c>
      <c r="N12" s="415">
        <v>0</v>
      </c>
      <c r="O12" s="416">
        <f t="shared" si="3"/>
        <v>0</v>
      </c>
      <c r="P12" s="415">
        <v>0</v>
      </c>
      <c r="Q12" s="415">
        <v>0</v>
      </c>
      <c r="R12" s="415">
        <v>0</v>
      </c>
      <c r="S12" s="415">
        <v>0</v>
      </c>
      <c r="T12" s="416">
        <f t="shared" si="5"/>
        <v>0</v>
      </c>
      <c r="U12" s="415">
        <v>0</v>
      </c>
      <c r="V12" s="415">
        <v>0</v>
      </c>
      <c r="W12" s="415">
        <v>0</v>
      </c>
      <c r="X12" s="417">
        <f>'Revenue Build'!X44</f>
        <v>0</v>
      </c>
      <c r="Y12" s="416">
        <f t="shared" si="7"/>
        <v>0</v>
      </c>
      <c r="Z12" s="417">
        <f>'Revenue Build'!Z44</f>
        <v>0</v>
      </c>
      <c r="AA12" s="417">
        <f>'Revenue Build'!AA44</f>
        <v>0</v>
      </c>
      <c r="AB12" s="417">
        <f>'Revenue Build'!AB44</f>
        <v>0</v>
      </c>
      <c r="AC12" s="417">
        <f>'Revenue Build'!AC44</f>
        <v>0</v>
      </c>
      <c r="AD12" s="416">
        <f t="shared" si="9"/>
        <v>0</v>
      </c>
      <c r="AE12" s="418">
        <f>'Revenue Build'!AE44</f>
        <v>0</v>
      </c>
      <c r="AF12" s="418">
        <f>'Revenue Build'!AF44</f>
        <v>0</v>
      </c>
      <c r="AG12" s="418">
        <f>'Revenue Build'!AG44</f>
        <v>0</v>
      </c>
    </row>
    <row r="13" spans="1:33" ht="14.25" hidden="1" customHeight="1" outlineLevel="2" collapsed="1">
      <c r="C13" s="108" t="str">
        <f t="shared" si="11"/>
        <v>Segment 6 Revenue</v>
      </c>
      <c r="D13" s="12"/>
      <c r="E13" s="12"/>
      <c r="F13" s="415">
        <v>0</v>
      </c>
      <c r="G13" s="415">
        <v>0</v>
      </c>
      <c r="H13" s="415">
        <v>0</v>
      </c>
      <c r="I13" s="415">
        <v>0</v>
      </c>
      <c r="J13" s="416">
        <f t="shared" si="1"/>
        <v>0</v>
      </c>
      <c r="K13" s="415">
        <v>0</v>
      </c>
      <c r="L13" s="415">
        <v>0</v>
      </c>
      <c r="M13" s="415">
        <v>0</v>
      </c>
      <c r="N13" s="415">
        <v>0</v>
      </c>
      <c r="O13" s="416">
        <f t="shared" si="3"/>
        <v>0</v>
      </c>
      <c r="P13" s="415">
        <v>0</v>
      </c>
      <c r="Q13" s="415">
        <v>0</v>
      </c>
      <c r="R13" s="415">
        <v>0</v>
      </c>
      <c r="S13" s="415">
        <v>0</v>
      </c>
      <c r="T13" s="416">
        <f t="shared" si="5"/>
        <v>0</v>
      </c>
      <c r="U13" s="415">
        <v>0</v>
      </c>
      <c r="V13" s="415">
        <v>0</v>
      </c>
      <c r="W13" s="415">
        <v>0</v>
      </c>
      <c r="X13" s="417">
        <f>'Revenue Build'!X47</f>
        <v>0</v>
      </c>
      <c r="Y13" s="416">
        <f t="shared" si="7"/>
        <v>0</v>
      </c>
      <c r="Z13" s="417">
        <f>'Revenue Build'!Z47</f>
        <v>0</v>
      </c>
      <c r="AA13" s="417">
        <f>'Revenue Build'!AA47</f>
        <v>0</v>
      </c>
      <c r="AB13" s="417">
        <f>'Revenue Build'!AB47</f>
        <v>0</v>
      </c>
      <c r="AC13" s="417">
        <f>'Revenue Build'!AC47</f>
        <v>0</v>
      </c>
      <c r="AD13" s="416">
        <f t="shared" si="9"/>
        <v>0</v>
      </c>
      <c r="AE13" s="418">
        <f>'Revenue Build'!AE47</f>
        <v>0</v>
      </c>
      <c r="AF13" s="418">
        <f>'Revenue Build'!AF47</f>
        <v>0</v>
      </c>
      <c r="AG13" s="418">
        <f>'Revenue Build'!AG47</f>
        <v>0</v>
      </c>
    </row>
    <row r="14" spans="1:33" ht="14.25" customHeight="1">
      <c r="C14" s="12"/>
      <c r="D14" s="12"/>
      <c r="E14" s="12"/>
      <c r="F14" s="265"/>
      <c r="G14" s="265"/>
      <c r="H14" s="265"/>
      <c r="I14" s="265"/>
      <c r="J14" s="137"/>
      <c r="K14" s="265"/>
      <c r="L14" s="265"/>
      <c r="M14" s="419"/>
      <c r="N14" s="265"/>
      <c r="O14" s="137"/>
      <c r="P14" s="265"/>
      <c r="Q14" s="265"/>
      <c r="R14" s="265"/>
      <c r="S14" s="265"/>
      <c r="T14" s="137"/>
      <c r="U14" s="265"/>
      <c r="V14" s="265"/>
      <c r="W14" s="265"/>
      <c r="X14" s="268"/>
      <c r="Y14" s="137"/>
      <c r="Z14" s="268"/>
      <c r="AA14" s="268"/>
      <c r="AB14" s="268"/>
      <c r="AC14" s="268"/>
      <c r="AD14" s="137"/>
      <c r="AE14" s="137"/>
      <c r="AF14" s="137"/>
      <c r="AG14" s="137"/>
    </row>
    <row r="15" spans="1:33" ht="14.25" customHeight="1">
      <c r="C15" s="12" t="s">
        <v>445</v>
      </c>
      <c r="D15" s="12"/>
      <c r="E15" s="12"/>
      <c r="F15" s="420"/>
      <c r="G15" s="420"/>
      <c r="H15" s="420"/>
      <c r="I15" s="420"/>
      <c r="J15" s="137"/>
      <c r="K15" s="420"/>
      <c r="L15" s="420"/>
      <c r="M15" s="419"/>
      <c r="N15" s="420"/>
      <c r="O15" s="137"/>
      <c r="P15" s="420"/>
      <c r="Q15" s="420"/>
      <c r="R15" s="420"/>
      <c r="S15" s="420"/>
      <c r="T15" s="137"/>
      <c r="U15" s="420"/>
      <c r="V15" s="420"/>
      <c r="W15" s="420"/>
      <c r="X15" s="421"/>
      <c r="Y15" s="137"/>
      <c r="Z15" s="421"/>
      <c r="AA15" s="421"/>
      <c r="AB15" s="421"/>
      <c r="AC15" s="421"/>
      <c r="AD15" s="137"/>
      <c r="AE15" s="137"/>
      <c r="AF15" s="137"/>
      <c r="AG15" s="137"/>
    </row>
    <row r="16" spans="1:33" ht="14.25" customHeight="1">
      <c r="C16" s="422" t="s">
        <v>446</v>
      </c>
      <c r="D16" s="12"/>
      <c r="E16" s="12"/>
      <c r="F16" s="323">
        <f t="shared" ref="F16:AG16" si="12">IFERROR(F8/F$7,"N/A")</f>
        <v>1</v>
      </c>
      <c r="G16" s="323">
        <f t="shared" si="12"/>
        <v>1</v>
      </c>
      <c r="H16" s="323">
        <f t="shared" si="12"/>
        <v>1</v>
      </c>
      <c r="I16" s="323">
        <f t="shared" si="12"/>
        <v>1</v>
      </c>
      <c r="J16" s="324">
        <f t="shared" si="12"/>
        <v>1</v>
      </c>
      <c r="K16" s="323">
        <f t="shared" si="12"/>
        <v>1</v>
      </c>
      <c r="L16" s="323">
        <f t="shared" si="12"/>
        <v>1</v>
      </c>
      <c r="M16" s="323">
        <f t="shared" si="12"/>
        <v>1</v>
      </c>
      <c r="N16" s="323">
        <f t="shared" si="12"/>
        <v>1</v>
      </c>
      <c r="O16" s="324">
        <f t="shared" si="12"/>
        <v>1</v>
      </c>
      <c r="P16" s="323">
        <f t="shared" si="12"/>
        <v>1</v>
      </c>
      <c r="Q16" s="323">
        <f t="shared" si="12"/>
        <v>1</v>
      </c>
      <c r="R16" s="323">
        <f t="shared" si="12"/>
        <v>1</v>
      </c>
      <c r="S16" s="323">
        <f t="shared" si="12"/>
        <v>1</v>
      </c>
      <c r="T16" s="324">
        <f t="shared" si="12"/>
        <v>1</v>
      </c>
      <c r="U16" s="323">
        <f t="shared" si="12"/>
        <v>1</v>
      </c>
      <c r="V16" s="323">
        <f t="shared" si="12"/>
        <v>1</v>
      </c>
      <c r="W16" s="323">
        <f t="shared" si="12"/>
        <v>1</v>
      </c>
      <c r="X16" s="325">
        <f t="shared" si="12"/>
        <v>1</v>
      </c>
      <c r="Y16" s="324">
        <f t="shared" si="12"/>
        <v>1</v>
      </c>
      <c r="Z16" s="325">
        <f t="shared" si="12"/>
        <v>1</v>
      </c>
      <c r="AA16" s="325">
        <f t="shared" si="12"/>
        <v>1</v>
      </c>
      <c r="AB16" s="325">
        <f t="shared" si="12"/>
        <v>1</v>
      </c>
      <c r="AC16" s="325">
        <f t="shared" si="12"/>
        <v>1</v>
      </c>
      <c r="AD16" s="324">
        <f t="shared" si="12"/>
        <v>1</v>
      </c>
      <c r="AE16" s="324">
        <f t="shared" si="12"/>
        <v>1</v>
      </c>
      <c r="AF16" s="324">
        <f t="shared" si="12"/>
        <v>1</v>
      </c>
      <c r="AG16" s="324">
        <f t="shared" si="12"/>
        <v>1</v>
      </c>
    </row>
    <row r="17" spans="3:33" ht="14.25" hidden="1" customHeight="1" outlineLevel="1">
      <c r="C17" s="422" t="s">
        <v>447</v>
      </c>
      <c r="D17" s="12"/>
      <c r="E17" s="12"/>
      <c r="F17" s="323">
        <f t="shared" ref="F17:AG17" si="13">IFERROR(F9/F$7,"N/A")</f>
        <v>0</v>
      </c>
      <c r="G17" s="323">
        <f t="shared" si="13"/>
        <v>0</v>
      </c>
      <c r="H17" s="323">
        <f t="shared" si="13"/>
        <v>0</v>
      </c>
      <c r="I17" s="323">
        <f t="shared" si="13"/>
        <v>0</v>
      </c>
      <c r="J17" s="324">
        <f t="shared" si="13"/>
        <v>0</v>
      </c>
      <c r="K17" s="323">
        <f t="shared" si="13"/>
        <v>0</v>
      </c>
      <c r="L17" s="323">
        <f t="shared" si="13"/>
        <v>0</v>
      </c>
      <c r="M17" s="323">
        <f t="shared" si="13"/>
        <v>0</v>
      </c>
      <c r="N17" s="323">
        <f t="shared" si="13"/>
        <v>0</v>
      </c>
      <c r="O17" s="324">
        <f t="shared" si="13"/>
        <v>0</v>
      </c>
      <c r="P17" s="323">
        <f t="shared" si="13"/>
        <v>0</v>
      </c>
      <c r="Q17" s="323">
        <f t="shared" si="13"/>
        <v>0</v>
      </c>
      <c r="R17" s="323">
        <f t="shared" si="13"/>
        <v>0</v>
      </c>
      <c r="S17" s="323">
        <f t="shared" si="13"/>
        <v>0</v>
      </c>
      <c r="T17" s="324">
        <f t="shared" si="13"/>
        <v>0</v>
      </c>
      <c r="U17" s="323">
        <f t="shared" si="13"/>
        <v>0</v>
      </c>
      <c r="V17" s="323">
        <f t="shared" si="13"/>
        <v>0</v>
      </c>
      <c r="W17" s="323">
        <f t="shared" si="13"/>
        <v>0</v>
      </c>
      <c r="X17" s="325">
        <f t="shared" si="13"/>
        <v>0</v>
      </c>
      <c r="Y17" s="324">
        <f t="shared" si="13"/>
        <v>0</v>
      </c>
      <c r="Z17" s="325">
        <f t="shared" si="13"/>
        <v>0</v>
      </c>
      <c r="AA17" s="325">
        <f t="shared" si="13"/>
        <v>0</v>
      </c>
      <c r="AB17" s="325">
        <f t="shared" si="13"/>
        <v>0</v>
      </c>
      <c r="AC17" s="325">
        <f t="shared" si="13"/>
        <v>0</v>
      </c>
      <c r="AD17" s="324">
        <f t="shared" si="13"/>
        <v>0</v>
      </c>
      <c r="AE17" s="324">
        <f t="shared" si="13"/>
        <v>0</v>
      </c>
      <c r="AF17" s="324">
        <f t="shared" si="13"/>
        <v>0</v>
      </c>
      <c r="AG17" s="324">
        <f t="shared" si="13"/>
        <v>0</v>
      </c>
    </row>
    <row r="18" spans="3:33" ht="14.25" hidden="1" customHeight="1" outlineLevel="1">
      <c r="C18" s="422" t="s">
        <v>448</v>
      </c>
      <c r="D18" s="12"/>
      <c r="E18" s="12"/>
      <c r="F18" s="323">
        <f t="shared" ref="F18:AG18" si="14">IFERROR(F10/F$7,"N/A")</f>
        <v>0</v>
      </c>
      <c r="G18" s="323">
        <f t="shared" si="14"/>
        <v>0</v>
      </c>
      <c r="H18" s="323">
        <f t="shared" si="14"/>
        <v>0</v>
      </c>
      <c r="I18" s="323">
        <f t="shared" si="14"/>
        <v>0</v>
      </c>
      <c r="J18" s="324">
        <f t="shared" si="14"/>
        <v>0</v>
      </c>
      <c r="K18" s="323">
        <f t="shared" si="14"/>
        <v>0</v>
      </c>
      <c r="L18" s="323">
        <f t="shared" si="14"/>
        <v>0</v>
      </c>
      <c r="M18" s="323">
        <f t="shared" si="14"/>
        <v>0</v>
      </c>
      <c r="N18" s="323">
        <f t="shared" si="14"/>
        <v>0</v>
      </c>
      <c r="O18" s="324">
        <f t="shared" si="14"/>
        <v>0</v>
      </c>
      <c r="P18" s="323">
        <f t="shared" si="14"/>
        <v>0</v>
      </c>
      <c r="Q18" s="323">
        <f t="shared" si="14"/>
        <v>0</v>
      </c>
      <c r="R18" s="323">
        <f t="shared" si="14"/>
        <v>0</v>
      </c>
      <c r="S18" s="323">
        <f t="shared" si="14"/>
        <v>0</v>
      </c>
      <c r="T18" s="324">
        <f t="shared" si="14"/>
        <v>0</v>
      </c>
      <c r="U18" s="323">
        <f t="shared" si="14"/>
        <v>0</v>
      </c>
      <c r="V18" s="323">
        <f t="shared" si="14"/>
        <v>0</v>
      </c>
      <c r="W18" s="323">
        <f t="shared" si="14"/>
        <v>0</v>
      </c>
      <c r="X18" s="325">
        <f t="shared" si="14"/>
        <v>0</v>
      </c>
      <c r="Y18" s="324">
        <f t="shared" si="14"/>
        <v>0</v>
      </c>
      <c r="Z18" s="325">
        <f t="shared" si="14"/>
        <v>0</v>
      </c>
      <c r="AA18" s="325">
        <f t="shared" si="14"/>
        <v>0</v>
      </c>
      <c r="AB18" s="325">
        <f t="shared" si="14"/>
        <v>0</v>
      </c>
      <c r="AC18" s="325">
        <f t="shared" si="14"/>
        <v>0</v>
      </c>
      <c r="AD18" s="324">
        <f t="shared" si="14"/>
        <v>0</v>
      </c>
      <c r="AE18" s="324">
        <f t="shared" si="14"/>
        <v>0</v>
      </c>
      <c r="AF18" s="324">
        <f t="shared" si="14"/>
        <v>0</v>
      </c>
      <c r="AG18" s="324">
        <f t="shared" si="14"/>
        <v>0</v>
      </c>
    </row>
    <row r="19" spans="3:33" ht="14.25" hidden="1" customHeight="1" outlineLevel="1">
      <c r="C19" s="422" t="s">
        <v>449</v>
      </c>
      <c r="D19" s="12"/>
      <c r="E19" s="12"/>
      <c r="F19" s="323">
        <f t="shared" ref="F19:AG19" si="15">IFERROR(F11/F$7,"N/A")</f>
        <v>0</v>
      </c>
      <c r="G19" s="323">
        <f t="shared" si="15"/>
        <v>0</v>
      </c>
      <c r="H19" s="323">
        <f t="shared" si="15"/>
        <v>0</v>
      </c>
      <c r="I19" s="323">
        <f t="shared" si="15"/>
        <v>0</v>
      </c>
      <c r="J19" s="324">
        <f t="shared" si="15"/>
        <v>0</v>
      </c>
      <c r="K19" s="323">
        <f t="shared" si="15"/>
        <v>0</v>
      </c>
      <c r="L19" s="323">
        <f t="shared" si="15"/>
        <v>0</v>
      </c>
      <c r="M19" s="323">
        <f t="shared" si="15"/>
        <v>0</v>
      </c>
      <c r="N19" s="323">
        <f t="shared" si="15"/>
        <v>0</v>
      </c>
      <c r="O19" s="324">
        <f t="shared" si="15"/>
        <v>0</v>
      </c>
      <c r="P19" s="323">
        <f t="shared" si="15"/>
        <v>0</v>
      </c>
      <c r="Q19" s="323">
        <f t="shared" si="15"/>
        <v>0</v>
      </c>
      <c r="R19" s="323">
        <f t="shared" si="15"/>
        <v>0</v>
      </c>
      <c r="S19" s="323">
        <f t="shared" si="15"/>
        <v>0</v>
      </c>
      <c r="T19" s="324">
        <f t="shared" si="15"/>
        <v>0</v>
      </c>
      <c r="U19" s="323">
        <f t="shared" si="15"/>
        <v>0</v>
      </c>
      <c r="V19" s="323">
        <f t="shared" si="15"/>
        <v>0</v>
      </c>
      <c r="W19" s="323">
        <f t="shared" si="15"/>
        <v>0</v>
      </c>
      <c r="X19" s="325">
        <f t="shared" si="15"/>
        <v>0</v>
      </c>
      <c r="Y19" s="324">
        <f t="shared" si="15"/>
        <v>0</v>
      </c>
      <c r="Z19" s="325">
        <f t="shared" si="15"/>
        <v>0</v>
      </c>
      <c r="AA19" s="325">
        <f t="shared" si="15"/>
        <v>0</v>
      </c>
      <c r="AB19" s="325">
        <f t="shared" si="15"/>
        <v>0</v>
      </c>
      <c r="AC19" s="325">
        <f t="shared" si="15"/>
        <v>0</v>
      </c>
      <c r="AD19" s="324">
        <f t="shared" si="15"/>
        <v>0</v>
      </c>
      <c r="AE19" s="324">
        <f t="shared" si="15"/>
        <v>0</v>
      </c>
      <c r="AF19" s="324">
        <f t="shared" si="15"/>
        <v>0</v>
      </c>
      <c r="AG19" s="324">
        <f t="shared" si="15"/>
        <v>0</v>
      </c>
    </row>
    <row r="20" spans="3:33" ht="14.25" hidden="1" customHeight="1" outlineLevel="1">
      <c r="C20" s="422" t="s">
        <v>450</v>
      </c>
      <c r="D20" s="12"/>
      <c r="E20" s="12"/>
      <c r="F20" s="323">
        <f t="shared" ref="F20:AG20" si="16">IFERROR(F12/F$7,"N/A")</f>
        <v>0</v>
      </c>
      <c r="G20" s="323">
        <f t="shared" si="16"/>
        <v>0</v>
      </c>
      <c r="H20" s="323">
        <f t="shared" si="16"/>
        <v>0</v>
      </c>
      <c r="I20" s="323">
        <f t="shared" si="16"/>
        <v>0</v>
      </c>
      <c r="J20" s="324">
        <f t="shared" si="16"/>
        <v>0</v>
      </c>
      <c r="K20" s="323">
        <f t="shared" si="16"/>
        <v>0</v>
      </c>
      <c r="L20" s="323">
        <f t="shared" si="16"/>
        <v>0</v>
      </c>
      <c r="M20" s="323">
        <f t="shared" si="16"/>
        <v>0</v>
      </c>
      <c r="N20" s="323">
        <f t="shared" si="16"/>
        <v>0</v>
      </c>
      <c r="O20" s="324">
        <f t="shared" si="16"/>
        <v>0</v>
      </c>
      <c r="P20" s="323">
        <f t="shared" si="16"/>
        <v>0</v>
      </c>
      <c r="Q20" s="323">
        <f t="shared" si="16"/>
        <v>0</v>
      </c>
      <c r="R20" s="323">
        <f t="shared" si="16"/>
        <v>0</v>
      </c>
      <c r="S20" s="323">
        <f t="shared" si="16"/>
        <v>0</v>
      </c>
      <c r="T20" s="324">
        <f t="shared" si="16"/>
        <v>0</v>
      </c>
      <c r="U20" s="323">
        <f t="shared" si="16"/>
        <v>0</v>
      </c>
      <c r="V20" s="323">
        <f t="shared" si="16"/>
        <v>0</v>
      </c>
      <c r="W20" s="323">
        <f t="shared" si="16"/>
        <v>0</v>
      </c>
      <c r="X20" s="325">
        <f t="shared" si="16"/>
        <v>0</v>
      </c>
      <c r="Y20" s="324">
        <f t="shared" si="16"/>
        <v>0</v>
      </c>
      <c r="Z20" s="325">
        <f t="shared" si="16"/>
        <v>0</v>
      </c>
      <c r="AA20" s="325">
        <f t="shared" si="16"/>
        <v>0</v>
      </c>
      <c r="AB20" s="325">
        <f t="shared" si="16"/>
        <v>0</v>
      </c>
      <c r="AC20" s="325">
        <f t="shared" si="16"/>
        <v>0</v>
      </c>
      <c r="AD20" s="324">
        <f t="shared" si="16"/>
        <v>0</v>
      </c>
      <c r="AE20" s="324">
        <f t="shared" si="16"/>
        <v>0</v>
      </c>
      <c r="AF20" s="324">
        <f t="shared" si="16"/>
        <v>0</v>
      </c>
      <c r="AG20" s="324">
        <f t="shared" si="16"/>
        <v>0</v>
      </c>
    </row>
    <row r="21" spans="3:33" ht="14.25" hidden="1" customHeight="1" outlineLevel="2" collapsed="1">
      <c r="C21" s="422" t="s">
        <v>451</v>
      </c>
      <c r="D21" s="12"/>
      <c r="E21" s="12"/>
      <c r="F21" s="323">
        <f t="shared" ref="F21:AG21" si="17">IFERROR(F13/F$7,"N/A")</f>
        <v>0</v>
      </c>
      <c r="G21" s="323">
        <f t="shared" si="17"/>
        <v>0</v>
      </c>
      <c r="H21" s="323">
        <f t="shared" si="17"/>
        <v>0</v>
      </c>
      <c r="I21" s="323">
        <f t="shared" si="17"/>
        <v>0</v>
      </c>
      <c r="J21" s="324">
        <f t="shared" si="17"/>
        <v>0</v>
      </c>
      <c r="K21" s="323">
        <f t="shared" si="17"/>
        <v>0</v>
      </c>
      <c r="L21" s="323">
        <f t="shared" si="17"/>
        <v>0</v>
      </c>
      <c r="M21" s="323">
        <f t="shared" si="17"/>
        <v>0</v>
      </c>
      <c r="N21" s="323">
        <f t="shared" si="17"/>
        <v>0</v>
      </c>
      <c r="O21" s="324">
        <f t="shared" si="17"/>
        <v>0</v>
      </c>
      <c r="P21" s="323">
        <f t="shared" si="17"/>
        <v>0</v>
      </c>
      <c r="Q21" s="323">
        <f t="shared" si="17"/>
        <v>0</v>
      </c>
      <c r="R21" s="323">
        <f t="shared" si="17"/>
        <v>0</v>
      </c>
      <c r="S21" s="323">
        <f t="shared" si="17"/>
        <v>0</v>
      </c>
      <c r="T21" s="324">
        <f t="shared" si="17"/>
        <v>0</v>
      </c>
      <c r="U21" s="323">
        <f t="shared" si="17"/>
        <v>0</v>
      </c>
      <c r="V21" s="323">
        <f t="shared" si="17"/>
        <v>0</v>
      </c>
      <c r="W21" s="323">
        <f t="shared" si="17"/>
        <v>0</v>
      </c>
      <c r="X21" s="325">
        <f t="shared" si="17"/>
        <v>0</v>
      </c>
      <c r="Y21" s="324">
        <f t="shared" si="17"/>
        <v>0</v>
      </c>
      <c r="Z21" s="325">
        <f t="shared" si="17"/>
        <v>0</v>
      </c>
      <c r="AA21" s="325">
        <f t="shared" si="17"/>
        <v>0</v>
      </c>
      <c r="AB21" s="325">
        <f t="shared" si="17"/>
        <v>0</v>
      </c>
      <c r="AC21" s="325">
        <f t="shared" si="17"/>
        <v>0</v>
      </c>
      <c r="AD21" s="324">
        <f t="shared" si="17"/>
        <v>0</v>
      </c>
      <c r="AE21" s="324">
        <f t="shared" si="17"/>
        <v>0</v>
      </c>
      <c r="AF21" s="324">
        <f t="shared" si="17"/>
        <v>0</v>
      </c>
      <c r="AG21" s="324">
        <f t="shared" si="17"/>
        <v>0</v>
      </c>
    </row>
    <row r="22" spans="3:33" ht="14.25" customHeight="1">
      <c r="C22" s="12"/>
      <c r="D22" s="12"/>
      <c r="E22" s="12"/>
      <c r="F22" s="265"/>
      <c r="G22" s="265"/>
      <c r="H22" s="265"/>
      <c r="I22" s="265"/>
      <c r="J22" s="137"/>
      <c r="K22" s="265"/>
      <c r="L22" s="265"/>
      <c r="M22" s="265"/>
      <c r="N22" s="265"/>
      <c r="O22" s="137"/>
      <c r="P22" s="265"/>
      <c r="Q22" s="265"/>
      <c r="R22" s="265"/>
      <c r="S22" s="265"/>
      <c r="T22" s="137"/>
      <c r="U22" s="265"/>
      <c r="V22" s="265"/>
      <c r="W22" s="265"/>
      <c r="X22" s="268"/>
      <c r="Y22" s="137"/>
      <c r="Z22" s="268"/>
      <c r="AA22" s="268"/>
      <c r="AB22" s="268"/>
      <c r="AC22" s="268"/>
      <c r="AD22" s="137"/>
      <c r="AE22" s="137"/>
      <c r="AF22" s="137"/>
      <c r="AG22" s="137"/>
    </row>
    <row r="23" spans="3:33" ht="14.25" hidden="1" customHeight="1" outlineLevel="1">
      <c r="C23" s="12" t="s">
        <v>452</v>
      </c>
      <c r="D23" s="12"/>
      <c r="E23" s="12"/>
      <c r="F23" s="263">
        <f t="shared" ref="F23:I23" si="18">SUM(F24:F26)</f>
        <v>0</v>
      </c>
      <c r="G23" s="263">
        <f t="shared" si="18"/>
        <v>0</v>
      </c>
      <c r="H23" s="263">
        <f t="shared" si="18"/>
        <v>0</v>
      </c>
      <c r="I23" s="263">
        <f t="shared" si="18"/>
        <v>0</v>
      </c>
      <c r="J23" s="233">
        <f t="shared" ref="J23:J26" si="19">SUM(F23:I23)</f>
        <v>0</v>
      </c>
      <c r="K23" s="263">
        <f t="shared" ref="K23:N23" si="20">SUM(K24:K26)</f>
        <v>0</v>
      </c>
      <c r="L23" s="263">
        <f t="shared" si="20"/>
        <v>0</v>
      </c>
      <c r="M23" s="263">
        <f t="shared" si="20"/>
        <v>0</v>
      </c>
      <c r="N23" s="263">
        <f t="shared" si="20"/>
        <v>0</v>
      </c>
      <c r="O23" s="233">
        <f t="shared" ref="O23:O26" si="21">SUM(K23:N23)</f>
        <v>0</v>
      </c>
      <c r="P23" s="263">
        <f t="shared" ref="P23:S23" si="22">SUM(P24:P26)</f>
        <v>0</v>
      </c>
      <c r="Q23" s="263">
        <f t="shared" si="22"/>
        <v>0</v>
      </c>
      <c r="R23" s="263">
        <f t="shared" si="22"/>
        <v>0</v>
      </c>
      <c r="S23" s="263">
        <f t="shared" si="22"/>
        <v>0</v>
      </c>
      <c r="T23" s="233">
        <f t="shared" ref="T23:T26" si="23">SUM(P23:S23)</f>
        <v>0</v>
      </c>
      <c r="U23" s="263">
        <f t="shared" ref="U23:X23" si="24">SUM(U24:U26)</f>
        <v>0</v>
      </c>
      <c r="V23" s="263">
        <f t="shared" si="24"/>
        <v>0</v>
      </c>
      <c r="W23" s="263">
        <f t="shared" si="24"/>
        <v>0</v>
      </c>
      <c r="X23" s="232">
        <f t="shared" si="24"/>
        <v>0</v>
      </c>
      <c r="Y23" s="233">
        <f t="shared" ref="Y23:Y26" si="25">SUM(U23:X23)</f>
        <v>0</v>
      </c>
      <c r="Z23" s="232">
        <f t="shared" ref="Z23:AC23" si="26">SUM(Z24:Z26)</f>
        <v>0</v>
      </c>
      <c r="AA23" s="232">
        <f t="shared" si="26"/>
        <v>0</v>
      </c>
      <c r="AB23" s="232">
        <f t="shared" si="26"/>
        <v>0</v>
      </c>
      <c r="AC23" s="232">
        <f t="shared" si="26"/>
        <v>0</v>
      </c>
      <c r="AD23" s="233">
        <f t="shared" ref="AD23:AD26" si="27">SUM(Z23:AC23)</f>
        <v>0</v>
      </c>
      <c r="AE23" s="233">
        <f t="shared" ref="AE23:AG23" si="28">SUM(AE24:AE26)</f>
        <v>0</v>
      </c>
      <c r="AF23" s="233">
        <f t="shared" si="28"/>
        <v>0</v>
      </c>
      <c r="AG23" s="233">
        <f t="shared" si="28"/>
        <v>0</v>
      </c>
    </row>
    <row r="24" spans="3:33" ht="14.25" hidden="1" customHeight="1" outlineLevel="1">
      <c r="C24" s="108" t="str">
        <f t="shared" ref="C24:C26" si="29">C29&amp;" Revenue"</f>
        <v>Boeing Military Aircraft Revenue</v>
      </c>
      <c r="D24" s="12"/>
      <c r="E24" s="12"/>
      <c r="F24" s="415">
        <v>0</v>
      </c>
      <c r="G24" s="415">
        <v>0</v>
      </c>
      <c r="H24" s="415">
        <v>0</v>
      </c>
      <c r="I24" s="415">
        <v>0</v>
      </c>
      <c r="J24" s="416">
        <f t="shared" si="19"/>
        <v>0</v>
      </c>
      <c r="K24" s="415">
        <v>0</v>
      </c>
      <c r="L24" s="415">
        <v>0</v>
      </c>
      <c r="M24" s="415">
        <v>0</v>
      </c>
      <c r="N24" s="415">
        <v>0</v>
      </c>
      <c r="O24" s="416">
        <f t="shared" si="21"/>
        <v>0</v>
      </c>
      <c r="P24" s="415">
        <v>0</v>
      </c>
      <c r="Q24" s="415">
        <v>0</v>
      </c>
      <c r="R24" s="415">
        <v>0</v>
      </c>
      <c r="S24" s="415">
        <v>0</v>
      </c>
      <c r="T24" s="416">
        <f t="shared" si="23"/>
        <v>0</v>
      </c>
      <c r="U24" s="415">
        <v>0</v>
      </c>
      <c r="V24" s="415">
        <v>0</v>
      </c>
      <c r="W24" s="415">
        <v>0</v>
      </c>
      <c r="X24" s="423">
        <v>0</v>
      </c>
      <c r="Y24" s="416">
        <f t="shared" si="25"/>
        <v>0</v>
      </c>
      <c r="Z24" s="423">
        <v>0</v>
      </c>
      <c r="AA24" s="423">
        <v>0</v>
      </c>
      <c r="AB24" s="423">
        <v>0</v>
      </c>
      <c r="AC24" s="423">
        <v>0</v>
      </c>
      <c r="AD24" s="416">
        <f t="shared" si="27"/>
        <v>0</v>
      </c>
      <c r="AE24" s="424">
        <v>0</v>
      </c>
      <c r="AF24" s="424">
        <v>0</v>
      </c>
      <c r="AG24" s="424">
        <v>0</v>
      </c>
    </row>
    <row r="25" spans="3:33" ht="14.25" hidden="1" customHeight="1" outlineLevel="1">
      <c r="C25" s="108" t="str">
        <f t="shared" si="29"/>
        <v>Network &amp; Space Systems Revenue</v>
      </c>
      <c r="D25" s="12"/>
      <c r="E25" s="12"/>
      <c r="F25" s="415">
        <v>0</v>
      </c>
      <c r="G25" s="415">
        <v>0</v>
      </c>
      <c r="H25" s="415">
        <v>0</v>
      </c>
      <c r="I25" s="415">
        <v>0</v>
      </c>
      <c r="J25" s="416">
        <f t="shared" si="19"/>
        <v>0</v>
      </c>
      <c r="K25" s="415">
        <v>0</v>
      </c>
      <c r="L25" s="415">
        <v>0</v>
      </c>
      <c r="M25" s="415">
        <v>0</v>
      </c>
      <c r="N25" s="415">
        <v>0</v>
      </c>
      <c r="O25" s="416">
        <f t="shared" si="21"/>
        <v>0</v>
      </c>
      <c r="P25" s="415">
        <v>0</v>
      </c>
      <c r="Q25" s="415">
        <v>0</v>
      </c>
      <c r="R25" s="415">
        <v>0</v>
      </c>
      <c r="S25" s="415">
        <v>0</v>
      </c>
      <c r="T25" s="416">
        <f t="shared" si="23"/>
        <v>0</v>
      </c>
      <c r="U25" s="415">
        <v>0</v>
      </c>
      <c r="V25" s="415">
        <v>0</v>
      </c>
      <c r="W25" s="415">
        <v>0</v>
      </c>
      <c r="X25" s="423">
        <v>0</v>
      </c>
      <c r="Y25" s="416">
        <f t="shared" si="25"/>
        <v>0</v>
      </c>
      <c r="Z25" s="423">
        <v>0</v>
      </c>
      <c r="AA25" s="423">
        <v>0</v>
      </c>
      <c r="AB25" s="423">
        <v>0</v>
      </c>
      <c r="AC25" s="423">
        <v>0</v>
      </c>
      <c r="AD25" s="416">
        <f t="shared" si="27"/>
        <v>0</v>
      </c>
      <c r="AE25" s="424">
        <v>0</v>
      </c>
      <c r="AF25" s="424">
        <v>0</v>
      </c>
      <c r="AG25" s="424">
        <v>0</v>
      </c>
    </row>
    <row r="26" spans="3:33" ht="14.25" hidden="1" customHeight="1" outlineLevel="1">
      <c r="C26" s="108" t="str">
        <f t="shared" si="29"/>
        <v>Global Services &amp; Support Revenue</v>
      </c>
      <c r="D26" s="12"/>
      <c r="E26" s="12"/>
      <c r="F26" s="415">
        <v>0</v>
      </c>
      <c r="G26" s="415">
        <v>0</v>
      </c>
      <c r="H26" s="415">
        <v>0</v>
      </c>
      <c r="I26" s="415">
        <v>0</v>
      </c>
      <c r="J26" s="416">
        <f t="shared" si="19"/>
        <v>0</v>
      </c>
      <c r="K26" s="415">
        <v>0</v>
      </c>
      <c r="L26" s="415">
        <v>0</v>
      </c>
      <c r="M26" s="415">
        <v>0</v>
      </c>
      <c r="N26" s="415">
        <v>0</v>
      </c>
      <c r="O26" s="416">
        <f t="shared" si="21"/>
        <v>0</v>
      </c>
      <c r="P26" s="415">
        <v>0</v>
      </c>
      <c r="Q26" s="415">
        <v>0</v>
      </c>
      <c r="R26" s="415">
        <v>0</v>
      </c>
      <c r="S26" s="415">
        <v>0</v>
      </c>
      <c r="T26" s="416">
        <f t="shared" si="23"/>
        <v>0</v>
      </c>
      <c r="U26" s="415">
        <v>0</v>
      </c>
      <c r="V26" s="415">
        <v>0</v>
      </c>
      <c r="W26" s="415">
        <v>0</v>
      </c>
      <c r="X26" s="423">
        <v>0</v>
      </c>
      <c r="Y26" s="416">
        <f t="shared" si="25"/>
        <v>0</v>
      </c>
      <c r="Z26" s="423">
        <v>0</v>
      </c>
      <c r="AA26" s="423">
        <v>0</v>
      </c>
      <c r="AB26" s="423">
        <v>0</v>
      </c>
      <c r="AC26" s="423">
        <v>0</v>
      </c>
      <c r="AD26" s="416">
        <f t="shared" si="27"/>
        <v>0</v>
      </c>
      <c r="AE26" s="424">
        <v>0</v>
      </c>
      <c r="AF26" s="424">
        <v>0</v>
      </c>
      <c r="AG26" s="424">
        <v>0</v>
      </c>
    </row>
    <row r="27" spans="3:33" ht="14.25" hidden="1" customHeight="1" outlineLevel="1">
      <c r="C27" s="12"/>
      <c r="D27" s="12"/>
      <c r="E27" s="12"/>
      <c r="F27" s="265"/>
      <c r="G27" s="265"/>
      <c r="H27" s="265"/>
      <c r="I27" s="265"/>
      <c r="J27" s="137"/>
      <c r="K27" s="265"/>
      <c r="L27" s="265"/>
      <c r="M27" s="265"/>
      <c r="N27" s="265"/>
      <c r="O27" s="137"/>
      <c r="P27" s="265"/>
      <c r="Q27" s="265"/>
      <c r="R27" s="265"/>
      <c r="S27" s="265"/>
      <c r="T27" s="137"/>
      <c r="U27" s="265"/>
      <c r="V27" s="265"/>
      <c r="W27" s="265"/>
      <c r="X27" s="268"/>
      <c r="Y27" s="137"/>
      <c r="Z27" s="268"/>
      <c r="AA27" s="268"/>
      <c r="AB27" s="268"/>
      <c r="AC27" s="268"/>
      <c r="AD27" s="137"/>
      <c r="AE27" s="137"/>
      <c r="AF27" s="137"/>
      <c r="AG27" s="137"/>
    </row>
    <row r="28" spans="3:33" ht="14.25" hidden="1" customHeight="1" outlineLevel="1">
      <c r="C28" s="12" t="s">
        <v>452</v>
      </c>
      <c r="D28" s="12"/>
      <c r="E28" s="12"/>
      <c r="F28" s="420"/>
      <c r="G28" s="420"/>
      <c r="H28" s="420"/>
      <c r="I28" s="420"/>
      <c r="J28" s="137"/>
      <c r="K28" s="420"/>
      <c r="L28" s="420"/>
      <c r="M28" s="420"/>
      <c r="N28" s="420"/>
      <c r="O28" s="137"/>
      <c r="P28" s="420"/>
      <c r="Q28" s="420"/>
      <c r="R28" s="420"/>
      <c r="S28" s="420"/>
      <c r="T28" s="137"/>
      <c r="U28" s="420"/>
      <c r="V28" s="420"/>
      <c r="W28" s="420"/>
      <c r="X28" s="421"/>
      <c r="Y28" s="137"/>
      <c r="Z28" s="421"/>
      <c r="AA28" s="421"/>
      <c r="AB28" s="421"/>
      <c r="AC28" s="421"/>
      <c r="AD28" s="137"/>
      <c r="AE28" s="137"/>
      <c r="AF28" s="137"/>
      <c r="AG28" s="137"/>
    </row>
    <row r="29" spans="3:33" ht="14.25" hidden="1" customHeight="1" outlineLevel="1">
      <c r="C29" s="422" t="s">
        <v>453</v>
      </c>
      <c r="D29" s="12"/>
      <c r="E29" s="12"/>
      <c r="F29" s="420" t="str">
        <f t="shared" ref="F29:AG29" si="30">IFERROR(F24/F$23,"N/A")</f>
        <v>N/A</v>
      </c>
      <c r="G29" s="420" t="str">
        <f t="shared" si="30"/>
        <v>N/A</v>
      </c>
      <c r="H29" s="420" t="str">
        <f t="shared" si="30"/>
        <v>N/A</v>
      </c>
      <c r="I29" s="420" t="str">
        <f t="shared" si="30"/>
        <v>N/A</v>
      </c>
      <c r="J29" s="425" t="str">
        <f t="shared" si="30"/>
        <v>N/A</v>
      </c>
      <c r="K29" s="420" t="str">
        <f t="shared" si="30"/>
        <v>N/A</v>
      </c>
      <c r="L29" s="420" t="str">
        <f t="shared" si="30"/>
        <v>N/A</v>
      </c>
      <c r="M29" s="420" t="str">
        <f t="shared" si="30"/>
        <v>N/A</v>
      </c>
      <c r="N29" s="420" t="str">
        <f t="shared" si="30"/>
        <v>N/A</v>
      </c>
      <c r="O29" s="425" t="str">
        <f t="shared" si="30"/>
        <v>N/A</v>
      </c>
      <c r="P29" s="420" t="str">
        <f t="shared" si="30"/>
        <v>N/A</v>
      </c>
      <c r="Q29" s="420" t="str">
        <f t="shared" si="30"/>
        <v>N/A</v>
      </c>
      <c r="R29" s="420" t="str">
        <f t="shared" si="30"/>
        <v>N/A</v>
      </c>
      <c r="S29" s="420" t="str">
        <f t="shared" si="30"/>
        <v>N/A</v>
      </c>
      <c r="T29" s="425" t="str">
        <f t="shared" si="30"/>
        <v>N/A</v>
      </c>
      <c r="U29" s="420" t="str">
        <f t="shared" si="30"/>
        <v>N/A</v>
      </c>
      <c r="V29" s="420" t="str">
        <f t="shared" si="30"/>
        <v>N/A</v>
      </c>
      <c r="W29" s="420" t="str">
        <f t="shared" si="30"/>
        <v>N/A</v>
      </c>
      <c r="X29" s="421" t="str">
        <f t="shared" si="30"/>
        <v>N/A</v>
      </c>
      <c r="Y29" s="425" t="str">
        <f t="shared" si="30"/>
        <v>N/A</v>
      </c>
      <c r="Z29" s="421" t="str">
        <f t="shared" si="30"/>
        <v>N/A</v>
      </c>
      <c r="AA29" s="421" t="str">
        <f t="shared" si="30"/>
        <v>N/A</v>
      </c>
      <c r="AB29" s="421" t="str">
        <f t="shared" si="30"/>
        <v>N/A</v>
      </c>
      <c r="AC29" s="421" t="str">
        <f t="shared" si="30"/>
        <v>N/A</v>
      </c>
      <c r="AD29" s="425" t="str">
        <f t="shared" si="30"/>
        <v>N/A</v>
      </c>
      <c r="AE29" s="425" t="str">
        <f t="shared" si="30"/>
        <v>N/A</v>
      </c>
      <c r="AF29" s="425" t="str">
        <f t="shared" si="30"/>
        <v>N/A</v>
      </c>
      <c r="AG29" s="425" t="str">
        <f t="shared" si="30"/>
        <v>N/A</v>
      </c>
    </row>
    <row r="30" spans="3:33" ht="14.25" hidden="1" customHeight="1" outlineLevel="1">
      <c r="C30" s="422" t="s">
        <v>454</v>
      </c>
      <c r="D30" s="12"/>
      <c r="E30" s="12"/>
      <c r="F30" s="420" t="str">
        <f t="shared" ref="F30:AG30" si="31">IFERROR(F25/F$23,"N/A")</f>
        <v>N/A</v>
      </c>
      <c r="G30" s="420" t="str">
        <f t="shared" si="31"/>
        <v>N/A</v>
      </c>
      <c r="H30" s="420" t="str">
        <f t="shared" si="31"/>
        <v>N/A</v>
      </c>
      <c r="I30" s="420" t="str">
        <f t="shared" si="31"/>
        <v>N/A</v>
      </c>
      <c r="J30" s="425" t="str">
        <f t="shared" si="31"/>
        <v>N/A</v>
      </c>
      <c r="K30" s="420" t="str">
        <f t="shared" si="31"/>
        <v>N/A</v>
      </c>
      <c r="L30" s="420" t="str">
        <f t="shared" si="31"/>
        <v>N/A</v>
      </c>
      <c r="M30" s="420" t="str">
        <f t="shared" si="31"/>
        <v>N/A</v>
      </c>
      <c r="N30" s="420" t="str">
        <f t="shared" si="31"/>
        <v>N/A</v>
      </c>
      <c r="O30" s="425" t="str">
        <f t="shared" si="31"/>
        <v>N/A</v>
      </c>
      <c r="P30" s="420" t="str">
        <f t="shared" si="31"/>
        <v>N/A</v>
      </c>
      <c r="Q30" s="420" t="str">
        <f t="shared" si="31"/>
        <v>N/A</v>
      </c>
      <c r="R30" s="420" t="str">
        <f t="shared" si="31"/>
        <v>N/A</v>
      </c>
      <c r="S30" s="420" t="str">
        <f t="shared" si="31"/>
        <v>N/A</v>
      </c>
      <c r="T30" s="425" t="str">
        <f t="shared" si="31"/>
        <v>N/A</v>
      </c>
      <c r="U30" s="420" t="str">
        <f t="shared" si="31"/>
        <v>N/A</v>
      </c>
      <c r="V30" s="420" t="str">
        <f t="shared" si="31"/>
        <v>N/A</v>
      </c>
      <c r="W30" s="420" t="str">
        <f t="shared" si="31"/>
        <v>N/A</v>
      </c>
      <c r="X30" s="421" t="str">
        <f t="shared" si="31"/>
        <v>N/A</v>
      </c>
      <c r="Y30" s="425" t="str">
        <f t="shared" si="31"/>
        <v>N/A</v>
      </c>
      <c r="Z30" s="421" t="str">
        <f t="shared" si="31"/>
        <v>N/A</v>
      </c>
      <c r="AA30" s="421" t="str">
        <f t="shared" si="31"/>
        <v>N/A</v>
      </c>
      <c r="AB30" s="421" t="str">
        <f t="shared" si="31"/>
        <v>N/A</v>
      </c>
      <c r="AC30" s="421" t="str">
        <f t="shared" si="31"/>
        <v>N/A</v>
      </c>
      <c r="AD30" s="425" t="str">
        <f t="shared" si="31"/>
        <v>N/A</v>
      </c>
      <c r="AE30" s="425" t="str">
        <f t="shared" si="31"/>
        <v>N/A</v>
      </c>
      <c r="AF30" s="425" t="str">
        <f t="shared" si="31"/>
        <v>N/A</v>
      </c>
      <c r="AG30" s="425" t="str">
        <f t="shared" si="31"/>
        <v>N/A</v>
      </c>
    </row>
    <row r="31" spans="3:33" ht="14.25" hidden="1" customHeight="1" outlineLevel="1">
      <c r="C31" s="422" t="s">
        <v>455</v>
      </c>
      <c r="D31" s="12"/>
      <c r="E31" s="12"/>
      <c r="F31" s="420" t="str">
        <f t="shared" ref="F31:AG31" si="32">IFERROR(F26/F$23,"N/A")</f>
        <v>N/A</v>
      </c>
      <c r="G31" s="420" t="str">
        <f t="shared" si="32"/>
        <v>N/A</v>
      </c>
      <c r="H31" s="420" t="str">
        <f t="shared" si="32"/>
        <v>N/A</v>
      </c>
      <c r="I31" s="420" t="str">
        <f t="shared" si="32"/>
        <v>N/A</v>
      </c>
      <c r="J31" s="425" t="str">
        <f t="shared" si="32"/>
        <v>N/A</v>
      </c>
      <c r="K31" s="420" t="str">
        <f t="shared" si="32"/>
        <v>N/A</v>
      </c>
      <c r="L31" s="420" t="str">
        <f t="shared" si="32"/>
        <v>N/A</v>
      </c>
      <c r="M31" s="420" t="str">
        <f t="shared" si="32"/>
        <v>N/A</v>
      </c>
      <c r="N31" s="420" t="str">
        <f t="shared" si="32"/>
        <v>N/A</v>
      </c>
      <c r="O31" s="425" t="str">
        <f t="shared" si="32"/>
        <v>N/A</v>
      </c>
      <c r="P31" s="420" t="str">
        <f t="shared" si="32"/>
        <v>N/A</v>
      </c>
      <c r="Q31" s="420" t="str">
        <f t="shared" si="32"/>
        <v>N/A</v>
      </c>
      <c r="R31" s="420" t="str">
        <f t="shared" si="32"/>
        <v>N/A</v>
      </c>
      <c r="S31" s="420" t="str">
        <f t="shared" si="32"/>
        <v>N/A</v>
      </c>
      <c r="T31" s="425" t="str">
        <f t="shared" si="32"/>
        <v>N/A</v>
      </c>
      <c r="U31" s="420" t="str">
        <f t="shared" si="32"/>
        <v>N/A</v>
      </c>
      <c r="V31" s="420" t="str">
        <f t="shared" si="32"/>
        <v>N/A</v>
      </c>
      <c r="W31" s="420" t="str">
        <f t="shared" si="32"/>
        <v>N/A</v>
      </c>
      <c r="X31" s="421" t="str">
        <f t="shared" si="32"/>
        <v>N/A</v>
      </c>
      <c r="Y31" s="425" t="str">
        <f t="shared" si="32"/>
        <v>N/A</v>
      </c>
      <c r="Z31" s="421" t="str">
        <f t="shared" si="32"/>
        <v>N/A</v>
      </c>
      <c r="AA31" s="421" t="str">
        <f t="shared" si="32"/>
        <v>N/A</v>
      </c>
      <c r="AB31" s="421" t="str">
        <f t="shared" si="32"/>
        <v>N/A</v>
      </c>
      <c r="AC31" s="421" t="str">
        <f t="shared" si="32"/>
        <v>N/A</v>
      </c>
      <c r="AD31" s="425" t="str">
        <f t="shared" si="32"/>
        <v>N/A</v>
      </c>
      <c r="AE31" s="425" t="str">
        <f t="shared" si="32"/>
        <v>N/A</v>
      </c>
      <c r="AF31" s="425" t="str">
        <f t="shared" si="32"/>
        <v>N/A</v>
      </c>
      <c r="AG31" s="425" t="str">
        <f t="shared" si="32"/>
        <v>N/A</v>
      </c>
    </row>
    <row r="32" spans="3:33" ht="14.25" customHeight="1">
      <c r="C32" s="422"/>
      <c r="D32" s="12"/>
      <c r="E32" s="12"/>
      <c r="F32" s="420"/>
      <c r="G32" s="420"/>
      <c r="H32" s="420"/>
      <c r="I32" s="420"/>
      <c r="J32" s="425"/>
      <c r="K32" s="420"/>
      <c r="L32" s="420"/>
      <c r="M32" s="420"/>
      <c r="N32" s="420"/>
      <c r="O32" s="425"/>
      <c r="P32" s="420"/>
      <c r="Q32" s="420"/>
      <c r="R32" s="420"/>
      <c r="S32" s="420"/>
      <c r="T32" s="425"/>
      <c r="U32" s="420"/>
      <c r="V32" s="420"/>
      <c r="W32" s="420"/>
      <c r="X32" s="421"/>
      <c r="Y32" s="425"/>
      <c r="Z32" s="421"/>
      <c r="AA32" s="421"/>
      <c r="AB32" s="421"/>
      <c r="AC32" s="421"/>
      <c r="AD32" s="425"/>
      <c r="AE32" s="425"/>
      <c r="AF32" s="425"/>
      <c r="AG32" s="425"/>
    </row>
    <row r="33" spans="3:33" ht="14.25" customHeight="1">
      <c r="C33" s="12" t="s">
        <v>456</v>
      </c>
      <c r="D33" s="12"/>
      <c r="E33" s="12"/>
      <c r="F33" s="263">
        <f t="shared" ref="F33:I33" si="33">SUM(F34:F39)</f>
        <v>1714.317</v>
      </c>
      <c r="G33" s="263">
        <f t="shared" si="33"/>
        <v>1827.183</v>
      </c>
      <c r="H33" s="263">
        <f t="shared" si="33"/>
        <v>1916.394</v>
      </c>
      <c r="I33" s="263">
        <f t="shared" si="33"/>
        <v>1496.1089999999999</v>
      </c>
      <c r="J33" s="233">
        <f t="shared" ref="J33:J39" si="34">SUM(F33:I33)</f>
        <v>6954.0030000000006</v>
      </c>
      <c r="K33" s="263">
        <f t="shared" ref="K33:N33" si="35">SUM(K34:K39)</f>
        <v>2632.5340000000001</v>
      </c>
      <c r="L33" s="263">
        <f t="shared" si="35"/>
        <v>2602.837</v>
      </c>
      <c r="M33" s="263">
        <f t="shared" si="35"/>
        <v>2909.4769999999999</v>
      </c>
      <c r="N33" s="263">
        <f t="shared" si="35"/>
        <v>2272.7660000000001</v>
      </c>
      <c r="O33" s="233">
        <f t="shared" ref="O33:O39" si="36">SUM(K33:N33)</f>
        <v>10417.614</v>
      </c>
      <c r="P33" s="263">
        <f t="shared" ref="P33:Q33" si="37">SUM(P34:P39)</f>
        <v>3346.9989999999998</v>
      </c>
      <c r="Q33" s="263">
        <f t="shared" si="37"/>
        <v>3774.694</v>
      </c>
      <c r="R33" s="263">
        <f>R34</f>
        <v>3248.2469999999998</v>
      </c>
      <c r="S33" s="263">
        <f>SUM(S34:S39)</f>
        <v>2956.663</v>
      </c>
      <c r="T33" s="233">
        <f t="shared" ref="T33:T39" si="38">SUM(P33:S33)</f>
        <v>13326.602999999999</v>
      </c>
      <c r="U33" s="263">
        <f t="shared" ref="U33:V33" si="39">SUM(U34:U39)</f>
        <v>3956.9969999999998</v>
      </c>
      <c r="V33" s="263">
        <f t="shared" si="39"/>
        <v>2977.56</v>
      </c>
      <c r="W33" s="263">
        <f>W34</f>
        <v>2789</v>
      </c>
      <c r="X33" s="232">
        <f>SUM(X34:X39)</f>
        <v>2830.373</v>
      </c>
      <c r="Y33" s="233">
        <f t="shared" ref="Y33:Y39" si="40">SUM(U33:X33)</f>
        <v>12553.93</v>
      </c>
      <c r="Z33" s="232">
        <f t="shared" ref="Z33:AC33" si="41">SUM(Z34:Z39)</f>
        <v>3596.75092</v>
      </c>
      <c r="AA33" s="232">
        <f t="shared" si="41"/>
        <v>4246.7351933999998</v>
      </c>
      <c r="AB33" s="232">
        <f t="shared" si="41"/>
        <v>3092.7947339520001</v>
      </c>
      <c r="AC33" s="232">
        <f t="shared" si="41"/>
        <v>3305.4243719112001</v>
      </c>
      <c r="AD33" s="233">
        <f t="shared" ref="AD33:AD39" si="42">SUM(Z33:AC33)</f>
        <v>14241.7052192632</v>
      </c>
      <c r="AE33" s="233">
        <f t="shared" ref="AE33:AG33" si="43">SUM(AE34:AE39)</f>
        <v>14920.476530537961</v>
      </c>
      <c r="AF33" s="233">
        <f t="shared" si="43"/>
        <v>15328.374450077847</v>
      </c>
      <c r="AG33" s="233">
        <f t="shared" si="43"/>
        <v>15858.298252494822</v>
      </c>
    </row>
    <row r="34" spans="3:33" ht="14.25" customHeight="1">
      <c r="C34" s="108" t="str">
        <f t="shared" ref="C34:C39" si="44">C16&amp;" Operating Income"</f>
        <v>Home Improvement Retail Operating Income</v>
      </c>
      <c r="D34" s="12"/>
      <c r="E34" s="12"/>
      <c r="F34" s="415">
        <v>1714.317</v>
      </c>
      <c r="G34" s="415">
        <v>1827.183</v>
      </c>
      <c r="H34" s="415">
        <v>1916.394</v>
      </c>
      <c r="I34" s="415">
        <v>1496.1089999999999</v>
      </c>
      <c r="J34" s="416">
        <f t="shared" si="34"/>
        <v>6954.0030000000006</v>
      </c>
      <c r="K34" s="415">
        <v>2632.5340000000001</v>
      </c>
      <c r="L34" s="415">
        <v>2602.837</v>
      </c>
      <c r="M34" s="415">
        <v>2909.4769999999999</v>
      </c>
      <c r="N34" s="415">
        <v>2272.7660000000001</v>
      </c>
      <c r="O34" s="416">
        <f t="shared" si="36"/>
        <v>10417.614</v>
      </c>
      <c r="P34" s="415">
        <v>3346.9989999999998</v>
      </c>
      <c r="Q34" s="415">
        <v>3774.694</v>
      </c>
      <c r="R34" s="415">
        <v>3248.2469999999998</v>
      </c>
      <c r="S34" s="415">
        <v>2956.663</v>
      </c>
      <c r="T34" s="416">
        <f t="shared" si="38"/>
        <v>13326.602999999999</v>
      </c>
      <c r="U34" s="415">
        <v>3956.9969999999998</v>
      </c>
      <c r="V34" s="415">
        <v>2977.56</v>
      </c>
      <c r="W34" s="415">
        <v>2789</v>
      </c>
      <c r="X34" s="426">
        <f>X8*Drivers!X$7</f>
        <v>2830.373</v>
      </c>
      <c r="Y34" s="416">
        <f t="shared" si="40"/>
        <v>12553.93</v>
      </c>
      <c r="Z34" s="426">
        <f>Z8*Drivers!Z$7</f>
        <v>3596.75092</v>
      </c>
      <c r="AA34" s="426">
        <f>AA8*Drivers!AA$7</f>
        <v>4246.7351933999998</v>
      </c>
      <c r="AB34" s="426">
        <f>AB8*Drivers!AB$7</f>
        <v>3092.7947339520001</v>
      </c>
      <c r="AC34" s="426">
        <f>AC8*Drivers!AC$7</f>
        <v>3305.4243719112001</v>
      </c>
      <c r="AD34" s="416">
        <f t="shared" si="42"/>
        <v>14241.7052192632</v>
      </c>
      <c r="AE34" s="416">
        <f>AE8*Drivers!AE$7</f>
        <v>14920.476530537961</v>
      </c>
      <c r="AF34" s="416">
        <f>AF8*Drivers!AF$7</f>
        <v>15328.374450077847</v>
      </c>
      <c r="AG34" s="416">
        <f>AG8*Drivers!AG$7</f>
        <v>15858.298252494822</v>
      </c>
    </row>
    <row r="35" spans="3:33" ht="14.25" customHeight="1">
      <c r="C35" s="108" t="str">
        <f t="shared" si="44"/>
        <v>Segment 2 Operating Income</v>
      </c>
      <c r="D35" s="12"/>
      <c r="E35" s="12"/>
      <c r="F35" s="415">
        <v>0</v>
      </c>
      <c r="G35" s="415">
        <v>0</v>
      </c>
      <c r="H35" s="415">
        <v>0</v>
      </c>
      <c r="I35" s="415">
        <v>0</v>
      </c>
      <c r="J35" s="416">
        <f t="shared" si="34"/>
        <v>0</v>
      </c>
      <c r="K35" s="415">
        <v>0</v>
      </c>
      <c r="L35" s="415">
        <v>0</v>
      </c>
      <c r="M35" s="415">
        <v>0</v>
      </c>
      <c r="N35" s="415">
        <v>0</v>
      </c>
      <c r="O35" s="416">
        <f t="shared" si="36"/>
        <v>0</v>
      </c>
      <c r="P35" s="415">
        <v>0</v>
      </c>
      <c r="Q35" s="415">
        <v>0</v>
      </c>
      <c r="R35" s="415">
        <v>0</v>
      </c>
      <c r="S35" s="415">
        <v>0</v>
      </c>
      <c r="T35" s="416">
        <f t="shared" si="38"/>
        <v>0</v>
      </c>
      <c r="U35" s="415">
        <v>0</v>
      </c>
      <c r="V35" s="415">
        <v>0</v>
      </c>
      <c r="W35" s="415">
        <v>0</v>
      </c>
      <c r="X35" s="426">
        <f>X9*Drivers!X$12</f>
        <v>0</v>
      </c>
      <c r="Y35" s="416">
        <f t="shared" si="40"/>
        <v>0</v>
      </c>
      <c r="Z35" s="426">
        <f>Z9*Drivers!Z$12</f>
        <v>0</v>
      </c>
      <c r="AA35" s="426">
        <f>AA9*Drivers!AA$12</f>
        <v>0</v>
      </c>
      <c r="AB35" s="426">
        <f>AB9*Drivers!AB$12</f>
        <v>0</v>
      </c>
      <c r="AC35" s="426">
        <f>AC9*Drivers!AC$12</f>
        <v>0</v>
      </c>
      <c r="AD35" s="416">
        <f t="shared" si="42"/>
        <v>0</v>
      </c>
      <c r="AE35" s="416">
        <f>AE9*Drivers!AE$12</f>
        <v>0</v>
      </c>
      <c r="AF35" s="416">
        <f>AF9*Drivers!AF$12</f>
        <v>0</v>
      </c>
      <c r="AG35" s="416">
        <f>AG9*Drivers!AG$12</f>
        <v>0</v>
      </c>
    </row>
    <row r="36" spans="3:33" ht="14.25" customHeight="1">
      <c r="C36" s="108" t="str">
        <f t="shared" si="44"/>
        <v>Segment 3 Operating Income</v>
      </c>
      <c r="D36" s="12"/>
      <c r="E36" s="12"/>
      <c r="F36" s="415">
        <v>0</v>
      </c>
      <c r="G36" s="415">
        <v>0</v>
      </c>
      <c r="H36" s="415">
        <v>0</v>
      </c>
      <c r="I36" s="415">
        <v>0</v>
      </c>
      <c r="J36" s="416">
        <f t="shared" si="34"/>
        <v>0</v>
      </c>
      <c r="K36" s="415">
        <v>0</v>
      </c>
      <c r="L36" s="415">
        <v>0</v>
      </c>
      <c r="M36" s="415">
        <v>0</v>
      </c>
      <c r="N36" s="415">
        <v>0</v>
      </c>
      <c r="O36" s="416">
        <f t="shared" si="36"/>
        <v>0</v>
      </c>
      <c r="P36" s="415">
        <v>0</v>
      </c>
      <c r="Q36" s="415">
        <v>0</v>
      </c>
      <c r="R36" s="415">
        <v>0</v>
      </c>
      <c r="S36" s="415">
        <v>0</v>
      </c>
      <c r="T36" s="416">
        <f t="shared" si="38"/>
        <v>0</v>
      </c>
      <c r="U36" s="415">
        <v>0</v>
      </c>
      <c r="V36" s="415">
        <v>0</v>
      </c>
      <c r="W36" s="415">
        <v>0</v>
      </c>
      <c r="X36" s="426">
        <f>X10*Drivers!X17</f>
        <v>0</v>
      </c>
      <c r="Y36" s="416">
        <f t="shared" si="40"/>
        <v>0</v>
      </c>
      <c r="Z36" s="426">
        <f>Z10*Drivers!Z$17</f>
        <v>0</v>
      </c>
      <c r="AA36" s="426">
        <f>AA10*Drivers!AA$17</f>
        <v>0</v>
      </c>
      <c r="AB36" s="426">
        <f>AB10*Drivers!AB$17</f>
        <v>0</v>
      </c>
      <c r="AC36" s="426">
        <f>AC10*Drivers!AC$17</f>
        <v>0</v>
      </c>
      <c r="AD36" s="416">
        <f t="shared" si="42"/>
        <v>0</v>
      </c>
      <c r="AE36" s="416">
        <f>AE10*Drivers!AE$17</f>
        <v>0</v>
      </c>
      <c r="AF36" s="416">
        <f>AF10*Drivers!AF$17</f>
        <v>0</v>
      </c>
      <c r="AG36" s="416">
        <f>AG10*Drivers!AG$17</f>
        <v>0</v>
      </c>
    </row>
    <row r="37" spans="3:33" ht="14.25" customHeight="1">
      <c r="C37" s="108" t="str">
        <f t="shared" si="44"/>
        <v>Segment 4 Operating Income</v>
      </c>
      <c r="D37" s="12"/>
      <c r="E37" s="12"/>
      <c r="F37" s="415">
        <v>0</v>
      </c>
      <c r="G37" s="415">
        <v>0</v>
      </c>
      <c r="H37" s="415">
        <v>0</v>
      </c>
      <c r="I37" s="415">
        <v>0</v>
      </c>
      <c r="J37" s="416">
        <f t="shared" si="34"/>
        <v>0</v>
      </c>
      <c r="K37" s="415">
        <v>0</v>
      </c>
      <c r="L37" s="415">
        <v>0</v>
      </c>
      <c r="M37" s="415">
        <v>0</v>
      </c>
      <c r="N37" s="415">
        <v>0</v>
      </c>
      <c r="O37" s="416">
        <f t="shared" si="36"/>
        <v>0</v>
      </c>
      <c r="P37" s="415">
        <v>0</v>
      </c>
      <c r="Q37" s="415">
        <v>0</v>
      </c>
      <c r="R37" s="415">
        <v>0</v>
      </c>
      <c r="S37" s="415">
        <v>0</v>
      </c>
      <c r="T37" s="416">
        <f t="shared" si="38"/>
        <v>0</v>
      </c>
      <c r="U37" s="415">
        <v>0</v>
      </c>
      <c r="V37" s="415">
        <v>0</v>
      </c>
      <c r="W37" s="415">
        <v>0</v>
      </c>
      <c r="X37" s="426">
        <f>X11*Drivers!X$22</f>
        <v>0</v>
      </c>
      <c r="Y37" s="416">
        <f t="shared" si="40"/>
        <v>0</v>
      </c>
      <c r="Z37" s="426">
        <f>Z11*Drivers!Z$22</f>
        <v>0</v>
      </c>
      <c r="AA37" s="426">
        <f>AA11*Drivers!AA$22</f>
        <v>0</v>
      </c>
      <c r="AB37" s="426">
        <f>AB11*Drivers!AB$22</f>
        <v>0</v>
      </c>
      <c r="AC37" s="426">
        <f>AC11*Drivers!AC$22</f>
        <v>0</v>
      </c>
      <c r="AD37" s="416">
        <f t="shared" si="42"/>
        <v>0</v>
      </c>
      <c r="AE37" s="416">
        <f>AE11*Drivers!AE$22</f>
        <v>0</v>
      </c>
      <c r="AF37" s="416">
        <f>AF11*Drivers!AF$22</f>
        <v>0</v>
      </c>
      <c r="AG37" s="416">
        <f>AG11*Drivers!AG$22</f>
        <v>0</v>
      </c>
    </row>
    <row r="38" spans="3:33" ht="14.25" customHeight="1">
      <c r="C38" s="108" t="str">
        <f t="shared" si="44"/>
        <v>Segment 5 Operating Income</v>
      </c>
      <c r="D38" s="12"/>
      <c r="E38" s="12"/>
      <c r="F38" s="415">
        <v>0</v>
      </c>
      <c r="G38" s="415">
        <v>0</v>
      </c>
      <c r="H38" s="415">
        <v>0</v>
      </c>
      <c r="I38" s="415">
        <v>0</v>
      </c>
      <c r="J38" s="416">
        <f t="shared" si="34"/>
        <v>0</v>
      </c>
      <c r="K38" s="415">
        <v>0</v>
      </c>
      <c r="L38" s="415">
        <v>0</v>
      </c>
      <c r="M38" s="415">
        <v>0</v>
      </c>
      <c r="N38" s="415">
        <v>0</v>
      </c>
      <c r="O38" s="416">
        <f t="shared" si="36"/>
        <v>0</v>
      </c>
      <c r="P38" s="415">
        <v>0</v>
      </c>
      <c r="Q38" s="415">
        <v>0</v>
      </c>
      <c r="R38" s="415">
        <v>0</v>
      </c>
      <c r="S38" s="415">
        <v>0</v>
      </c>
      <c r="T38" s="416">
        <f t="shared" si="38"/>
        <v>0</v>
      </c>
      <c r="U38" s="415">
        <v>0</v>
      </c>
      <c r="V38" s="415">
        <v>0</v>
      </c>
      <c r="W38" s="415">
        <v>0</v>
      </c>
      <c r="X38" s="426">
        <f>X12*Drivers!X$27</f>
        <v>0</v>
      </c>
      <c r="Y38" s="416">
        <f t="shared" si="40"/>
        <v>0</v>
      </c>
      <c r="Z38" s="426">
        <f>Z12*Drivers!Z$27</f>
        <v>0</v>
      </c>
      <c r="AA38" s="426">
        <f>AA12*Drivers!AA$27</f>
        <v>0</v>
      </c>
      <c r="AB38" s="426">
        <f>AB12*Drivers!AB$27</f>
        <v>0</v>
      </c>
      <c r="AC38" s="426">
        <f>AC12*Drivers!AC$27</f>
        <v>0</v>
      </c>
      <c r="AD38" s="416">
        <f t="shared" si="42"/>
        <v>0</v>
      </c>
      <c r="AE38" s="416">
        <f>AE12*Drivers!AE$27</f>
        <v>0</v>
      </c>
      <c r="AF38" s="416">
        <f>AF12*Drivers!AF$27</f>
        <v>0</v>
      </c>
      <c r="AG38" s="416">
        <f>AG12*Drivers!AG$27</f>
        <v>0</v>
      </c>
    </row>
    <row r="39" spans="3:33" ht="14.25" customHeight="1">
      <c r="C39" s="108" t="str">
        <f t="shared" si="44"/>
        <v>Segment 6 Operating Income</v>
      </c>
      <c r="D39" s="12"/>
      <c r="E39" s="12"/>
      <c r="F39" s="415">
        <v>0</v>
      </c>
      <c r="G39" s="415">
        <v>0</v>
      </c>
      <c r="H39" s="415">
        <v>0</v>
      </c>
      <c r="I39" s="415">
        <v>0</v>
      </c>
      <c r="J39" s="416">
        <f t="shared" si="34"/>
        <v>0</v>
      </c>
      <c r="K39" s="415">
        <v>0</v>
      </c>
      <c r="L39" s="415">
        <v>0</v>
      </c>
      <c r="M39" s="415">
        <v>0</v>
      </c>
      <c r="N39" s="415">
        <v>0</v>
      </c>
      <c r="O39" s="416">
        <f t="shared" si="36"/>
        <v>0</v>
      </c>
      <c r="P39" s="415">
        <v>0</v>
      </c>
      <c r="Q39" s="415">
        <v>0</v>
      </c>
      <c r="R39" s="415">
        <v>0</v>
      </c>
      <c r="S39" s="415">
        <v>0</v>
      </c>
      <c r="T39" s="416">
        <f t="shared" si="38"/>
        <v>0</v>
      </c>
      <c r="U39" s="415">
        <v>0</v>
      </c>
      <c r="V39" s="415">
        <v>0</v>
      </c>
      <c r="W39" s="415">
        <v>0</v>
      </c>
      <c r="X39" s="426">
        <f>X13*Drivers!X$32</f>
        <v>0</v>
      </c>
      <c r="Y39" s="416">
        <f t="shared" si="40"/>
        <v>0</v>
      </c>
      <c r="Z39" s="426">
        <f>Z13*Drivers!Z$32</f>
        <v>0</v>
      </c>
      <c r="AA39" s="426">
        <f>AA13*Drivers!AA$32</f>
        <v>0</v>
      </c>
      <c r="AB39" s="426">
        <f>AB13*Drivers!AB$32</f>
        <v>0</v>
      </c>
      <c r="AC39" s="426">
        <f>AC13*Drivers!AC$32</f>
        <v>0</v>
      </c>
      <c r="AD39" s="416">
        <f t="shared" si="42"/>
        <v>0</v>
      </c>
      <c r="AE39" s="416">
        <f>AE13*Drivers!AE$32</f>
        <v>0</v>
      </c>
      <c r="AF39" s="416">
        <f>AF13*Drivers!AF$32</f>
        <v>0</v>
      </c>
      <c r="AG39" s="416">
        <f>AG13*Drivers!AG$32</f>
        <v>0</v>
      </c>
    </row>
    <row r="40" spans="3:33" ht="14.25" customHeight="1">
      <c r="C40" s="108"/>
      <c r="D40" s="12"/>
      <c r="E40" s="12"/>
      <c r="F40" s="427"/>
      <c r="G40" s="427"/>
      <c r="H40" s="427"/>
      <c r="I40" s="427"/>
      <c r="J40" s="137"/>
      <c r="K40" s="427"/>
      <c r="L40" s="427"/>
      <c r="M40" s="427"/>
      <c r="N40" s="427"/>
      <c r="O40" s="137"/>
      <c r="P40" s="427"/>
      <c r="Q40" s="427"/>
      <c r="R40" s="427"/>
      <c r="S40" s="427"/>
      <c r="T40" s="137"/>
      <c r="U40" s="427"/>
      <c r="V40" s="427"/>
      <c r="W40" s="427"/>
      <c r="X40" s="428"/>
      <c r="Y40" s="137"/>
      <c r="Z40" s="428"/>
      <c r="AA40" s="428"/>
      <c r="AB40" s="428"/>
      <c r="AC40" s="428"/>
      <c r="AD40" s="137"/>
      <c r="AE40" s="137"/>
      <c r="AF40" s="137"/>
      <c r="AG40" s="137"/>
    </row>
    <row r="41" spans="3:33" ht="14.25" customHeight="1">
      <c r="C41" s="89" t="s">
        <v>457</v>
      </c>
      <c r="D41" s="12"/>
      <c r="E41" s="12"/>
      <c r="F41" s="429">
        <f t="shared" ref="F41:AG41" si="45">F33-SUM(F34:F39)</f>
        <v>0</v>
      </c>
      <c r="G41" s="429">
        <f t="shared" si="45"/>
        <v>0</v>
      </c>
      <c r="H41" s="429">
        <f t="shared" si="45"/>
        <v>0</v>
      </c>
      <c r="I41" s="429">
        <f t="shared" si="45"/>
        <v>0</v>
      </c>
      <c r="J41" s="430">
        <f t="shared" si="45"/>
        <v>0</v>
      </c>
      <c r="K41" s="429">
        <f t="shared" si="45"/>
        <v>0</v>
      </c>
      <c r="L41" s="429">
        <f t="shared" si="45"/>
        <v>0</v>
      </c>
      <c r="M41" s="429">
        <f t="shared" si="45"/>
        <v>0</v>
      </c>
      <c r="N41" s="429">
        <f t="shared" si="45"/>
        <v>0</v>
      </c>
      <c r="O41" s="430">
        <f t="shared" si="45"/>
        <v>0</v>
      </c>
      <c r="P41" s="429">
        <f t="shared" si="45"/>
        <v>0</v>
      </c>
      <c r="Q41" s="429">
        <f t="shared" si="45"/>
        <v>0</v>
      </c>
      <c r="R41" s="429">
        <f t="shared" si="45"/>
        <v>0</v>
      </c>
      <c r="S41" s="429">
        <f t="shared" si="45"/>
        <v>0</v>
      </c>
      <c r="T41" s="430">
        <f t="shared" si="45"/>
        <v>0</v>
      </c>
      <c r="U41" s="429">
        <f t="shared" si="45"/>
        <v>0</v>
      </c>
      <c r="V41" s="429">
        <f t="shared" si="45"/>
        <v>0</v>
      </c>
      <c r="W41" s="429">
        <f t="shared" si="45"/>
        <v>0</v>
      </c>
      <c r="X41" s="431">
        <f t="shared" si="45"/>
        <v>0</v>
      </c>
      <c r="Y41" s="430">
        <f t="shared" si="45"/>
        <v>0</v>
      </c>
      <c r="Z41" s="431">
        <f t="shared" si="45"/>
        <v>0</v>
      </c>
      <c r="AA41" s="431">
        <f t="shared" si="45"/>
        <v>0</v>
      </c>
      <c r="AB41" s="431">
        <f t="shared" si="45"/>
        <v>0</v>
      </c>
      <c r="AC41" s="431">
        <f t="shared" si="45"/>
        <v>0</v>
      </c>
      <c r="AD41" s="430">
        <f t="shared" si="45"/>
        <v>0</v>
      </c>
      <c r="AE41" s="430">
        <f t="shared" si="45"/>
        <v>0</v>
      </c>
      <c r="AF41" s="430">
        <f t="shared" si="45"/>
        <v>0</v>
      </c>
      <c r="AG41" s="430">
        <f t="shared" si="45"/>
        <v>0</v>
      </c>
    </row>
    <row r="42" spans="3:33" ht="14.25" customHeight="1">
      <c r="C42" s="12"/>
      <c r="D42" s="12"/>
      <c r="E42" s="12"/>
      <c r="F42" s="265"/>
      <c r="G42" s="265"/>
      <c r="H42" s="265"/>
      <c r="I42" s="265"/>
      <c r="J42" s="137"/>
      <c r="K42" s="265"/>
      <c r="L42" s="265"/>
      <c r="M42" s="265"/>
      <c r="N42" s="265"/>
      <c r="O42" s="137"/>
      <c r="P42" s="265"/>
      <c r="Q42" s="265"/>
      <c r="R42" s="265"/>
      <c r="S42" s="265"/>
      <c r="T42" s="137"/>
      <c r="U42" s="265"/>
      <c r="V42" s="265"/>
      <c r="W42" s="265"/>
      <c r="X42" s="268"/>
      <c r="Y42" s="137"/>
      <c r="Z42" s="268"/>
      <c r="AA42" s="268"/>
      <c r="AB42" s="268"/>
      <c r="AC42" s="268"/>
      <c r="AD42" s="137"/>
      <c r="AE42" s="137"/>
      <c r="AF42" s="137"/>
      <c r="AG42" s="137"/>
    </row>
    <row r="43" spans="3:33" ht="14.25" customHeight="1">
      <c r="C43" s="12" t="s">
        <v>458</v>
      </c>
      <c r="D43" s="12"/>
      <c r="E43" s="12"/>
      <c r="F43" s="420"/>
      <c r="G43" s="420"/>
      <c r="H43" s="420"/>
      <c r="I43" s="420"/>
      <c r="J43" s="137"/>
      <c r="K43" s="420"/>
      <c r="L43" s="420"/>
      <c r="M43" s="420"/>
      <c r="N43" s="420"/>
      <c r="O43" s="137"/>
      <c r="P43" s="420"/>
      <c r="Q43" s="420"/>
      <c r="R43" s="420"/>
      <c r="S43" s="420"/>
      <c r="T43" s="137"/>
      <c r="U43" s="420"/>
      <c r="V43" s="420"/>
      <c r="W43" s="420"/>
      <c r="X43" s="421"/>
      <c r="Y43" s="137"/>
      <c r="Z43" s="421"/>
      <c r="AA43" s="421"/>
      <c r="AB43" s="421"/>
      <c r="AC43" s="421"/>
      <c r="AD43" s="137"/>
      <c r="AE43" s="137"/>
      <c r="AF43" s="137"/>
      <c r="AG43" s="137"/>
    </row>
    <row r="44" spans="3:33" ht="14.25" customHeight="1">
      <c r="C44" s="108" t="str">
        <f t="shared" ref="C44:C49" si="46">C16</f>
        <v>Home Improvement Retail</v>
      </c>
      <c r="D44" s="12"/>
      <c r="E44" s="12"/>
      <c r="F44" s="323">
        <f t="shared" ref="F44:AG44" si="47">IFERROR(F34/F$33,"N/A")</f>
        <v>1</v>
      </c>
      <c r="G44" s="323">
        <f t="shared" si="47"/>
        <v>1</v>
      </c>
      <c r="H44" s="323">
        <f t="shared" si="47"/>
        <v>1</v>
      </c>
      <c r="I44" s="323">
        <f t="shared" si="47"/>
        <v>1</v>
      </c>
      <c r="J44" s="324">
        <f t="shared" si="47"/>
        <v>1</v>
      </c>
      <c r="K44" s="323">
        <f t="shared" si="47"/>
        <v>1</v>
      </c>
      <c r="L44" s="323">
        <f t="shared" si="47"/>
        <v>1</v>
      </c>
      <c r="M44" s="323">
        <f t="shared" si="47"/>
        <v>1</v>
      </c>
      <c r="N44" s="323">
        <f t="shared" si="47"/>
        <v>1</v>
      </c>
      <c r="O44" s="324">
        <f t="shared" si="47"/>
        <v>1</v>
      </c>
      <c r="P44" s="323">
        <f t="shared" si="47"/>
        <v>1</v>
      </c>
      <c r="Q44" s="323">
        <f t="shared" si="47"/>
        <v>1</v>
      </c>
      <c r="R44" s="323">
        <f t="shared" si="47"/>
        <v>1</v>
      </c>
      <c r="S44" s="323">
        <f t="shared" si="47"/>
        <v>1</v>
      </c>
      <c r="T44" s="324">
        <f t="shared" si="47"/>
        <v>1</v>
      </c>
      <c r="U44" s="323">
        <f t="shared" si="47"/>
        <v>1</v>
      </c>
      <c r="V44" s="323">
        <f t="shared" si="47"/>
        <v>1</v>
      </c>
      <c r="W44" s="323">
        <f t="shared" si="47"/>
        <v>1</v>
      </c>
      <c r="X44" s="325">
        <f t="shared" si="47"/>
        <v>1</v>
      </c>
      <c r="Y44" s="324">
        <f t="shared" si="47"/>
        <v>1</v>
      </c>
      <c r="Z44" s="325">
        <f t="shared" si="47"/>
        <v>1</v>
      </c>
      <c r="AA44" s="325">
        <f t="shared" si="47"/>
        <v>1</v>
      </c>
      <c r="AB44" s="325">
        <f t="shared" si="47"/>
        <v>1</v>
      </c>
      <c r="AC44" s="325">
        <f t="shared" si="47"/>
        <v>1</v>
      </c>
      <c r="AD44" s="324">
        <f t="shared" si="47"/>
        <v>1</v>
      </c>
      <c r="AE44" s="324">
        <f t="shared" si="47"/>
        <v>1</v>
      </c>
      <c r="AF44" s="324">
        <f t="shared" si="47"/>
        <v>1</v>
      </c>
      <c r="AG44" s="324">
        <f t="shared" si="47"/>
        <v>1</v>
      </c>
    </row>
    <row r="45" spans="3:33" ht="14.25" customHeight="1">
      <c r="C45" s="108" t="str">
        <f t="shared" si="46"/>
        <v>Segment 2</v>
      </c>
      <c r="D45" s="12"/>
      <c r="E45" s="12"/>
      <c r="F45" s="323">
        <f t="shared" ref="F45:AG45" si="48">IFERROR(F35/F$33,"N/A")</f>
        <v>0</v>
      </c>
      <c r="G45" s="323">
        <f t="shared" si="48"/>
        <v>0</v>
      </c>
      <c r="H45" s="323">
        <f t="shared" si="48"/>
        <v>0</v>
      </c>
      <c r="I45" s="323">
        <f t="shared" si="48"/>
        <v>0</v>
      </c>
      <c r="J45" s="324">
        <f t="shared" si="48"/>
        <v>0</v>
      </c>
      <c r="K45" s="323">
        <f t="shared" si="48"/>
        <v>0</v>
      </c>
      <c r="L45" s="323">
        <f t="shared" si="48"/>
        <v>0</v>
      </c>
      <c r="M45" s="323">
        <f t="shared" si="48"/>
        <v>0</v>
      </c>
      <c r="N45" s="323">
        <f t="shared" si="48"/>
        <v>0</v>
      </c>
      <c r="O45" s="324">
        <f t="shared" si="48"/>
        <v>0</v>
      </c>
      <c r="P45" s="323">
        <f t="shared" si="48"/>
        <v>0</v>
      </c>
      <c r="Q45" s="323">
        <f t="shared" si="48"/>
        <v>0</v>
      </c>
      <c r="R45" s="323">
        <f t="shared" si="48"/>
        <v>0</v>
      </c>
      <c r="S45" s="323">
        <f t="shared" si="48"/>
        <v>0</v>
      </c>
      <c r="T45" s="324">
        <f t="shared" si="48"/>
        <v>0</v>
      </c>
      <c r="U45" s="323">
        <f t="shared" si="48"/>
        <v>0</v>
      </c>
      <c r="V45" s="323">
        <f t="shared" si="48"/>
        <v>0</v>
      </c>
      <c r="W45" s="323">
        <f t="shared" si="48"/>
        <v>0</v>
      </c>
      <c r="X45" s="325">
        <f t="shared" si="48"/>
        <v>0</v>
      </c>
      <c r="Y45" s="324">
        <f t="shared" si="48"/>
        <v>0</v>
      </c>
      <c r="Z45" s="325">
        <f t="shared" si="48"/>
        <v>0</v>
      </c>
      <c r="AA45" s="325">
        <f t="shared" si="48"/>
        <v>0</v>
      </c>
      <c r="AB45" s="325">
        <f t="shared" si="48"/>
        <v>0</v>
      </c>
      <c r="AC45" s="325">
        <f t="shared" si="48"/>
        <v>0</v>
      </c>
      <c r="AD45" s="324">
        <f t="shared" si="48"/>
        <v>0</v>
      </c>
      <c r="AE45" s="324">
        <f t="shared" si="48"/>
        <v>0</v>
      </c>
      <c r="AF45" s="324">
        <f t="shared" si="48"/>
        <v>0</v>
      </c>
      <c r="AG45" s="324">
        <f t="shared" si="48"/>
        <v>0</v>
      </c>
    </row>
    <row r="46" spans="3:33" ht="14.25" customHeight="1">
      <c r="C46" s="108" t="str">
        <f t="shared" si="46"/>
        <v>Segment 3</v>
      </c>
      <c r="D46" s="12"/>
      <c r="E46" s="12"/>
      <c r="F46" s="323">
        <f t="shared" ref="F46:AG46" si="49">IFERROR(F36/F$33,"N/A")</f>
        <v>0</v>
      </c>
      <c r="G46" s="323">
        <f t="shared" si="49"/>
        <v>0</v>
      </c>
      <c r="H46" s="323">
        <f t="shared" si="49"/>
        <v>0</v>
      </c>
      <c r="I46" s="323">
        <f t="shared" si="49"/>
        <v>0</v>
      </c>
      <c r="J46" s="324">
        <f t="shared" si="49"/>
        <v>0</v>
      </c>
      <c r="K46" s="323">
        <f t="shared" si="49"/>
        <v>0</v>
      </c>
      <c r="L46" s="323">
        <f t="shared" si="49"/>
        <v>0</v>
      </c>
      <c r="M46" s="323">
        <f t="shared" si="49"/>
        <v>0</v>
      </c>
      <c r="N46" s="323">
        <f t="shared" si="49"/>
        <v>0</v>
      </c>
      <c r="O46" s="324">
        <f t="shared" si="49"/>
        <v>0</v>
      </c>
      <c r="P46" s="323">
        <f t="shared" si="49"/>
        <v>0</v>
      </c>
      <c r="Q46" s="323">
        <f t="shared" si="49"/>
        <v>0</v>
      </c>
      <c r="R46" s="323">
        <f t="shared" si="49"/>
        <v>0</v>
      </c>
      <c r="S46" s="323">
        <f t="shared" si="49"/>
        <v>0</v>
      </c>
      <c r="T46" s="324">
        <f t="shared" si="49"/>
        <v>0</v>
      </c>
      <c r="U46" s="323">
        <f t="shared" si="49"/>
        <v>0</v>
      </c>
      <c r="V46" s="323">
        <f t="shared" si="49"/>
        <v>0</v>
      </c>
      <c r="W46" s="323">
        <f t="shared" si="49"/>
        <v>0</v>
      </c>
      <c r="X46" s="325">
        <f t="shared" si="49"/>
        <v>0</v>
      </c>
      <c r="Y46" s="324">
        <f t="shared" si="49"/>
        <v>0</v>
      </c>
      <c r="Z46" s="325">
        <f t="shared" si="49"/>
        <v>0</v>
      </c>
      <c r="AA46" s="325">
        <f t="shared" si="49"/>
        <v>0</v>
      </c>
      <c r="AB46" s="325">
        <f t="shared" si="49"/>
        <v>0</v>
      </c>
      <c r="AC46" s="325">
        <f t="shared" si="49"/>
        <v>0</v>
      </c>
      <c r="AD46" s="324">
        <f t="shared" si="49"/>
        <v>0</v>
      </c>
      <c r="AE46" s="324">
        <f t="shared" si="49"/>
        <v>0</v>
      </c>
      <c r="AF46" s="324">
        <f t="shared" si="49"/>
        <v>0</v>
      </c>
      <c r="AG46" s="324">
        <f t="shared" si="49"/>
        <v>0</v>
      </c>
    </row>
    <row r="47" spans="3:33" ht="14.25" customHeight="1">
      <c r="C47" s="108" t="str">
        <f t="shared" si="46"/>
        <v>Segment 4</v>
      </c>
      <c r="D47" s="12"/>
      <c r="E47" s="12"/>
      <c r="F47" s="323">
        <f t="shared" ref="F47:AG47" si="50">IFERROR(F37/F$33,"N/A")</f>
        <v>0</v>
      </c>
      <c r="G47" s="323">
        <f t="shared" si="50"/>
        <v>0</v>
      </c>
      <c r="H47" s="323">
        <f t="shared" si="50"/>
        <v>0</v>
      </c>
      <c r="I47" s="323">
        <f t="shared" si="50"/>
        <v>0</v>
      </c>
      <c r="J47" s="324">
        <f t="shared" si="50"/>
        <v>0</v>
      </c>
      <c r="K47" s="323">
        <f t="shared" si="50"/>
        <v>0</v>
      </c>
      <c r="L47" s="323">
        <f t="shared" si="50"/>
        <v>0</v>
      </c>
      <c r="M47" s="323">
        <f t="shared" si="50"/>
        <v>0</v>
      </c>
      <c r="N47" s="323">
        <f t="shared" si="50"/>
        <v>0</v>
      </c>
      <c r="O47" s="324">
        <f t="shared" si="50"/>
        <v>0</v>
      </c>
      <c r="P47" s="323">
        <f t="shared" si="50"/>
        <v>0</v>
      </c>
      <c r="Q47" s="323">
        <f t="shared" si="50"/>
        <v>0</v>
      </c>
      <c r="R47" s="323">
        <f t="shared" si="50"/>
        <v>0</v>
      </c>
      <c r="S47" s="323">
        <f t="shared" si="50"/>
        <v>0</v>
      </c>
      <c r="T47" s="324">
        <f t="shared" si="50"/>
        <v>0</v>
      </c>
      <c r="U47" s="323">
        <f t="shared" si="50"/>
        <v>0</v>
      </c>
      <c r="V47" s="323">
        <f t="shared" si="50"/>
        <v>0</v>
      </c>
      <c r="W47" s="323">
        <f t="shared" si="50"/>
        <v>0</v>
      </c>
      <c r="X47" s="325">
        <f t="shared" si="50"/>
        <v>0</v>
      </c>
      <c r="Y47" s="324">
        <f t="shared" si="50"/>
        <v>0</v>
      </c>
      <c r="Z47" s="325">
        <f t="shared" si="50"/>
        <v>0</v>
      </c>
      <c r="AA47" s="325">
        <f t="shared" si="50"/>
        <v>0</v>
      </c>
      <c r="AB47" s="325">
        <f t="shared" si="50"/>
        <v>0</v>
      </c>
      <c r="AC47" s="325">
        <f t="shared" si="50"/>
        <v>0</v>
      </c>
      <c r="AD47" s="324">
        <f t="shared" si="50"/>
        <v>0</v>
      </c>
      <c r="AE47" s="324">
        <f t="shared" si="50"/>
        <v>0</v>
      </c>
      <c r="AF47" s="324">
        <f t="shared" si="50"/>
        <v>0</v>
      </c>
      <c r="AG47" s="324">
        <f t="shared" si="50"/>
        <v>0</v>
      </c>
    </row>
    <row r="48" spans="3:33" ht="14.25" customHeight="1">
      <c r="C48" s="108" t="str">
        <f t="shared" si="46"/>
        <v>Segment 5</v>
      </c>
      <c r="D48" s="12"/>
      <c r="E48" s="12"/>
      <c r="F48" s="323">
        <f t="shared" ref="F48:AG48" si="51">IFERROR(F38/F$33,"N/A")</f>
        <v>0</v>
      </c>
      <c r="G48" s="323">
        <f t="shared" si="51"/>
        <v>0</v>
      </c>
      <c r="H48" s="323">
        <f t="shared" si="51"/>
        <v>0</v>
      </c>
      <c r="I48" s="323">
        <f t="shared" si="51"/>
        <v>0</v>
      </c>
      <c r="J48" s="324">
        <f t="shared" si="51"/>
        <v>0</v>
      </c>
      <c r="K48" s="323">
        <f t="shared" si="51"/>
        <v>0</v>
      </c>
      <c r="L48" s="323">
        <f t="shared" si="51"/>
        <v>0</v>
      </c>
      <c r="M48" s="323">
        <f t="shared" si="51"/>
        <v>0</v>
      </c>
      <c r="N48" s="323">
        <f t="shared" si="51"/>
        <v>0</v>
      </c>
      <c r="O48" s="324">
        <f t="shared" si="51"/>
        <v>0</v>
      </c>
      <c r="P48" s="323">
        <f t="shared" si="51"/>
        <v>0</v>
      </c>
      <c r="Q48" s="323">
        <f t="shared" si="51"/>
        <v>0</v>
      </c>
      <c r="R48" s="323">
        <f t="shared" si="51"/>
        <v>0</v>
      </c>
      <c r="S48" s="323">
        <f t="shared" si="51"/>
        <v>0</v>
      </c>
      <c r="T48" s="324">
        <f t="shared" si="51"/>
        <v>0</v>
      </c>
      <c r="U48" s="323">
        <f t="shared" si="51"/>
        <v>0</v>
      </c>
      <c r="V48" s="323">
        <f t="shared" si="51"/>
        <v>0</v>
      </c>
      <c r="W48" s="323">
        <f t="shared" si="51"/>
        <v>0</v>
      </c>
      <c r="X48" s="325">
        <f t="shared" si="51"/>
        <v>0</v>
      </c>
      <c r="Y48" s="324">
        <f t="shared" si="51"/>
        <v>0</v>
      </c>
      <c r="Z48" s="325">
        <f t="shared" si="51"/>
        <v>0</v>
      </c>
      <c r="AA48" s="325">
        <f t="shared" si="51"/>
        <v>0</v>
      </c>
      <c r="AB48" s="325">
        <f t="shared" si="51"/>
        <v>0</v>
      </c>
      <c r="AC48" s="325">
        <f t="shared" si="51"/>
        <v>0</v>
      </c>
      <c r="AD48" s="324">
        <f t="shared" si="51"/>
        <v>0</v>
      </c>
      <c r="AE48" s="324">
        <f t="shared" si="51"/>
        <v>0</v>
      </c>
      <c r="AF48" s="324">
        <f t="shared" si="51"/>
        <v>0</v>
      </c>
      <c r="AG48" s="324">
        <f t="shared" si="51"/>
        <v>0</v>
      </c>
    </row>
    <row r="49" spans="3:33" ht="14.25" customHeight="1">
      <c r="C49" s="108" t="str">
        <f t="shared" si="46"/>
        <v>Segment 6</v>
      </c>
      <c r="D49" s="12"/>
      <c r="E49" s="12"/>
      <c r="F49" s="323">
        <f t="shared" ref="F49:AG49" si="52">IFERROR(F39/F$33,"N/A")</f>
        <v>0</v>
      </c>
      <c r="G49" s="323">
        <f t="shared" si="52"/>
        <v>0</v>
      </c>
      <c r="H49" s="323">
        <f t="shared" si="52"/>
        <v>0</v>
      </c>
      <c r="I49" s="323">
        <f t="shared" si="52"/>
        <v>0</v>
      </c>
      <c r="J49" s="324">
        <f t="shared" si="52"/>
        <v>0</v>
      </c>
      <c r="K49" s="323">
        <f t="shared" si="52"/>
        <v>0</v>
      </c>
      <c r="L49" s="323">
        <f t="shared" si="52"/>
        <v>0</v>
      </c>
      <c r="M49" s="323">
        <f t="shared" si="52"/>
        <v>0</v>
      </c>
      <c r="N49" s="323">
        <f t="shared" si="52"/>
        <v>0</v>
      </c>
      <c r="O49" s="324">
        <f t="shared" si="52"/>
        <v>0</v>
      </c>
      <c r="P49" s="323">
        <f t="shared" si="52"/>
        <v>0</v>
      </c>
      <c r="Q49" s="323">
        <f t="shared" si="52"/>
        <v>0</v>
      </c>
      <c r="R49" s="323">
        <f t="shared" si="52"/>
        <v>0</v>
      </c>
      <c r="S49" s="323">
        <f t="shared" si="52"/>
        <v>0</v>
      </c>
      <c r="T49" s="324">
        <f t="shared" si="52"/>
        <v>0</v>
      </c>
      <c r="U49" s="323">
        <f t="shared" si="52"/>
        <v>0</v>
      </c>
      <c r="V49" s="323">
        <f t="shared" si="52"/>
        <v>0</v>
      </c>
      <c r="W49" s="323">
        <f t="shared" si="52"/>
        <v>0</v>
      </c>
      <c r="X49" s="325">
        <f t="shared" si="52"/>
        <v>0</v>
      </c>
      <c r="Y49" s="324">
        <f t="shared" si="52"/>
        <v>0</v>
      </c>
      <c r="Z49" s="325">
        <f t="shared" si="52"/>
        <v>0</v>
      </c>
      <c r="AA49" s="325">
        <f t="shared" si="52"/>
        <v>0</v>
      </c>
      <c r="AB49" s="325">
        <f t="shared" si="52"/>
        <v>0</v>
      </c>
      <c r="AC49" s="325">
        <f t="shared" si="52"/>
        <v>0</v>
      </c>
      <c r="AD49" s="324">
        <f t="shared" si="52"/>
        <v>0</v>
      </c>
      <c r="AE49" s="324">
        <f t="shared" si="52"/>
        <v>0</v>
      </c>
      <c r="AF49" s="324">
        <f t="shared" si="52"/>
        <v>0</v>
      </c>
      <c r="AG49" s="324">
        <f t="shared" si="52"/>
        <v>0</v>
      </c>
    </row>
    <row r="50" spans="3:33" ht="14.25" customHeight="1">
      <c r="C50" s="108"/>
      <c r="D50" s="12"/>
      <c r="E50" s="12"/>
      <c r="F50" s="323"/>
      <c r="G50" s="323"/>
      <c r="H50" s="323"/>
      <c r="I50" s="323"/>
      <c r="J50" s="324"/>
      <c r="K50" s="323"/>
      <c r="L50" s="323"/>
      <c r="M50" s="323"/>
      <c r="N50" s="323"/>
      <c r="O50" s="324"/>
      <c r="P50" s="323"/>
      <c r="Q50" s="323"/>
      <c r="R50" s="323"/>
      <c r="S50" s="323"/>
      <c r="T50" s="324"/>
      <c r="U50" s="323"/>
      <c r="V50" s="323"/>
      <c r="W50" s="323"/>
      <c r="X50" s="325"/>
      <c r="Y50" s="324"/>
      <c r="Z50" s="325"/>
      <c r="AA50" s="325"/>
      <c r="AB50" s="325"/>
      <c r="AC50" s="325"/>
      <c r="AD50" s="324"/>
      <c r="AE50" s="324"/>
      <c r="AF50" s="324"/>
      <c r="AG50" s="324"/>
    </row>
    <row r="51" spans="3:33" ht="14.25" customHeight="1">
      <c r="C51" s="12" t="s">
        <v>459</v>
      </c>
      <c r="D51" s="12"/>
      <c r="E51" s="12"/>
      <c r="F51" s="263">
        <f t="shared" ref="F51:W51" si="53">SUM(F52:F57)</f>
        <v>0</v>
      </c>
      <c r="G51" s="263">
        <f t="shared" si="53"/>
        <v>0</v>
      </c>
      <c r="H51" s="263">
        <f t="shared" si="53"/>
        <v>0</v>
      </c>
      <c r="I51" s="263">
        <f t="shared" si="53"/>
        <v>0</v>
      </c>
      <c r="J51" s="233">
        <f t="shared" si="53"/>
        <v>0</v>
      </c>
      <c r="K51" s="263">
        <f t="shared" si="53"/>
        <v>0</v>
      </c>
      <c r="L51" s="263">
        <f t="shared" si="53"/>
        <v>0</v>
      </c>
      <c r="M51" s="263">
        <f t="shared" si="53"/>
        <v>0</v>
      </c>
      <c r="N51" s="263">
        <f t="shared" si="53"/>
        <v>0</v>
      </c>
      <c r="O51" s="233">
        <f t="shared" si="53"/>
        <v>0</v>
      </c>
      <c r="P51" s="263">
        <f t="shared" si="53"/>
        <v>0</v>
      </c>
      <c r="Q51" s="263">
        <f t="shared" si="53"/>
        <v>0</v>
      </c>
      <c r="R51" s="263">
        <f t="shared" si="53"/>
        <v>0</v>
      </c>
      <c r="S51" s="263">
        <f t="shared" si="53"/>
        <v>0</v>
      </c>
      <c r="T51" s="233">
        <f t="shared" si="53"/>
        <v>0</v>
      </c>
      <c r="U51" s="419">
        <f t="shared" si="53"/>
        <v>0</v>
      </c>
      <c r="V51" s="419">
        <f t="shared" si="53"/>
        <v>409</v>
      </c>
      <c r="W51" s="263">
        <f t="shared" si="53"/>
        <v>425</v>
      </c>
      <c r="X51" s="432">
        <f>Model!X76</f>
        <v>331.18750000000006</v>
      </c>
      <c r="Y51" s="233">
        <f>SUM(Y52:Y57)</f>
        <v>1165.1875</v>
      </c>
      <c r="Z51" s="432">
        <f>Model!Z76</f>
        <v>331.86891850000006</v>
      </c>
      <c r="AA51" s="432">
        <f>Model!AA76</f>
        <v>336.85146518625004</v>
      </c>
      <c r="AB51" s="432">
        <f>Model!AB76</f>
        <v>342.23237867969067</v>
      </c>
      <c r="AC51" s="432">
        <f>Model!AC76</f>
        <v>343.91086566405204</v>
      </c>
      <c r="AD51" s="233">
        <f>SUM(AD52:AD57)</f>
        <v>1354.8636280299929</v>
      </c>
      <c r="AE51" s="231">
        <f>Model!AE76</f>
        <v>1420.1551602334257</v>
      </c>
      <c r="AF51" s="231">
        <f>Model!AF76</f>
        <v>1472.4758318906811</v>
      </c>
      <c r="AG51" s="231">
        <f>Model!AG76</f>
        <v>1524.1208520524956</v>
      </c>
    </row>
    <row r="52" spans="3:33" ht="14.25" customHeight="1">
      <c r="C52" s="108" t="str">
        <f t="shared" ref="C52:C57" si="54">C16&amp;" D&amp;A"</f>
        <v>Home Improvement Retail D&amp;A</v>
      </c>
      <c r="D52" s="12"/>
      <c r="E52" s="12"/>
      <c r="F52" s="415">
        <v>0</v>
      </c>
      <c r="G52" s="415">
        <v>0</v>
      </c>
      <c r="H52" s="415">
        <v>0</v>
      </c>
      <c r="I52" s="415">
        <v>0</v>
      </c>
      <c r="J52" s="433">
        <f t="shared" ref="J52:J57" si="55">SUM(F52:I52)</f>
        <v>0</v>
      </c>
      <c r="K52" s="415">
        <v>0</v>
      </c>
      <c r="L52" s="415">
        <v>0</v>
      </c>
      <c r="M52" s="415">
        <v>0</v>
      </c>
      <c r="N52" s="415">
        <v>0</v>
      </c>
      <c r="O52" s="433">
        <f t="shared" ref="O52:O57" si="56">SUM(K52:N52)</f>
        <v>0</v>
      </c>
      <c r="P52" s="415">
        <v>0</v>
      </c>
      <c r="Q52" s="415">
        <v>0</v>
      </c>
      <c r="R52" s="415">
        <v>0</v>
      </c>
      <c r="S52" s="415">
        <v>0</v>
      </c>
      <c r="T52" s="433">
        <f t="shared" ref="T52:T57" si="57">SUM(P52:S52)</f>
        <v>0</v>
      </c>
      <c r="U52" s="415">
        <v>0</v>
      </c>
      <c r="V52" s="415">
        <v>409</v>
      </c>
      <c r="W52" s="415">
        <v>425</v>
      </c>
      <c r="X52" s="434">
        <f t="shared" ref="X52:X57" si="58">X62*X$51</f>
        <v>331.18750000000006</v>
      </c>
      <c r="Y52" s="416">
        <f t="shared" ref="Y52:Y57" si="59">SUM(U52:X52)</f>
        <v>1165.1875</v>
      </c>
      <c r="Z52" s="434">
        <f t="shared" ref="Z52:AC52" si="60">Z62*Z$51</f>
        <v>331.86891850000006</v>
      </c>
      <c r="AA52" s="434">
        <f t="shared" si="60"/>
        <v>336.85146518625004</v>
      </c>
      <c r="AB52" s="434">
        <f t="shared" si="60"/>
        <v>342.23237867969067</v>
      </c>
      <c r="AC52" s="434">
        <f t="shared" si="60"/>
        <v>343.91086566405204</v>
      </c>
      <c r="AD52" s="416">
        <f t="shared" ref="AD52:AD57" si="61">SUM(Z52:AC52)</f>
        <v>1354.8636280299929</v>
      </c>
      <c r="AE52" s="416">
        <f t="shared" ref="AE52:AG52" si="62">AE62*AE$51</f>
        <v>1420.1551602334257</v>
      </c>
      <c r="AF52" s="416">
        <f t="shared" si="62"/>
        <v>1472.4758318906811</v>
      </c>
      <c r="AG52" s="416">
        <f t="shared" si="62"/>
        <v>1524.1208520524956</v>
      </c>
    </row>
    <row r="53" spans="3:33" ht="14.25" customHeight="1">
      <c r="C53" s="108" t="str">
        <f t="shared" si="54"/>
        <v>Segment 2 D&amp;A</v>
      </c>
      <c r="D53" s="12"/>
      <c r="E53" s="12"/>
      <c r="F53" s="415">
        <v>0</v>
      </c>
      <c r="G53" s="415">
        <v>0</v>
      </c>
      <c r="H53" s="415">
        <v>0</v>
      </c>
      <c r="I53" s="415">
        <v>0</v>
      </c>
      <c r="J53" s="433">
        <f t="shared" si="55"/>
        <v>0</v>
      </c>
      <c r="K53" s="415">
        <v>0</v>
      </c>
      <c r="L53" s="415">
        <v>0</v>
      </c>
      <c r="M53" s="415">
        <v>0</v>
      </c>
      <c r="N53" s="415">
        <v>0</v>
      </c>
      <c r="O53" s="433">
        <f t="shared" si="56"/>
        <v>0</v>
      </c>
      <c r="P53" s="415">
        <v>0</v>
      </c>
      <c r="Q53" s="415">
        <v>0</v>
      </c>
      <c r="R53" s="415">
        <v>0</v>
      </c>
      <c r="S53" s="415">
        <v>0</v>
      </c>
      <c r="T53" s="433">
        <f t="shared" si="57"/>
        <v>0</v>
      </c>
      <c r="U53" s="415">
        <v>0</v>
      </c>
      <c r="V53" s="415">
        <v>0</v>
      </c>
      <c r="W53" s="415">
        <v>0</v>
      </c>
      <c r="X53" s="434">
        <f t="shared" si="58"/>
        <v>0</v>
      </c>
      <c r="Y53" s="416">
        <f t="shared" si="59"/>
        <v>0</v>
      </c>
      <c r="Z53" s="434">
        <f t="shared" ref="Z53:AC53" si="63">Z63*Z$51</f>
        <v>0</v>
      </c>
      <c r="AA53" s="434">
        <f t="shared" si="63"/>
        <v>0</v>
      </c>
      <c r="AB53" s="434">
        <f t="shared" si="63"/>
        <v>0</v>
      </c>
      <c r="AC53" s="434">
        <f t="shared" si="63"/>
        <v>0</v>
      </c>
      <c r="AD53" s="416">
        <f t="shared" si="61"/>
        <v>0</v>
      </c>
      <c r="AE53" s="416">
        <f t="shared" ref="AE53:AG53" si="64">AE63*AE$51</f>
        <v>0</v>
      </c>
      <c r="AF53" s="416">
        <f t="shared" si="64"/>
        <v>0</v>
      </c>
      <c r="AG53" s="416">
        <f t="shared" si="64"/>
        <v>0</v>
      </c>
    </row>
    <row r="54" spans="3:33" ht="14.25" customHeight="1">
      <c r="C54" s="108" t="str">
        <f t="shared" si="54"/>
        <v>Segment 3 D&amp;A</v>
      </c>
      <c r="D54" s="12"/>
      <c r="E54" s="12"/>
      <c r="F54" s="415">
        <v>0</v>
      </c>
      <c r="G54" s="415">
        <v>0</v>
      </c>
      <c r="H54" s="415">
        <v>0</v>
      </c>
      <c r="I54" s="415">
        <v>0</v>
      </c>
      <c r="J54" s="433">
        <f t="shared" si="55"/>
        <v>0</v>
      </c>
      <c r="K54" s="415">
        <v>0</v>
      </c>
      <c r="L54" s="415">
        <v>0</v>
      </c>
      <c r="M54" s="415">
        <v>0</v>
      </c>
      <c r="N54" s="415">
        <v>0</v>
      </c>
      <c r="O54" s="433">
        <f t="shared" si="56"/>
        <v>0</v>
      </c>
      <c r="P54" s="415">
        <v>0</v>
      </c>
      <c r="Q54" s="415">
        <v>0</v>
      </c>
      <c r="R54" s="415">
        <v>0</v>
      </c>
      <c r="S54" s="415">
        <v>0</v>
      </c>
      <c r="T54" s="433">
        <f t="shared" si="57"/>
        <v>0</v>
      </c>
      <c r="U54" s="415">
        <v>0</v>
      </c>
      <c r="V54" s="415">
        <v>0</v>
      </c>
      <c r="W54" s="415">
        <v>0</v>
      </c>
      <c r="X54" s="434">
        <f t="shared" si="58"/>
        <v>0</v>
      </c>
      <c r="Y54" s="416">
        <f t="shared" si="59"/>
        <v>0</v>
      </c>
      <c r="Z54" s="434">
        <f t="shared" ref="Z54:AC54" si="65">Z64*Z$51</f>
        <v>0</v>
      </c>
      <c r="AA54" s="434">
        <f t="shared" si="65"/>
        <v>0</v>
      </c>
      <c r="AB54" s="434">
        <f t="shared" si="65"/>
        <v>0</v>
      </c>
      <c r="AC54" s="434">
        <f t="shared" si="65"/>
        <v>0</v>
      </c>
      <c r="AD54" s="416">
        <f t="shared" si="61"/>
        <v>0</v>
      </c>
      <c r="AE54" s="416">
        <f t="shared" ref="AE54:AG54" si="66">AE64*AE$51</f>
        <v>0</v>
      </c>
      <c r="AF54" s="416">
        <f t="shared" si="66"/>
        <v>0</v>
      </c>
      <c r="AG54" s="416">
        <f t="shared" si="66"/>
        <v>0</v>
      </c>
    </row>
    <row r="55" spans="3:33" ht="14.25" customHeight="1">
      <c r="C55" s="108" t="str">
        <f t="shared" si="54"/>
        <v>Segment 4 D&amp;A</v>
      </c>
      <c r="D55" s="12"/>
      <c r="E55" s="12"/>
      <c r="F55" s="415">
        <v>0</v>
      </c>
      <c r="G55" s="415">
        <v>0</v>
      </c>
      <c r="H55" s="415">
        <v>0</v>
      </c>
      <c r="I55" s="415">
        <v>0</v>
      </c>
      <c r="J55" s="433">
        <f t="shared" si="55"/>
        <v>0</v>
      </c>
      <c r="K55" s="415">
        <v>0</v>
      </c>
      <c r="L55" s="415">
        <v>0</v>
      </c>
      <c r="M55" s="415">
        <v>0</v>
      </c>
      <c r="N55" s="415">
        <v>0</v>
      </c>
      <c r="O55" s="433">
        <f t="shared" si="56"/>
        <v>0</v>
      </c>
      <c r="P55" s="415">
        <v>0</v>
      </c>
      <c r="Q55" s="415">
        <v>0</v>
      </c>
      <c r="R55" s="415">
        <v>0</v>
      </c>
      <c r="S55" s="415">
        <v>0</v>
      </c>
      <c r="T55" s="433">
        <f t="shared" si="57"/>
        <v>0</v>
      </c>
      <c r="U55" s="415">
        <v>0</v>
      </c>
      <c r="V55" s="415">
        <v>0</v>
      </c>
      <c r="W55" s="415">
        <v>0</v>
      </c>
      <c r="X55" s="434">
        <f t="shared" si="58"/>
        <v>0</v>
      </c>
      <c r="Y55" s="416">
        <f t="shared" si="59"/>
        <v>0</v>
      </c>
      <c r="Z55" s="434">
        <f t="shared" ref="Z55:AC55" si="67">Z65*Z$51</f>
        <v>0</v>
      </c>
      <c r="AA55" s="434">
        <f t="shared" si="67"/>
        <v>0</v>
      </c>
      <c r="AB55" s="434">
        <f t="shared" si="67"/>
        <v>0</v>
      </c>
      <c r="AC55" s="434">
        <f t="shared" si="67"/>
        <v>0</v>
      </c>
      <c r="AD55" s="416">
        <f t="shared" si="61"/>
        <v>0</v>
      </c>
      <c r="AE55" s="416">
        <f t="shared" ref="AE55:AG55" si="68">AE65*AE$51</f>
        <v>0</v>
      </c>
      <c r="AF55" s="416">
        <f t="shared" si="68"/>
        <v>0</v>
      </c>
      <c r="AG55" s="416">
        <f t="shared" si="68"/>
        <v>0</v>
      </c>
    </row>
    <row r="56" spans="3:33" ht="14.25" customHeight="1" outlineLevel="1">
      <c r="C56" s="108" t="str">
        <f t="shared" si="54"/>
        <v>Segment 5 D&amp;A</v>
      </c>
      <c r="D56" s="12"/>
      <c r="E56" s="12"/>
      <c r="F56" s="415">
        <v>0</v>
      </c>
      <c r="G56" s="415">
        <v>0</v>
      </c>
      <c r="H56" s="415">
        <v>0</v>
      </c>
      <c r="I56" s="415">
        <v>0</v>
      </c>
      <c r="J56" s="433">
        <f t="shared" si="55"/>
        <v>0</v>
      </c>
      <c r="K56" s="415">
        <v>0</v>
      </c>
      <c r="L56" s="415">
        <v>0</v>
      </c>
      <c r="M56" s="415">
        <v>0</v>
      </c>
      <c r="N56" s="415">
        <v>0</v>
      </c>
      <c r="O56" s="433">
        <f t="shared" si="56"/>
        <v>0</v>
      </c>
      <c r="P56" s="415">
        <v>0</v>
      </c>
      <c r="Q56" s="415">
        <v>0</v>
      </c>
      <c r="R56" s="415">
        <v>0</v>
      </c>
      <c r="S56" s="415">
        <v>0</v>
      </c>
      <c r="T56" s="433">
        <f t="shared" si="57"/>
        <v>0</v>
      </c>
      <c r="U56" s="415">
        <v>0</v>
      </c>
      <c r="V56" s="415">
        <v>0</v>
      </c>
      <c r="W56" s="415">
        <v>0</v>
      </c>
      <c r="X56" s="434">
        <f t="shared" si="58"/>
        <v>0</v>
      </c>
      <c r="Y56" s="416">
        <f t="shared" si="59"/>
        <v>0</v>
      </c>
      <c r="Z56" s="434">
        <f t="shared" ref="Z56:AC56" si="69">Z66*Z$51</f>
        <v>0</v>
      </c>
      <c r="AA56" s="434">
        <f t="shared" si="69"/>
        <v>0</v>
      </c>
      <c r="AB56" s="434">
        <f t="shared" si="69"/>
        <v>0</v>
      </c>
      <c r="AC56" s="434">
        <f t="shared" si="69"/>
        <v>0</v>
      </c>
      <c r="AD56" s="416">
        <f t="shared" si="61"/>
        <v>0</v>
      </c>
      <c r="AE56" s="416">
        <f t="shared" ref="AE56:AG56" si="70">AE66*AE$51</f>
        <v>0</v>
      </c>
      <c r="AF56" s="416">
        <f t="shared" si="70"/>
        <v>0</v>
      </c>
      <c r="AG56" s="416">
        <f t="shared" si="70"/>
        <v>0</v>
      </c>
    </row>
    <row r="57" spans="3:33" ht="14.25" customHeight="1" outlineLevel="1">
      <c r="C57" s="108" t="str">
        <f t="shared" si="54"/>
        <v>Segment 6 D&amp;A</v>
      </c>
      <c r="D57" s="12"/>
      <c r="E57" s="12"/>
      <c r="F57" s="415">
        <v>0</v>
      </c>
      <c r="G57" s="415">
        <v>0</v>
      </c>
      <c r="H57" s="415">
        <v>0</v>
      </c>
      <c r="I57" s="415">
        <v>0</v>
      </c>
      <c r="J57" s="433">
        <f t="shared" si="55"/>
        <v>0</v>
      </c>
      <c r="K57" s="415">
        <v>0</v>
      </c>
      <c r="L57" s="415">
        <v>0</v>
      </c>
      <c r="M57" s="415">
        <v>0</v>
      </c>
      <c r="N57" s="415">
        <v>0</v>
      </c>
      <c r="O57" s="433">
        <f t="shared" si="56"/>
        <v>0</v>
      </c>
      <c r="P57" s="415">
        <v>0</v>
      </c>
      <c r="Q57" s="415">
        <v>0</v>
      </c>
      <c r="R57" s="415">
        <v>0</v>
      </c>
      <c r="S57" s="415">
        <v>0</v>
      </c>
      <c r="T57" s="433">
        <f t="shared" si="57"/>
        <v>0</v>
      </c>
      <c r="U57" s="415">
        <v>0</v>
      </c>
      <c r="V57" s="415">
        <v>0</v>
      </c>
      <c r="W57" s="415">
        <v>0</v>
      </c>
      <c r="X57" s="434">
        <f t="shared" si="58"/>
        <v>0</v>
      </c>
      <c r="Y57" s="416">
        <f t="shared" si="59"/>
        <v>0</v>
      </c>
      <c r="Z57" s="434">
        <f t="shared" ref="Z57:AC57" si="71">Z67*Z$51</f>
        <v>0</v>
      </c>
      <c r="AA57" s="434">
        <f t="shared" si="71"/>
        <v>0</v>
      </c>
      <c r="AB57" s="434">
        <f t="shared" si="71"/>
        <v>0</v>
      </c>
      <c r="AC57" s="434">
        <f t="shared" si="71"/>
        <v>0</v>
      </c>
      <c r="AD57" s="416">
        <f t="shared" si="61"/>
        <v>0</v>
      </c>
      <c r="AE57" s="416">
        <f t="shared" ref="AE57:AG57" si="72">AE67*AE$51</f>
        <v>0</v>
      </c>
      <c r="AF57" s="416">
        <f t="shared" si="72"/>
        <v>0</v>
      </c>
      <c r="AG57" s="416">
        <f t="shared" si="72"/>
        <v>0</v>
      </c>
    </row>
    <row r="58" spans="3:33" ht="14.25" customHeight="1">
      <c r="C58" s="108"/>
      <c r="D58" s="12"/>
      <c r="E58" s="12"/>
      <c r="F58" s="419"/>
      <c r="G58" s="419"/>
      <c r="H58" s="419"/>
      <c r="I58" s="419"/>
      <c r="J58" s="424"/>
      <c r="K58" s="419"/>
      <c r="L58" s="419"/>
      <c r="M58" s="419"/>
      <c r="N58" s="419"/>
      <c r="O58" s="416"/>
      <c r="P58" s="419"/>
      <c r="Q58" s="419"/>
      <c r="R58" s="419"/>
      <c r="S58" s="429"/>
      <c r="T58" s="324"/>
      <c r="U58" s="429"/>
      <c r="V58" s="265"/>
      <c r="W58" s="419"/>
      <c r="X58" s="426"/>
      <c r="Y58" s="416"/>
      <c r="Z58" s="431"/>
      <c r="AA58" s="431"/>
      <c r="AB58" s="431"/>
      <c r="AC58" s="325"/>
      <c r="AD58" s="324"/>
      <c r="AE58" s="324"/>
      <c r="AF58" s="324"/>
      <c r="AG58" s="324"/>
    </row>
    <row r="59" spans="3:33" ht="14.25" customHeight="1">
      <c r="C59" s="89" t="s">
        <v>460</v>
      </c>
      <c r="D59" s="12"/>
      <c r="E59" s="12"/>
      <c r="F59" s="435">
        <f>F51-Model!F60</f>
        <v>-90.334999999999994</v>
      </c>
      <c r="G59" s="435">
        <f>G51-Model!G60</f>
        <v>-89.385000000000005</v>
      </c>
      <c r="H59" s="435">
        <f>H51-Model!H60</f>
        <v>-90.66</v>
      </c>
      <c r="I59" s="435">
        <f>I51-Model!I60</f>
        <v>-86.519999999999982</v>
      </c>
      <c r="J59" s="430">
        <f>J51-Model!J60</f>
        <v>-356.9</v>
      </c>
      <c r="K59" s="435">
        <f>K51-Model!K60</f>
        <v>-87.233999999999995</v>
      </c>
      <c r="L59" s="435">
        <f>L51-Model!L60</f>
        <v>-81.227000000000004</v>
      </c>
      <c r="M59" s="435">
        <f>M51-Model!M60</f>
        <v>-80.914000000000001</v>
      </c>
      <c r="N59" s="435">
        <f>N51-Model!N60</f>
        <v>-79.539000000000001</v>
      </c>
      <c r="O59" s="430">
        <f>O51-Model!O60</f>
        <v>-328.91399999999999</v>
      </c>
      <c r="P59" s="435">
        <f>P51-Model!P60</f>
        <v>-80.066999999999993</v>
      </c>
      <c r="Q59" s="435">
        <f>Q51-Model!Q60</f>
        <v>-80.013000000000005</v>
      </c>
      <c r="R59" s="435">
        <f>R51-Model!R60</f>
        <v>-87.325999999999993</v>
      </c>
      <c r="S59" s="435">
        <f>S51-Model!S60</f>
        <v>-85.983000000000004</v>
      </c>
      <c r="T59" s="430">
        <f>T51-Model!T60</f>
        <v>-333.38900000000001</v>
      </c>
      <c r="U59" s="435">
        <f>U51-Model!U60</f>
        <v>-98.575000000000003</v>
      </c>
      <c r="V59" s="435">
        <f>V51-Model!V60</f>
        <v>0</v>
      </c>
      <c r="W59" s="435">
        <f>W51-Model!W60</f>
        <v>0</v>
      </c>
      <c r="X59" s="436">
        <f t="shared" ref="X59:AG59" si="73">X51-SUM(X52:X57)</f>
        <v>0</v>
      </c>
      <c r="Y59" s="430">
        <f t="shared" si="73"/>
        <v>0</v>
      </c>
      <c r="Z59" s="436">
        <f t="shared" si="73"/>
        <v>0</v>
      </c>
      <c r="AA59" s="436">
        <f t="shared" si="73"/>
        <v>0</v>
      </c>
      <c r="AB59" s="436">
        <f t="shared" si="73"/>
        <v>0</v>
      </c>
      <c r="AC59" s="436">
        <f t="shared" si="73"/>
        <v>0</v>
      </c>
      <c r="AD59" s="430">
        <f t="shared" si="73"/>
        <v>0</v>
      </c>
      <c r="AE59" s="430">
        <f t="shared" si="73"/>
        <v>0</v>
      </c>
      <c r="AF59" s="430">
        <f t="shared" si="73"/>
        <v>0</v>
      </c>
      <c r="AG59" s="430">
        <f t="shared" si="73"/>
        <v>0</v>
      </c>
    </row>
    <row r="60" spans="3:33" ht="14.25" customHeight="1">
      <c r="C60" s="108"/>
      <c r="D60" s="12"/>
      <c r="E60" s="12"/>
      <c r="F60" s="419"/>
      <c r="G60" s="419"/>
      <c r="H60" s="419"/>
      <c r="I60" s="419"/>
      <c r="J60" s="424"/>
      <c r="K60" s="419"/>
      <c r="L60" s="419"/>
      <c r="M60" s="419"/>
      <c r="N60" s="419"/>
      <c r="O60" s="416"/>
      <c r="P60" s="419"/>
      <c r="Q60" s="419"/>
      <c r="R60" s="419"/>
      <c r="S60" s="429"/>
      <c r="T60" s="324"/>
      <c r="U60" s="429"/>
      <c r="V60" s="265"/>
      <c r="W60" s="419"/>
      <c r="X60" s="426"/>
      <c r="Y60" s="416"/>
      <c r="Z60" s="431"/>
      <c r="AA60" s="431"/>
      <c r="AB60" s="431"/>
      <c r="AC60" s="325"/>
      <c r="AD60" s="324"/>
      <c r="AE60" s="324"/>
      <c r="AF60" s="324"/>
      <c r="AG60" s="324"/>
    </row>
    <row r="61" spans="3:33" ht="15" customHeight="1">
      <c r="C61" s="5" t="s">
        <v>461</v>
      </c>
      <c r="D61" s="12"/>
      <c r="E61" s="12"/>
      <c r="F61" s="323"/>
      <c r="G61" s="323"/>
      <c r="H61" s="323"/>
      <c r="I61" s="323"/>
      <c r="J61" s="233"/>
      <c r="K61" s="263"/>
      <c r="L61" s="263"/>
      <c r="M61" s="263"/>
      <c r="N61" s="263"/>
      <c r="O61" s="233"/>
      <c r="P61" s="263"/>
      <c r="Q61" s="263"/>
      <c r="R61" s="263"/>
      <c r="S61" s="263"/>
      <c r="T61" s="233"/>
      <c r="U61" s="419"/>
      <c r="V61" s="419"/>
      <c r="W61" s="263"/>
      <c r="X61" s="232"/>
      <c r="Y61" s="233"/>
      <c r="Z61" s="232"/>
      <c r="AA61" s="232"/>
      <c r="AB61" s="232"/>
      <c r="AC61" s="232"/>
      <c r="AD61" s="233"/>
      <c r="AE61" s="233"/>
      <c r="AF61" s="233"/>
      <c r="AG61" s="233"/>
    </row>
    <row r="62" spans="3:33" ht="15" customHeight="1">
      <c r="C62" s="437" t="str">
        <f t="shared" ref="C62:C67" si="74">C16</f>
        <v>Home Improvement Retail</v>
      </c>
      <c r="D62" s="12"/>
      <c r="E62" s="12"/>
      <c r="F62" s="323" t="str">
        <f t="shared" ref="F62:W62" si="75">IFERROR(F52/F$51,"N/A")</f>
        <v>N/A</v>
      </c>
      <c r="G62" s="323" t="str">
        <f t="shared" si="75"/>
        <v>N/A</v>
      </c>
      <c r="H62" s="323" t="str">
        <f t="shared" si="75"/>
        <v>N/A</v>
      </c>
      <c r="I62" s="323" t="str">
        <f t="shared" si="75"/>
        <v>N/A</v>
      </c>
      <c r="J62" s="324" t="str">
        <f t="shared" si="75"/>
        <v>N/A</v>
      </c>
      <c r="K62" s="323" t="str">
        <f t="shared" si="75"/>
        <v>N/A</v>
      </c>
      <c r="L62" s="323" t="str">
        <f t="shared" si="75"/>
        <v>N/A</v>
      </c>
      <c r="M62" s="323" t="str">
        <f t="shared" si="75"/>
        <v>N/A</v>
      </c>
      <c r="N62" s="323" t="str">
        <f t="shared" si="75"/>
        <v>N/A</v>
      </c>
      <c r="O62" s="324" t="str">
        <f t="shared" si="75"/>
        <v>N/A</v>
      </c>
      <c r="P62" s="323" t="str">
        <f t="shared" si="75"/>
        <v>N/A</v>
      </c>
      <c r="Q62" s="323" t="str">
        <f t="shared" si="75"/>
        <v>N/A</v>
      </c>
      <c r="R62" s="323" t="str">
        <f t="shared" si="75"/>
        <v>N/A</v>
      </c>
      <c r="S62" s="323" t="str">
        <f t="shared" si="75"/>
        <v>N/A</v>
      </c>
      <c r="T62" s="324" t="str">
        <f t="shared" si="75"/>
        <v>N/A</v>
      </c>
      <c r="U62" s="323" t="str">
        <f t="shared" si="75"/>
        <v>N/A</v>
      </c>
      <c r="V62" s="323">
        <f t="shared" si="75"/>
        <v>1</v>
      </c>
      <c r="W62" s="323">
        <f t="shared" si="75"/>
        <v>1</v>
      </c>
      <c r="X62" s="326">
        <f>Drivers!X78</f>
        <v>1</v>
      </c>
      <c r="Y62" s="438">
        <f t="shared" ref="Y62:Y67" si="76">Y52/Y$51</f>
        <v>1</v>
      </c>
      <c r="Z62" s="326">
        <f>Drivers!Z78</f>
        <v>1</v>
      </c>
      <c r="AA62" s="326">
        <f>Drivers!AA78</f>
        <v>1</v>
      </c>
      <c r="AB62" s="326">
        <f>Drivers!AB78</f>
        <v>1</v>
      </c>
      <c r="AC62" s="326">
        <f>Drivers!AC78</f>
        <v>1</v>
      </c>
      <c r="AD62" s="438">
        <f t="shared" ref="AD62:AD67" si="77">AD52/AD$51</f>
        <v>1</v>
      </c>
      <c r="AE62" s="327">
        <f>Drivers!AE78</f>
        <v>1</v>
      </c>
      <c r="AF62" s="327">
        <f>Drivers!AF78</f>
        <v>1</v>
      </c>
      <c r="AG62" s="327">
        <f>Drivers!AG78</f>
        <v>1</v>
      </c>
    </row>
    <row r="63" spans="3:33" ht="14.25" customHeight="1">
      <c r="C63" s="437" t="str">
        <f t="shared" si="74"/>
        <v>Segment 2</v>
      </c>
      <c r="D63" s="12"/>
      <c r="E63" s="12"/>
      <c r="F63" s="323" t="str">
        <f t="shared" ref="F63:W63" si="78">IFERROR(F53/F$51,"N/A")</f>
        <v>N/A</v>
      </c>
      <c r="G63" s="323" t="str">
        <f t="shared" si="78"/>
        <v>N/A</v>
      </c>
      <c r="H63" s="323" t="str">
        <f t="shared" si="78"/>
        <v>N/A</v>
      </c>
      <c r="I63" s="323" t="str">
        <f t="shared" si="78"/>
        <v>N/A</v>
      </c>
      <c r="J63" s="324" t="str">
        <f t="shared" si="78"/>
        <v>N/A</v>
      </c>
      <c r="K63" s="323" t="str">
        <f t="shared" si="78"/>
        <v>N/A</v>
      </c>
      <c r="L63" s="323" t="str">
        <f t="shared" si="78"/>
        <v>N/A</v>
      </c>
      <c r="M63" s="323" t="str">
        <f t="shared" si="78"/>
        <v>N/A</v>
      </c>
      <c r="N63" s="323" t="str">
        <f t="shared" si="78"/>
        <v>N/A</v>
      </c>
      <c r="O63" s="324" t="str">
        <f t="shared" si="78"/>
        <v>N/A</v>
      </c>
      <c r="P63" s="323" t="str">
        <f t="shared" si="78"/>
        <v>N/A</v>
      </c>
      <c r="Q63" s="323" t="str">
        <f t="shared" si="78"/>
        <v>N/A</v>
      </c>
      <c r="R63" s="323" t="str">
        <f t="shared" si="78"/>
        <v>N/A</v>
      </c>
      <c r="S63" s="323" t="str">
        <f t="shared" si="78"/>
        <v>N/A</v>
      </c>
      <c r="T63" s="324" t="str">
        <f t="shared" si="78"/>
        <v>N/A</v>
      </c>
      <c r="U63" s="323" t="str">
        <f t="shared" si="78"/>
        <v>N/A</v>
      </c>
      <c r="V63" s="323">
        <f t="shared" si="78"/>
        <v>0</v>
      </c>
      <c r="W63" s="323">
        <f t="shared" si="78"/>
        <v>0</v>
      </c>
      <c r="X63" s="326">
        <f>Drivers!X79</f>
        <v>0</v>
      </c>
      <c r="Y63" s="438">
        <f t="shared" si="76"/>
        <v>0</v>
      </c>
      <c r="Z63" s="326">
        <f>Drivers!Z79</f>
        <v>0</v>
      </c>
      <c r="AA63" s="326">
        <f>Drivers!AA79</f>
        <v>0</v>
      </c>
      <c r="AB63" s="326">
        <f>Drivers!AB79</f>
        <v>0</v>
      </c>
      <c r="AC63" s="326">
        <f>Drivers!AC79</f>
        <v>0</v>
      </c>
      <c r="AD63" s="438">
        <f t="shared" si="77"/>
        <v>0</v>
      </c>
      <c r="AE63" s="327">
        <f>Drivers!AE79</f>
        <v>0</v>
      </c>
      <c r="AF63" s="327">
        <f>Drivers!AF79</f>
        <v>0</v>
      </c>
      <c r="AG63" s="327">
        <f>Drivers!AG79</f>
        <v>0</v>
      </c>
    </row>
    <row r="64" spans="3:33" ht="14.25" customHeight="1">
      <c r="C64" s="437" t="str">
        <f t="shared" si="74"/>
        <v>Segment 3</v>
      </c>
      <c r="D64" s="12"/>
      <c r="E64" s="12"/>
      <c r="F64" s="323" t="str">
        <f t="shared" ref="F64:W64" si="79">IFERROR(F54/F$51,"N/A")</f>
        <v>N/A</v>
      </c>
      <c r="G64" s="323" t="str">
        <f t="shared" si="79"/>
        <v>N/A</v>
      </c>
      <c r="H64" s="323" t="str">
        <f t="shared" si="79"/>
        <v>N/A</v>
      </c>
      <c r="I64" s="323" t="str">
        <f t="shared" si="79"/>
        <v>N/A</v>
      </c>
      <c r="J64" s="324" t="str">
        <f t="shared" si="79"/>
        <v>N/A</v>
      </c>
      <c r="K64" s="323" t="str">
        <f t="shared" si="79"/>
        <v>N/A</v>
      </c>
      <c r="L64" s="323" t="str">
        <f t="shared" si="79"/>
        <v>N/A</v>
      </c>
      <c r="M64" s="323" t="str">
        <f t="shared" si="79"/>
        <v>N/A</v>
      </c>
      <c r="N64" s="323" t="str">
        <f t="shared" si="79"/>
        <v>N/A</v>
      </c>
      <c r="O64" s="324" t="str">
        <f t="shared" si="79"/>
        <v>N/A</v>
      </c>
      <c r="P64" s="323" t="str">
        <f t="shared" si="79"/>
        <v>N/A</v>
      </c>
      <c r="Q64" s="323" t="str">
        <f t="shared" si="79"/>
        <v>N/A</v>
      </c>
      <c r="R64" s="323" t="str">
        <f t="shared" si="79"/>
        <v>N/A</v>
      </c>
      <c r="S64" s="323" t="str">
        <f t="shared" si="79"/>
        <v>N/A</v>
      </c>
      <c r="T64" s="324" t="str">
        <f t="shared" si="79"/>
        <v>N/A</v>
      </c>
      <c r="U64" s="323" t="str">
        <f t="shared" si="79"/>
        <v>N/A</v>
      </c>
      <c r="V64" s="323">
        <f t="shared" si="79"/>
        <v>0</v>
      </c>
      <c r="W64" s="323">
        <f t="shared" si="79"/>
        <v>0</v>
      </c>
      <c r="X64" s="326">
        <f>Drivers!X80</f>
        <v>0</v>
      </c>
      <c r="Y64" s="438">
        <f t="shared" si="76"/>
        <v>0</v>
      </c>
      <c r="Z64" s="326">
        <f>Drivers!Z80</f>
        <v>0</v>
      </c>
      <c r="AA64" s="326">
        <f>Drivers!AA80</f>
        <v>0</v>
      </c>
      <c r="AB64" s="326">
        <f>Drivers!AB80</f>
        <v>0</v>
      </c>
      <c r="AC64" s="326">
        <f>Drivers!AC80</f>
        <v>0</v>
      </c>
      <c r="AD64" s="438">
        <f t="shared" si="77"/>
        <v>0</v>
      </c>
      <c r="AE64" s="327">
        <f>Drivers!AE80</f>
        <v>0</v>
      </c>
      <c r="AF64" s="327">
        <f>Drivers!AF80</f>
        <v>0</v>
      </c>
      <c r="AG64" s="327">
        <f>Drivers!AG80</f>
        <v>0</v>
      </c>
    </row>
    <row r="65" spans="3:33" ht="14.25" customHeight="1">
      <c r="C65" s="437" t="str">
        <f t="shared" si="74"/>
        <v>Segment 4</v>
      </c>
      <c r="D65" s="12"/>
      <c r="E65" s="12"/>
      <c r="F65" s="323" t="str">
        <f t="shared" ref="F65:W65" si="80">IFERROR(F55/F$51,"N/A")</f>
        <v>N/A</v>
      </c>
      <c r="G65" s="323" t="str">
        <f t="shared" si="80"/>
        <v>N/A</v>
      </c>
      <c r="H65" s="323" t="str">
        <f t="shared" si="80"/>
        <v>N/A</v>
      </c>
      <c r="I65" s="323" t="str">
        <f t="shared" si="80"/>
        <v>N/A</v>
      </c>
      <c r="J65" s="324" t="str">
        <f t="shared" si="80"/>
        <v>N/A</v>
      </c>
      <c r="K65" s="323" t="str">
        <f t="shared" si="80"/>
        <v>N/A</v>
      </c>
      <c r="L65" s="323" t="str">
        <f t="shared" si="80"/>
        <v>N/A</v>
      </c>
      <c r="M65" s="323" t="str">
        <f t="shared" si="80"/>
        <v>N/A</v>
      </c>
      <c r="N65" s="323" t="str">
        <f t="shared" si="80"/>
        <v>N/A</v>
      </c>
      <c r="O65" s="324" t="str">
        <f t="shared" si="80"/>
        <v>N/A</v>
      </c>
      <c r="P65" s="323" t="str">
        <f t="shared" si="80"/>
        <v>N/A</v>
      </c>
      <c r="Q65" s="323" t="str">
        <f t="shared" si="80"/>
        <v>N/A</v>
      </c>
      <c r="R65" s="323" t="str">
        <f t="shared" si="80"/>
        <v>N/A</v>
      </c>
      <c r="S65" s="323" t="str">
        <f t="shared" si="80"/>
        <v>N/A</v>
      </c>
      <c r="T65" s="324" t="str">
        <f t="shared" si="80"/>
        <v>N/A</v>
      </c>
      <c r="U65" s="323" t="str">
        <f t="shared" si="80"/>
        <v>N/A</v>
      </c>
      <c r="V65" s="323">
        <f t="shared" si="80"/>
        <v>0</v>
      </c>
      <c r="W65" s="323">
        <f t="shared" si="80"/>
        <v>0</v>
      </c>
      <c r="X65" s="326">
        <f>Drivers!X81</f>
        <v>0</v>
      </c>
      <c r="Y65" s="438">
        <f t="shared" si="76"/>
        <v>0</v>
      </c>
      <c r="Z65" s="326">
        <f>Drivers!Z81</f>
        <v>0</v>
      </c>
      <c r="AA65" s="326">
        <f>Drivers!AA81</f>
        <v>0</v>
      </c>
      <c r="AB65" s="326">
        <f>Drivers!AB81</f>
        <v>0</v>
      </c>
      <c r="AC65" s="326">
        <f>Drivers!AC81</f>
        <v>0</v>
      </c>
      <c r="AD65" s="438">
        <f t="shared" si="77"/>
        <v>0</v>
      </c>
      <c r="AE65" s="327">
        <f>Drivers!AE81</f>
        <v>0</v>
      </c>
      <c r="AF65" s="327">
        <f>Drivers!AF81</f>
        <v>0</v>
      </c>
      <c r="AG65" s="327">
        <f>Drivers!AG81</f>
        <v>0</v>
      </c>
    </row>
    <row r="66" spans="3:33" ht="14.25" customHeight="1" outlineLevel="1">
      <c r="C66" s="437" t="str">
        <f t="shared" si="74"/>
        <v>Segment 5</v>
      </c>
      <c r="D66" s="12"/>
      <c r="E66" s="12"/>
      <c r="F66" s="323" t="str">
        <f t="shared" ref="F66:W66" si="81">IFERROR(F56/F$51,"N/A")</f>
        <v>N/A</v>
      </c>
      <c r="G66" s="323" t="str">
        <f t="shared" si="81"/>
        <v>N/A</v>
      </c>
      <c r="H66" s="323" t="str">
        <f t="shared" si="81"/>
        <v>N/A</v>
      </c>
      <c r="I66" s="323" t="str">
        <f t="shared" si="81"/>
        <v>N/A</v>
      </c>
      <c r="J66" s="324" t="str">
        <f t="shared" si="81"/>
        <v>N/A</v>
      </c>
      <c r="K66" s="323" t="str">
        <f t="shared" si="81"/>
        <v>N/A</v>
      </c>
      <c r="L66" s="323" t="str">
        <f t="shared" si="81"/>
        <v>N/A</v>
      </c>
      <c r="M66" s="323" t="str">
        <f t="shared" si="81"/>
        <v>N/A</v>
      </c>
      <c r="N66" s="323" t="str">
        <f t="shared" si="81"/>
        <v>N/A</v>
      </c>
      <c r="O66" s="324" t="str">
        <f t="shared" si="81"/>
        <v>N/A</v>
      </c>
      <c r="P66" s="323" t="str">
        <f t="shared" si="81"/>
        <v>N/A</v>
      </c>
      <c r="Q66" s="323" t="str">
        <f t="shared" si="81"/>
        <v>N/A</v>
      </c>
      <c r="R66" s="323" t="str">
        <f t="shared" si="81"/>
        <v>N/A</v>
      </c>
      <c r="S66" s="323" t="str">
        <f t="shared" si="81"/>
        <v>N/A</v>
      </c>
      <c r="T66" s="324" t="str">
        <f t="shared" si="81"/>
        <v>N/A</v>
      </c>
      <c r="U66" s="323" t="str">
        <f t="shared" si="81"/>
        <v>N/A</v>
      </c>
      <c r="V66" s="323">
        <f t="shared" si="81"/>
        <v>0</v>
      </c>
      <c r="W66" s="323">
        <f t="shared" si="81"/>
        <v>0</v>
      </c>
      <c r="X66" s="326">
        <f>Drivers!X82</f>
        <v>0</v>
      </c>
      <c r="Y66" s="438">
        <f t="shared" si="76"/>
        <v>0</v>
      </c>
      <c r="Z66" s="326">
        <f>Drivers!Z82</f>
        <v>0</v>
      </c>
      <c r="AA66" s="326">
        <f>Drivers!AA82</f>
        <v>0</v>
      </c>
      <c r="AB66" s="326">
        <f>Drivers!AB82</f>
        <v>0</v>
      </c>
      <c r="AC66" s="326">
        <f>Drivers!AC82</f>
        <v>0</v>
      </c>
      <c r="AD66" s="438">
        <f t="shared" si="77"/>
        <v>0</v>
      </c>
      <c r="AE66" s="327">
        <f>Drivers!AE82</f>
        <v>0</v>
      </c>
      <c r="AF66" s="327">
        <f>Drivers!AF82</f>
        <v>0</v>
      </c>
      <c r="AG66" s="327">
        <f>Drivers!AG82</f>
        <v>0</v>
      </c>
    </row>
    <row r="67" spans="3:33" ht="14.25" customHeight="1" outlineLevel="1">
      <c r="C67" s="437" t="str">
        <f t="shared" si="74"/>
        <v>Segment 6</v>
      </c>
      <c r="D67" s="12"/>
      <c r="E67" s="12"/>
      <c r="F67" s="323" t="str">
        <f t="shared" ref="F67:W67" si="82">IFERROR(F57/F$51,"N/A")</f>
        <v>N/A</v>
      </c>
      <c r="G67" s="323" t="str">
        <f t="shared" si="82"/>
        <v>N/A</v>
      </c>
      <c r="H67" s="323" t="str">
        <f t="shared" si="82"/>
        <v>N/A</v>
      </c>
      <c r="I67" s="323" t="str">
        <f t="shared" si="82"/>
        <v>N/A</v>
      </c>
      <c r="J67" s="324" t="str">
        <f t="shared" si="82"/>
        <v>N/A</v>
      </c>
      <c r="K67" s="323" t="str">
        <f t="shared" si="82"/>
        <v>N/A</v>
      </c>
      <c r="L67" s="323" t="str">
        <f t="shared" si="82"/>
        <v>N/A</v>
      </c>
      <c r="M67" s="323" t="str">
        <f t="shared" si="82"/>
        <v>N/A</v>
      </c>
      <c r="N67" s="323" t="str">
        <f t="shared" si="82"/>
        <v>N/A</v>
      </c>
      <c r="O67" s="324" t="str">
        <f t="shared" si="82"/>
        <v>N/A</v>
      </c>
      <c r="P67" s="323" t="str">
        <f t="shared" si="82"/>
        <v>N/A</v>
      </c>
      <c r="Q67" s="323" t="str">
        <f t="shared" si="82"/>
        <v>N/A</v>
      </c>
      <c r="R67" s="323" t="str">
        <f t="shared" si="82"/>
        <v>N/A</v>
      </c>
      <c r="S67" s="323" t="str">
        <f t="shared" si="82"/>
        <v>N/A</v>
      </c>
      <c r="T67" s="324" t="str">
        <f t="shared" si="82"/>
        <v>N/A</v>
      </c>
      <c r="U67" s="323" t="str">
        <f t="shared" si="82"/>
        <v>N/A</v>
      </c>
      <c r="V67" s="323">
        <f t="shared" si="82"/>
        <v>0</v>
      </c>
      <c r="W67" s="323">
        <f t="shared" si="82"/>
        <v>0</v>
      </c>
      <c r="X67" s="326">
        <f>Drivers!X83</f>
        <v>0</v>
      </c>
      <c r="Y67" s="438">
        <f t="shared" si="76"/>
        <v>0</v>
      </c>
      <c r="Z67" s="326">
        <f>Drivers!Z83</f>
        <v>0</v>
      </c>
      <c r="AA67" s="326">
        <f>Drivers!AA83</f>
        <v>0</v>
      </c>
      <c r="AB67" s="326">
        <f>Drivers!AB83</f>
        <v>0</v>
      </c>
      <c r="AC67" s="326">
        <f>Drivers!AC83</f>
        <v>0</v>
      </c>
      <c r="AD67" s="438">
        <f t="shared" si="77"/>
        <v>0</v>
      </c>
      <c r="AE67" s="327">
        <f>Drivers!AE83</f>
        <v>0</v>
      </c>
      <c r="AF67" s="327">
        <f>Drivers!AF83</f>
        <v>0</v>
      </c>
      <c r="AG67" s="327">
        <f>Drivers!AG83</f>
        <v>0</v>
      </c>
    </row>
    <row r="68" spans="3:33" ht="14.25" customHeight="1">
      <c r="C68" s="12"/>
      <c r="D68" s="12"/>
      <c r="E68" s="12"/>
      <c r="F68" s="265"/>
      <c r="G68" s="265"/>
      <c r="H68" s="265"/>
      <c r="I68" s="265"/>
      <c r="J68" s="137"/>
      <c r="K68" s="265"/>
      <c r="L68" s="265"/>
      <c r="M68" s="265"/>
      <c r="N68" s="265"/>
      <c r="O68" s="137"/>
      <c r="P68" s="265"/>
      <c r="Q68" s="265"/>
      <c r="R68" s="265"/>
      <c r="S68" s="263"/>
      <c r="T68" s="324"/>
      <c r="U68" s="263"/>
      <c r="V68" s="439"/>
      <c r="W68" s="265"/>
      <c r="X68" s="268"/>
      <c r="Y68" s="137"/>
      <c r="Z68" s="232"/>
      <c r="AA68" s="232"/>
      <c r="AB68" s="232"/>
      <c r="AC68" s="325"/>
      <c r="AD68" s="324"/>
      <c r="AE68" s="324"/>
      <c r="AF68" s="324"/>
      <c r="AG68" s="324"/>
    </row>
    <row r="69" spans="3:33" ht="14.25" customHeight="1">
      <c r="C69" s="12" t="s">
        <v>462</v>
      </c>
      <c r="D69" s="12"/>
      <c r="E69" s="12"/>
      <c r="F69" s="263">
        <f t="shared" ref="F69:AG69" si="83">F51+F33</f>
        <v>1714.317</v>
      </c>
      <c r="G69" s="263">
        <f t="shared" si="83"/>
        <v>1827.183</v>
      </c>
      <c r="H69" s="263">
        <f t="shared" si="83"/>
        <v>1916.394</v>
      </c>
      <c r="I69" s="263">
        <f t="shared" si="83"/>
        <v>1496.1089999999999</v>
      </c>
      <c r="J69" s="233">
        <f t="shared" si="83"/>
        <v>6954.0030000000006</v>
      </c>
      <c r="K69" s="263">
        <f t="shared" si="83"/>
        <v>2632.5340000000001</v>
      </c>
      <c r="L69" s="263">
        <f t="shared" si="83"/>
        <v>2602.837</v>
      </c>
      <c r="M69" s="263">
        <f t="shared" si="83"/>
        <v>2909.4769999999999</v>
      </c>
      <c r="N69" s="263">
        <f t="shared" si="83"/>
        <v>2272.7660000000001</v>
      </c>
      <c r="O69" s="233">
        <f t="shared" si="83"/>
        <v>10417.614</v>
      </c>
      <c r="P69" s="263">
        <f t="shared" si="83"/>
        <v>3346.9989999999998</v>
      </c>
      <c r="Q69" s="263">
        <f t="shared" si="83"/>
        <v>3774.694</v>
      </c>
      <c r="R69" s="263">
        <f t="shared" si="83"/>
        <v>3248.2469999999998</v>
      </c>
      <c r="S69" s="263">
        <f t="shared" si="83"/>
        <v>2956.663</v>
      </c>
      <c r="T69" s="233">
        <f t="shared" si="83"/>
        <v>13326.602999999999</v>
      </c>
      <c r="U69" s="263">
        <f t="shared" si="83"/>
        <v>3956.9969999999998</v>
      </c>
      <c r="V69" s="263">
        <f t="shared" si="83"/>
        <v>3386.56</v>
      </c>
      <c r="W69" s="263">
        <f t="shared" si="83"/>
        <v>3214</v>
      </c>
      <c r="X69" s="440">
        <f t="shared" si="83"/>
        <v>3161.5605</v>
      </c>
      <c r="Y69" s="233">
        <f t="shared" si="83"/>
        <v>13719.1175</v>
      </c>
      <c r="Z69" s="440">
        <f t="shared" si="83"/>
        <v>3928.6198384999998</v>
      </c>
      <c r="AA69" s="440">
        <f t="shared" si="83"/>
        <v>4583.5866585862495</v>
      </c>
      <c r="AB69" s="440">
        <f t="shared" si="83"/>
        <v>3435.0271126316907</v>
      </c>
      <c r="AC69" s="440">
        <f t="shared" si="83"/>
        <v>3649.335237575252</v>
      </c>
      <c r="AD69" s="233">
        <f t="shared" si="83"/>
        <v>15596.568847293192</v>
      </c>
      <c r="AE69" s="233">
        <f t="shared" si="83"/>
        <v>16340.631690771386</v>
      </c>
      <c r="AF69" s="233">
        <f t="shared" si="83"/>
        <v>16800.850281968527</v>
      </c>
      <c r="AG69" s="233">
        <f t="shared" si="83"/>
        <v>17382.419104547316</v>
      </c>
    </row>
    <row r="70" spans="3:33" ht="14.25" customHeight="1">
      <c r="C70" s="108" t="str">
        <f t="shared" ref="C70:C75" si="84">C16&amp;" EBITDA"</f>
        <v>Home Improvement Retail EBITDA</v>
      </c>
      <c r="D70" s="12"/>
      <c r="E70" s="12"/>
      <c r="F70" s="263">
        <f t="shared" ref="F70:AG70" si="85">F52+F34</f>
        <v>1714.317</v>
      </c>
      <c r="G70" s="263">
        <f t="shared" si="85"/>
        <v>1827.183</v>
      </c>
      <c r="H70" s="263">
        <f t="shared" si="85"/>
        <v>1916.394</v>
      </c>
      <c r="I70" s="263">
        <f t="shared" si="85"/>
        <v>1496.1089999999999</v>
      </c>
      <c r="J70" s="441">
        <f t="shared" si="85"/>
        <v>6954.0030000000006</v>
      </c>
      <c r="K70" s="263">
        <f t="shared" si="85"/>
        <v>2632.5340000000001</v>
      </c>
      <c r="L70" s="263">
        <f t="shared" si="85"/>
        <v>2602.837</v>
      </c>
      <c r="M70" s="263">
        <f t="shared" si="85"/>
        <v>2909.4769999999999</v>
      </c>
      <c r="N70" s="263">
        <f t="shared" si="85"/>
        <v>2272.7660000000001</v>
      </c>
      <c r="O70" s="441">
        <f t="shared" si="85"/>
        <v>10417.614</v>
      </c>
      <c r="P70" s="263">
        <f t="shared" si="85"/>
        <v>3346.9989999999998</v>
      </c>
      <c r="Q70" s="263">
        <f t="shared" si="85"/>
        <v>3774.694</v>
      </c>
      <c r="R70" s="263">
        <f t="shared" si="85"/>
        <v>3248.2469999999998</v>
      </c>
      <c r="S70" s="263">
        <f t="shared" si="85"/>
        <v>2956.663</v>
      </c>
      <c r="T70" s="441">
        <f t="shared" si="85"/>
        <v>13326.602999999999</v>
      </c>
      <c r="U70" s="263">
        <f t="shared" si="85"/>
        <v>3956.9969999999998</v>
      </c>
      <c r="V70" s="263">
        <f t="shared" si="85"/>
        <v>3386.56</v>
      </c>
      <c r="W70" s="263">
        <f t="shared" si="85"/>
        <v>3214</v>
      </c>
      <c r="X70" s="440">
        <f t="shared" si="85"/>
        <v>3161.5605</v>
      </c>
      <c r="Y70" s="441">
        <f t="shared" si="85"/>
        <v>13719.1175</v>
      </c>
      <c r="Z70" s="440">
        <f t="shared" si="85"/>
        <v>3928.6198384999998</v>
      </c>
      <c r="AA70" s="440">
        <f t="shared" si="85"/>
        <v>4583.5866585862495</v>
      </c>
      <c r="AB70" s="440">
        <f t="shared" si="85"/>
        <v>3435.0271126316907</v>
      </c>
      <c r="AC70" s="440">
        <f t="shared" si="85"/>
        <v>3649.335237575252</v>
      </c>
      <c r="AD70" s="441">
        <f t="shared" si="85"/>
        <v>15596.568847293192</v>
      </c>
      <c r="AE70" s="441">
        <f t="shared" si="85"/>
        <v>16340.631690771386</v>
      </c>
      <c r="AF70" s="441">
        <f t="shared" si="85"/>
        <v>16800.850281968527</v>
      </c>
      <c r="AG70" s="441">
        <f t="shared" si="85"/>
        <v>17382.419104547316</v>
      </c>
    </row>
    <row r="71" spans="3:33" ht="14.25" customHeight="1">
      <c r="C71" s="108" t="str">
        <f t="shared" si="84"/>
        <v>Segment 2 EBITDA</v>
      </c>
      <c r="D71" s="12"/>
      <c r="E71" s="12"/>
      <c r="F71" s="263">
        <f t="shared" ref="F71:AG71" si="86">F53+F35</f>
        <v>0</v>
      </c>
      <c r="G71" s="263">
        <f t="shared" si="86"/>
        <v>0</v>
      </c>
      <c r="H71" s="263">
        <f t="shared" si="86"/>
        <v>0</v>
      </c>
      <c r="I71" s="263">
        <f t="shared" si="86"/>
        <v>0</v>
      </c>
      <c r="J71" s="441">
        <f t="shared" si="86"/>
        <v>0</v>
      </c>
      <c r="K71" s="263">
        <f t="shared" si="86"/>
        <v>0</v>
      </c>
      <c r="L71" s="263">
        <f t="shared" si="86"/>
        <v>0</v>
      </c>
      <c r="M71" s="263">
        <f t="shared" si="86"/>
        <v>0</v>
      </c>
      <c r="N71" s="263">
        <f t="shared" si="86"/>
        <v>0</v>
      </c>
      <c r="O71" s="441">
        <f t="shared" si="86"/>
        <v>0</v>
      </c>
      <c r="P71" s="263">
        <f t="shared" si="86"/>
        <v>0</v>
      </c>
      <c r="Q71" s="263">
        <f t="shared" si="86"/>
        <v>0</v>
      </c>
      <c r="R71" s="263">
        <f t="shared" si="86"/>
        <v>0</v>
      </c>
      <c r="S71" s="263">
        <f t="shared" si="86"/>
        <v>0</v>
      </c>
      <c r="T71" s="441">
        <f t="shared" si="86"/>
        <v>0</v>
      </c>
      <c r="U71" s="263">
        <f t="shared" si="86"/>
        <v>0</v>
      </c>
      <c r="V71" s="263">
        <f t="shared" si="86"/>
        <v>0</v>
      </c>
      <c r="W71" s="263">
        <f t="shared" si="86"/>
        <v>0</v>
      </c>
      <c r="X71" s="440">
        <f t="shared" si="86"/>
        <v>0</v>
      </c>
      <c r="Y71" s="441">
        <f t="shared" si="86"/>
        <v>0</v>
      </c>
      <c r="Z71" s="440">
        <f t="shared" si="86"/>
        <v>0</v>
      </c>
      <c r="AA71" s="440">
        <f t="shared" si="86"/>
        <v>0</v>
      </c>
      <c r="AB71" s="440">
        <f t="shared" si="86"/>
        <v>0</v>
      </c>
      <c r="AC71" s="440">
        <f t="shared" si="86"/>
        <v>0</v>
      </c>
      <c r="AD71" s="441">
        <f t="shared" si="86"/>
        <v>0</v>
      </c>
      <c r="AE71" s="441">
        <f t="shared" si="86"/>
        <v>0</v>
      </c>
      <c r="AF71" s="441">
        <f t="shared" si="86"/>
        <v>0</v>
      </c>
      <c r="AG71" s="441">
        <f t="shared" si="86"/>
        <v>0</v>
      </c>
    </row>
    <row r="72" spans="3:33" ht="14.25" customHeight="1">
      <c r="C72" s="108" t="str">
        <f t="shared" si="84"/>
        <v>Segment 3 EBITDA</v>
      </c>
      <c r="D72" s="12"/>
      <c r="E72" s="12"/>
      <c r="F72" s="263">
        <f t="shared" ref="F72:AG72" si="87">F54+F36</f>
        <v>0</v>
      </c>
      <c r="G72" s="263">
        <f t="shared" si="87"/>
        <v>0</v>
      </c>
      <c r="H72" s="263">
        <f t="shared" si="87"/>
        <v>0</v>
      </c>
      <c r="I72" s="263">
        <f t="shared" si="87"/>
        <v>0</v>
      </c>
      <c r="J72" s="441">
        <f t="shared" si="87"/>
        <v>0</v>
      </c>
      <c r="K72" s="263">
        <f t="shared" si="87"/>
        <v>0</v>
      </c>
      <c r="L72" s="263">
        <f t="shared" si="87"/>
        <v>0</v>
      </c>
      <c r="M72" s="263">
        <f t="shared" si="87"/>
        <v>0</v>
      </c>
      <c r="N72" s="263">
        <f t="shared" si="87"/>
        <v>0</v>
      </c>
      <c r="O72" s="441">
        <f t="shared" si="87"/>
        <v>0</v>
      </c>
      <c r="P72" s="263">
        <f t="shared" si="87"/>
        <v>0</v>
      </c>
      <c r="Q72" s="263">
        <f t="shared" si="87"/>
        <v>0</v>
      </c>
      <c r="R72" s="263">
        <f t="shared" si="87"/>
        <v>0</v>
      </c>
      <c r="S72" s="263">
        <f t="shared" si="87"/>
        <v>0</v>
      </c>
      <c r="T72" s="441">
        <f t="shared" si="87"/>
        <v>0</v>
      </c>
      <c r="U72" s="263">
        <f t="shared" si="87"/>
        <v>0</v>
      </c>
      <c r="V72" s="263">
        <f t="shared" si="87"/>
        <v>0</v>
      </c>
      <c r="W72" s="263">
        <f t="shared" si="87"/>
        <v>0</v>
      </c>
      <c r="X72" s="440">
        <f t="shared" si="87"/>
        <v>0</v>
      </c>
      <c r="Y72" s="441">
        <f t="shared" si="87"/>
        <v>0</v>
      </c>
      <c r="Z72" s="440">
        <f t="shared" si="87"/>
        <v>0</v>
      </c>
      <c r="AA72" s="440">
        <f t="shared" si="87"/>
        <v>0</v>
      </c>
      <c r="AB72" s="440">
        <f t="shared" si="87"/>
        <v>0</v>
      </c>
      <c r="AC72" s="440">
        <f t="shared" si="87"/>
        <v>0</v>
      </c>
      <c r="AD72" s="441">
        <f t="shared" si="87"/>
        <v>0</v>
      </c>
      <c r="AE72" s="441">
        <f t="shared" si="87"/>
        <v>0</v>
      </c>
      <c r="AF72" s="441">
        <f t="shared" si="87"/>
        <v>0</v>
      </c>
      <c r="AG72" s="441">
        <f t="shared" si="87"/>
        <v>0</v>
      </c>
    </row>
    <row r="73" spans="3:33" ht="14.25" customHeight="1">
      <c r="C73" s="108" t="str">
        <f t="shared" si="84"/>
        <v>Segment 4 EBITDA</v>
      </c>
      <c r="D73" s="12"/>
      <c r="E73" s="12"/>
      <c r="F73" s="263">
        <f t="shared" ref="F73:AG73" si="88">F55+F37</f>
        <v>0</v>
      </c>
      <c r="G73" s="263">
        <f t="shared" si="88"/>
        <v>0</v>
      </c>
      <c r="H73" s="263">
        <f t="shared" si="88"/>
        <v>0</v>
      </c>
      <c r="I73" s="263">
        <f t="shared" si="88"/>
        <v>0</v>
      </c>
      <c r="J73" s="441">
        <f t="shared" si="88"/>
        <v>0</v>
      </c>
      <c r="K73" s="263">
        <f t="shared" si="88"/>
        <v>0</v>
      </c>
      <c r="L73" s="263">
        <f t="shared" si="88"/>
        <v>0</v>
      </c>
      <c r="M73" s="263">
        <f t="shared" si="88"/>
        <v>0</v>
      </c>
      <c r="N73" s="263">
        <f t="shared" si="88"/>
        <v>0</v>
      </c>
      <c r="O73" s="441">
        <f t="shared" si="88"/>
        <v>0</v>
      </c>
      <c r="P73" s="263">
        <f t="shared" si="88"/>
        <v>0</v>
      </c>
      <c r="Q73" s="263">
        <f t="shared" si="88"/>
        <v>0</v>
      </c>
      <c r="R73" s="263">
        <f t="shared" si="88"/>
        <v>0</v>
      </c>
      <c r="S73" s="263">
        <f t="shared" si="88"/>
        <v>0</v>
      </c>
      <c r="T73" s="441">
        <f t="shared" si="88"/>
        <v>0</v>
      </c>
      <c r="U73" s="263">
        <f t="shared" si="88"/>
        <v>0</v>
      </c>
      <c r="V73" s="263">
        <f t="shared" si="88"/>
        <v>0</v>
      </c>
      <c r="W73" s="263">
        <f t="shared" si="88"/>
        <v>0</v>
      </c>
      <c r="X73" s="440">
        <f t="shared" si="88"/>
        <v>0</v>
      </c>
      <c r="Y73" s="441">
        <f t="shared" si="88"/>
        <v>0</v>
      </c>
      <c r="Z73" s="440">
        <f t="shared" si="88"/>
        <v>0</v>
      </c>
      <c r="AA73" s="440">
        <f t="shared" si="88"/>
        <v>0</v>
      </c>
      <c r="AB73" s="440">
        <f t="shared" si="88"/>
        <v>0</v>
      </c>
      <c r="AC73" s="440">
        <f t="shared" si="88"/>
        <v>0</v>
      </c>
      <c r="AD73" s="441">
        <f t="shared" si="88"/>
        <v>0</v>
      </c>
      <c r="AE73" s="441">
        <f t="shared" si="88"/>
        <v>0</v>
      </c>
      <c r="AF73" s="441">
        <f t="shared" si="88"/>
        <v>0</v>
      </c>
      <c r="AG73" s="441">
        <f t="shared" si="88"/>
        <v>0</v>
      </c>
    </row>
    <row r="74" spans="3:33" ht="14.25" customHeight="1" outlineLevel="1">
      <c r="C74" s="108" t="str">
        <f t="shared" si="84"/>
        <v>Segment 5 EBITDA</v>
      </c>
      <c r="D74" s="12"/>
      <c r="E74" s="12"/>
      <c r="F74" s="263">
        <f t="shared" ref="F74:AG74" si="89">F56+F38</f>
        <v>0</v>
      </c>
      <c r="G74" s="263">
        <f t="shared" si="89"/>
        <v>0</v>
      </c>
      <c r="H74" s="263">
        <f t="shared" si="89"/>
        <v>0</v>
      </c>
      <c r="I74" s="263">
        <f t="shared" si="89"/>
        <v>0</v>
      </c>
      <c r="J74" s="441">
        <f t="shared" si="89"/>
        <v>0</v>
      </c>
      <c r="K74" s="263">
        <f t="shared" si="89"/>
        <v>0</v>
      </c>
      <c r="L74" s="263">
        <f t="shared" si="89"/>
        <v>0</v>
      </c>
      <c r="M74" s="263">
        <f t="shared" si="89"/>
        <v>0</v>
      </c>
      <c r="N74" s="263">
        <f t="shared" si="89"/>
        <v>0</v>
      </c>
      <c r="O74" s="441">
        <f t="shared" si="89"/>
        <v>0</v>
      </c>
      <c r="P74" s="263">
        <f t="shared" si="89"/>
        <v>0</v>
      </c>
      <c r="Q74" s="263">
        <f t="shared" si="89"/>
        <v>0</v>
      </c>
      <c r="R74" s="263">
        <f t="shared" si="89"/>
        <v>0</v>
      </c>
      <c r="S74" s="263">
        <f t="shared" si="89"/>
        <v>0</v>
      </c>
      <c r="T74" s="441">
        <f t="shared" si="89"/>
        <v>0</v>
      </c>
      <c r="U74" s="263">
        <f t="shared" si="89"/>
        <v>0</v>
      </c>
      <c r="V74" s="263">
        <f t="shared" si="89"/>
        <v>0</v>
      </c>
      <c r="W74" s="263">
        <f t="shared" si="89"/>
        <v>0</v>
      </c>
      <c r="X74" s="440">
        <f t="shared" si="89"/>
        <v>0</v>
      </c>
      <c r="Y74" s="441">
        <f t="shared" si="89"/>
        <v>0</v>
      </c>
      <c r="Z74" s="440">
        <f t="shared" si="89"/>
        <v>0</v>
      </c>
      <c r="AA74" s="440">
        <f t="shared" si="89"/>
        <v>0</v>
      </c>
      <c r="AB74" s="440">
        <f t="shared" si="89"/>
        <v>0</v>
      </c>
      <c r="AC74" s="440">
        <f t="shared" si="89"/>
        <v>0</v>
      </c>
      <c r="AD74" s="441">
        <f t="shared" si="89"/>
        <v>0</v>
      </c>
      <c r="AE74" s="441">
        <f t="shared" si="89"/>
        <v>0</v>
      </c>
      <c r="AF74" s="441">
        <f t="shared" si="89"/>
        <v>0</v>
      </c>
      <c r="AG74" s="441">
        <f t="shared" si="89"/>
        <v>0</v>
      </c>
    </row>
    <row r="75" spans="3:33" ht="14.25" customHeight="1" outlineLevel="1">
      <c r="C75" s="108" t="str">
        <f t="shared" si="84"/>
        <v>Segment 6 EBITDA</v>
      </c>
      <c r="D75" s="12"/>
      <c r="E75" s="12"/>
      <c r="F75" s="263">
        <f t="shared" ref="F75:AG75" si="90">F57+F39</f>
        <v>0</v>
      </c>
      <c r="G75" s="263">
        <f t="shared" si="90"/>
        <v>0</v>
      </c>
      <c r="H75" s="263">
        <f t="shared" si="90"/>
        <v>0</v>
      </c>
      <c r="I75" s="263">
        <f t="shared" si="90"/>
        <v>0</v>
      </c>
      <c r="J75" s="441">
        <f t="shared" si="90"/>
        <v>0</v>
      </c>
      <c r="K75" s="263">
        <f t="shared" si="90"/>
        <v>0</v>
      </c>
      <c r="L75" s="263">
        <f t="shared" si="90"/>
        <v>0</v>
      </c>
      <c r="M75" s="263">
        <f t="shared" si="90"/>
        <v>0</v>
      </c>
      <c r="N75" s="263">
        <f t="shared" si="90"/>
        <v>0</v>
      </c>
      <c r="O75" s="441">
        <f t="shared" si="90"/>
        <v>0</v>
      </c>
      <c r="P75" s="263">
        <f t="shared" si="90"/>
        <v>0</v>
      </c>
      <c r="Q75" s="263">
        <f t="shared" si="90"/>
        <v>0</v>
      </c>
      <c r="R75" s="263">
        <f t="shared" si="90"/>
        <v>0</v>
      </c>
      <c r="S75" s="263">
        <f t="shared" si="90"/>
        <v>0</v>
      </c>
      <c r="T75" s="441">
        <f t="shared" si="90"/>
        <v>0</v>
      </c>
      <c r="U75" s="263">
        <f t="shared" si="90"/>
        <v>0</v>
      </c>
      <c r="V75" s="263">
        <f t="shared" si="90"/>
        <v>0</v>
      </c>
      <c r="W75" s="263">
        <f t="shared" si="90"/>
        <v>0</v>
      </c>
      <c r="X75" s="440">
        <f t="shared" si="90"/>
        <v>0</v>
      </c>
      <c r="Y75" s="441">
        <f t="shared" si="90"/>
        <v>0</v>
      </c>
      <c r="Z75" s="440">
        <f t="shared" si="90"/>
        <v>0</v>
      </c>
      <c r="AA75" s="440">
        <f t="shared" si="90"/>
        <v>0</v>
      </c>
      <c r="AB75" s="440">
        <f t="shared" si="90"/>
        <v>0</v>
      </c>
      <c r="AC75" s="440">
        <f t="shared" si="90"/>
        <v>0</v>
      </c>
      <c r="AD75" s="441">
        <f t="shared" si="90"/>
        <v>0</v>
      </c>
      <c r="AE75" s="441">
        <f t="shared" si="90"/>
        <v>0</v>
      </c>
      <c r="AF75" s="441">
        <f t="shared" si="90"/>
        <v>0</v>
      </c>
      <c r="AG75" s="441">
        <f t="shared" si="90"/>
        <v>0</v>
      </c>
    </row>
    <row r="76" spans="3:33" ht="14.25" customHeight="1">
      <c r="C76" s="12"/>
      <c r="D76" s="12"/>
      <c r="E76" s="12"/>
      <c r="F76" s="265"/>
      <c r="G76" s="265"/>
      <c r="H76" s="265"/>
      <c r="I76" s="265"/>
      <c r="J76" s="137"/>
      <c r="K76" s="265"/>
      <c r="L76" s="265"/>
      <c r="M76" s="265"/>
      <c r="N76" s="265"/>
      <c r="O76" s="137"/>
      <c r="P76" s="265"/>
      <c r="Q76" s="265"/>
      <c r="R76" s="265"/>
      <c r="S76" s="420"/>
      <c r="T76" s="324"/>
      <c r="U76" s="420"/>
      <c r="V76" s="323"/>
      <c r="W76" s="265"/>
      <c r="X76" s="268"/>
      <c r="Y76" s="137"/>
      <c r="Z76" s="421"/>
      <c r="AA76" s="421"/>
      <c r="AB76" s="421"/>
      <c r="AC76" s="325"/>
      <c r="AD76" s="324"/>
      <c r="AE76" s="324"/>
      <c r="AF76" s="324"/>
      <c r="AG76" s="324"/>
    </row>
    <row r="77" spans="3:33" ht="14.25" customHeight="1">
      <c r="C77" s="12" t="s">
        <v>463</v>
      </c>
      <c r="D77" s="12"/>
      <c r="E77" s="12"/>
      <c r="F77" s="420"/>
      <c r="G77" s="420"/>
      <c r="H77" s="420"/>
      <c r="I77" s="420"/>
      <c r="J77" s="137"/>
      <c r="K77" s="420"/>
      <c r="L77" s="420"/>
      <c r="M77" s="420"/>
      <c r="N77" s="420"/>
      <c r="O77" s="137"/>
      <c r="P77" s="420"/>
      <c r="Q77" s="420"/>
      <c r="R77" s="420"/>
      <c r="S77" s="323"/>
      <c r="T77" s="324"/>
      <c r="U77" s="323"/>
      <c r="V77" s="323"/>
      <c r="W77" s="420"/>
      <c r="X77" s="421"/>
      <c r="Y77" s="137"/>
      <c r="Z77" s="325"/>
      <c r="AA77" s="325"/>
      <c r="AB77" s="325"/>
      <c r="AC77" s="325"/>
      <c r="AD77" s="324"/>
      <c r="AE77" s="324"/>
      <c r="AF77" s="324"/>
      <c r="AG77" s="324"/>
    </row>
    <row r="78" spans="3:33" ht="14.25" customHeight="1">
      <c r="C78" s="108" t="str">
        <f t="shared" ref="C78:C83" si="91">C16</f>
        <v>Home Improvement Retail</v>
      </c>
      <c r="D78" s="12"/>
      <c r="E78" s="12"/>
      <c r="F78" s="323">
        <f t="shared" ref="F78:AG78" si="92">IFERROR(F70/F$69,"N/A")</f>
        <v>1</v>
      </c>
      <c r="G78" s="323">
        <f t="shared" si="92"/>
        <v>1</v>
      </c>
      <c r="H78" s="323">
        <f t="shared" si="92"/>
        <v>1</v>
      </c>
      <c r="I78" s="323">
        <f t="shared" si="92"/>
        <v>1</v>
      </c>
      <c r="J78" s="324">
        <f t="shared" si="92"/>
        <v>1</v>
      </c>
      <c r="K78" s="323">
        <f t="shared" si="92"/>
        <v>1</v>
      </c>
      <c r="L78" s="323">
        <f t="shared" si="92"/>
        <v>1</v>
      </c>
      <c r="M78" s="323">
        <f t="shared" si="92"/>
        <v>1</v>
      </c>
      <c r="N78" s="323">
        <f t="shared" si="92"/>
        <v>1</v>
      </c>
      <c r="O78" s="324">
        <f t="shared" si="92"/>
        <v>1</v>
      </c>
      <c r="P78" s="323">
        <f t="shared" si="92"/>
        <v>1</v>
      </c>
      <c r="Q78" s="323">
        <f t="shared" si="92"/>
        <v>1</v>
      </c>
      <c r="R78" s="323">
        <f t="shared" si="92"/>
        <v>1</v>
      </c>
      <c r="S78" s="323">
        <f t="shared" si="92"/>
        <v>1</v>
      </c>
      <c r="T78" s="324">
        <f t="shared" si="92"/>
        <v>1</v>
      </c>
      <c r="U78" s="323">
        <f t="shared" si="92"/>
        <v>1</v>
      </c>
      <c r="V78" s="323">
        <f t="shared" si="92"/>
        <v>1</v>
      </c>
      <c r="W78" s="323">
        <f t="shared" si="92"/>
        <v>1</v>
      </c>
      <c r="X78" s="325">
        <f t="shared" si="92"/>
        <v>1</v>
      </c>
      <c r="Y78" s="324">
        <f t="shared" si="92"/>
        <v>1</v>
      </c>
      <c r="Z78" s="325">
        <f t="shared" si="92"/>
        <v>1</v>
      </c>
      <c r="AA78" s="325">
        <f t="shared" si="92"/>
        <v>1</v>
      </c>
      <c r="AB78" s="325">
        <f t="shared" si="92"/>
        <v>1</v>
      </c>
      <c r="AC78" s="325">
        <f t="shared" si="92"/>
        <v>1</v>
      </c>
      <c r="AD78" s="324">
        <f t="shared" si="92"/>
        <v>1</v>
      </c>
      <c r="AE78" s="324">
        <f t="shared" si="92"/>
        <v>1</v>
      </c>
      <c r="AF78" s="324">
        <f t="shared" si="92"/>
        <v>1</v>
      </c>
      <c r="AG78" s="324">
        <f t="shared" si="92"/>
        <v>1</v>
      </c>
    </row>
    <row r="79" spans="3:33" ht="14.25" customHeight="1">
      <c r="C79" s="108" t="str">
        <f t="shared" si="91"/>
        <v>Segment 2</v>
      </c>
      <c r="D79" s="12"/>
      <c r="E79" s="12"/>
      <c r="F79" s="323">
        <f t="shared" ref="F79:AG79" si="93">IFERROR(F71/F$69,"N/A")</f>
        <v>0</v>
      </c>
      <c r="G79" s="323">
        <f t="shared" si="93"/>
        <v>0</v>
      </c>
      <c r="H79" s="323">
        <f t="shared" si="93"/>
        <v>0</v>
      </c>
      <c r="I79" s="323">
        <f t="shared" si="93"/>
        <v>0</v>
      </c>
      <c r="J79" s="324">
        <f t="shared" si="93"/>
        <v>0</v>
      </c>
      <c r="K79" s="323">
        <f t="shared" si="93"/>
        <v>0</v>
      </c>
      <c r="L79" s="323">
        <f t="shared" si="93"/>
        <v>0</v>
      </c>
      <c r="M79" s="323">
        <f t="shared" si="93"/>
        <v>0</v>
      </c>
      <c r="N79" s="323">
        <f t="shared" si="93"/>
        <v>0</v>
      </c>
      <c r="O79" s="324">
        <f t="shared" si="93"/>
        <v>0</v>
      </c>
      <c r="P79" s="323">
        <f t="shared" si="93"/>
        <v>0</v>
      </c>
      <c r="Q79" s="323">
        <f t="shared" si="93"/>
        <v>0</v>
      </c>
      <c r="R79" s="323">
        <f t="shared" si="93"/>
        <v>0</v>
      </c>
      <c r="S79" s="323">
        <f t="shared" si="93"/>
        <v>0</v>
      </c>
      <c r="T79" s="324">
        <f t="shared" si="93"/>
        <v>0</v>
      </c>
      <c r="U79" s="323">
        <f t="shared" si="93"/>
        <v>0</v>
      </c>
      <c r="V79" s="323">
        <f t="shared" si="93"/>
        <v>0</v>
      </c>
      <c r="W79" s="323">
        <f t="shared" si="93"/>
        <v>0</v>
      </c>
      <c r="X79" s="325">
        <f t="shared" si="93"/>
        <v>0</v>
      </c>
      <c r="Y79" s="324">
        <f t="shared" si="93"/>
        <v>0</v>
      </c>
      <c r="Z79" s="325">
        <f t="shared" si="93"/>
        <v>0</v>
      </c>
      <c r="AA79" s="325">
        <f t="shared" si="93"/>
        <v>0</v>
      </c>
      <c r="AB79" s="325">
        <f t="shared" si="93"/>
        <v>0</v>
      </c>
      <c r="AC79" s="325">
        <f t="shared" si="93"/>
        <v>0</v>
      </c>
      <c r="AD79" s="324">
        <f t="shared" si="93"/>
        <v>0</v>
      </c>
      <c r="AE79" s="324">
        <f t="shared" si="93"/>
        <v>0</v>
      </c>
      <c r="AF79" s="324">
        <f t="shared" si="93"/>
        <v>0</v>
      </c>
      <c r="AG79" s="324">
        <f t="shared" si="93"/>
        <v>0</v>
      </c>
    </row>
    <row r="80" spans="3:33" ht="14.25" customHeight="1">
      <c r="C80" s="108" t="str">
        <f t="shared" si="91"/>
        <v>Segment 3</v>
      </c>
      <c r="D80" s="12"/>
      <c r="E80" s="12"/>
      <c r="F80" s="323">
        <f t="shared" ref="F80:AG80" si="94">IFERROR(F72/F$69,"N/A")</f>
        <v>0</v>
      </c>
      <c r="G80" s="323">
        <f t="shared" si="94"/>
        <v>0</v>
      </c>
      <c r="H80" s="323">
        <f t="shared" si="94"/>
        <v>0</v>
      </c>
      <c r="I80" s="323">
        <f t="shared" si="94"/>
        <v>0</v>
      </c>
      <c r="J80" s="324">
        <f t="shared" si="94"/>
        <v>0</v>
      </c>
      <c r="K80" s="323">
        <f t="shared" si="94"/>
        <v>0</v>
      </c>
      <c r="L80" s="323">
        <f t="shared" si="94"/>
        <v>0</v>
      </c>
      <c r="M80" s="323">
        <f t="shared" si="94"/>
        <v>0</v>
      </c>
      <c r="N80" s="323">
        <f t="shared" si="94"/>
        <v>0</v>
      </c>
      <c r="O80" s="324">
        <f t="shared" si="94"/>
        <v>0</v>
      </c>
      <c r="P80" s="323">
        <f t="shared" si="94"/>
        <v>0</v>
      </c>
      <c r="Q80" s="323">
        <f t="shared" si="94"/>
        <v>0</v>
      </c>
      <c r="R80" s="323">
        <f t="shared" si="94"/>
        <v>0</v>
      </c>
      <c r="S80" s="323">
        <f t="shared" si="94"/>
        <v>0</v>
      </c>
      <c r="T80" s="324">
        <f t="shared" si="94"/>
        <v>0</v>
      </c>
      <c r="U80" s="323">
        <f t="shared" si="94"/>
        <v>0</v>
      </c>
      <c r="V80" s="323">
        <f t="shared" si="94"/>
        <v>0</v>
      </c>
      <c r="W80" s="323">
        <f t="shared" si="94"/>
        <v>0</v>
      </c>
      <c r="X80" s="325">
        <f t="shared" si="94"/>
        <v>0</v>
      </c>
      <c r="Y80" s="324">
        <f t="shared" si="94"/>
        <v>0</v>
      </c>
      <c r="Z80" s="325">
        <f t="shared" si="94"/>
        <v>0</v>
      </c>
      <c r="AA80" s="325">
        <f t="shared" si="94"/>
        <v>0</v>
      </c>
      <c r="AB80" s="325">
        <f t="shared" si="94"/>
        <v>0</v>
      </c>
      <c r="AC80" s="325">
        <f t="shared" si="94"/>
        <v>0</v>
      </c>
      <c r="AD80" s="324">
        <f t="shared" si="94"/>
        <v>0</v>
      </c>
      <c r="AE80" s="324">
        <f t="shared" si="94"/>
        <v>0</v>
      </c>
      <c r="AF80" s="324">
        <f t="shared" si="94"/>
        <v>0</v>
      </c>
      <c r="AG80" s="324">
        <f t="shared" si="94"/>
        <v>0</v>
      </c>
    </row>
    <row r="81" spans="3:33" ht="14.25" customHeight="1">
      <c r="C81" s="108" t="str">
        <f t="shared" si="91"/>
        <v>Segment 4</v>
      </c>
      <c r="D81" s="12"/>
      <c r="E81" s="12"/>
      <c r="F81" s="323">
        <f t="shared" ref="F81:AG81" si="95">IFERROR(F73/F$69,"N/A")</f>
        <v>0</v>
      </c>
      <c r="G81" s="323">
        <f t="shared" si="95"/>
        <v>0</v>
      </c>
      <c r="H81" s="323">
        <f t="shared" si="95"/>
        <v>0</v>
      </c>
      <c r="I81" s="323">
        <f t="shared" si="95"/>
        <v>0</v>
      </c>
      <c r="J81" s="324">
        <f t="shared" si="95"/>
        <v>0</v>
      </c>
      <c r="K81" s="323">
        <f t="shared" si="95"/>
        <v>0</v>
      </c>
      <c r="L81" s="323">
        <f t="shared" si="95"/>
        <v>0</v>
      </c>
      <c r="M81" s="323">
        <f t="shared" si="95"/>
        <v>0</v>
      </c>
      <c r="N81" s="323">
        <f t="shared" si="95"/>
        <v>0</v>
      </c>
      <c r="O81" s="324">
        <f t="shared" si="95"/>
        <v>0</v>
      </c>
      <c r="P81" s="323">
        <f t="shared" si="95"/>
        <v>0</v>
      </c>
      <c r="Q81" s="323">
        <f t="shared" si="95"/>
        <v>0</v>
      </c>
      <c r="R81" s="323">
        <f t="shared" si="95"/>
        <v>0</v>
      </c>
      <c r="S81" s="323">
        <f t="shared" si="95"/>
        <v>0</v>
      </c>
      <c r="T81" s="324">
        <f t="shared" si="95"/>
        <v>0</v>
      </c>
      <c r="U81" s="323">
        <f t="shared" si="95"/>
        <v>0</v>
      </c>
      <c r="V81" s="323">
        <f t="shared" si="95"/>
        <v>0</v>
      </c>
      <c r="W81" s="323">
        <f t="shared" si="95"/>
        <v>0</v>
      </c>
      <c r="X81" s="325">
        <f t="shared" si="95"/>
        <v>0</v>
      </c>
      <c r="Y81" s="324">
        <f t="shared" si="95"/>
        <v>0</v>
      </c>
      <c r="Z81" s="325">
        <f t="shared" si="95"/>
        <v>0</v>
      </c>
      <c r="AA81" s="325">
        <f t="shared" si="95"/>
        <v>0</v>
      </c>
      <c r="AB81" s="325">
        <f t="shared" si="95"/>
        <v>0</v>
      </c>
      <c r="AC81" s="325">
        <f t="shared" si="95"/>
        <v>0</v>
      </c>
      <c r="AD81" s="324">
        <f t="shared" si="95"/>
        <v>0</v>
      </c>
      <c r="AE81" s="324">
        <f t="shared" si="95"/>
        <v>0</v>
      </c>
      <c r="AF81" s="324">
        <f t="shared" si="95"/>
        <v>0</v>
      </c>
      <c r="AG81" s="324">
        <f t="shared" si="95"/>
        <v>0</v>
      </c>
    </row>
    <row r="82" spans="3:33" ht="14.25" customHeight="1" outlineLevel="1">
      <c r="C82" s="108" t="str">
        <f t="shared" si="91"/>
        <v>Segment 5</v>
      </c>
      <c r="D82" s="12"/>
      <c r="E82" s="12"/>
      <c r="F82" s="323">
        <f t="shared" ref="F82:AG82" si="96">IFERROR(F74/F$69,"N/A")</f>
        <v>0</v>
      </c>
      <c r="G82" s="323">
        <f t="shared" si="96"/>
        <v>0</v>
      </c>
      <c r="H82" s="323">
        <f t="shared" si="96"/>
        <v>0</v>
      </c>
      <c r="I82" s="323">
        <f t="shared" si="96"/>
        <v>0</v>
      </c>
      <c r="J82" s="324">
        <f t="shared" si="96"/>
        <v>0</v>
      </c>
      <c r="K82" s="323">
        <f t="shared" si="96"/>
        <v>0</v>
      </c>
      <c r="L82" s="323">
        <f t="shared" si="96"/>
        <v>0</v>
      </c>
      <c r="M82" s="323">
        <f t="shared" si="96"/>
        <v>0</v>
      </c>
      <c r="N82" s="323">
        <f t="shared" si="96"/>
        <v>0</v>
      </c>
      <c r="O82" s="324">
        <f t="shared" si="96"/>
        <v>0</v>
      </c>
      <c r="P82" s="323">
        <f t="shared" si="96"/>
        <v>0</v>
      </c>
      <c r="Q82" s="323">
        <f t="shared" si="96"/>
        <v>0</v>
      </c>
      <c r="R82" s="323">
        <f t="shared" si="96"/>
        <v>0</v>
      </c>
      <c r="S82" s="323">
        <f t="shared" si="96"/>
        <v>0</v>
      </c>
      <c r="T82" s="324">
        <f t="shared" si="96"/>
        <v>0</v>
      </c>
      <c r="U82" s="323">
        <f t="shared" si="96"/>
        <v>0</v>
      </c>
      <c r="V82" s="323">
        <f t="shared" si="96"/>
        <v>0</v>
      </c>
      <c r="W82" s="323">
        <f t="shared" si="96"/>
        <v>0</v>
      </c>
      <c r="X82" s="325">
        <f t="shared" si="96"/>
        <v>0</v>
      </c>
      <c r="Y82" s="324">
        <f t="shared" si="96"/>
        <v>0</v>
      </c>
      <c r="Z82" s="325">
        <f t="shared" si="96"/>
        <v>0</v>
      </c>
      <c r="AA82" s="325">
        <f t="shared" si="96"/>
        <v>0</v>
      </c>
      <c r="AB82" s="325">
        <f t="shared" si="96"/>
        <v>0</v>
      </c>
      <c r="AC82" s="325">
        <f t="shared" si="96"/>
        <v>0</v>
      </c>
      <c r="AD82" s="324">
        <f t="shared" si="96"/>
        <v>0</v>
      </c>
      <c r="AE82" s="324">
        <f t="shared" si="96"/>
        <v>0</v>
      </c>
      <c r="AF82" s="324">
        <f t="shared" si="96"/>
        <v>0</v>
      </c>
      <c r="AG82" s="324">
        <f t="shared" si="96"/>
        <v>0</v>
      </c>
    </row>
    <row r="83" spans="3:33" ht="14.25" customHeight="1" outlineLevel="1">
      <c r="C83" s="108" t="str">
        <f t="shared" si="91"/>
        <v>Segment 6</v>
      </c>
      <c r="D83" s="12"/>
      <c r="E83" s="12"/>
      <c r="F83" s="323">
        <f t="shared" ref="F83:AG83" si="97">IFERROR(F75/F$69,"N/A")</f>
        <v>0</v>
      </c>
      <c r="G83" s="323">
        <f t="shared" si="97"/>
        <v>0</v>
      </c>
      <c r="H83" s="323">
        <f t="shared" si="97"/>
        <v>0</v>
      </c>
      <c r="I83" s="323">
        <f t="shared" si="97"/>
        <v>0</v>
      </c>
      <c r="J83" s="324">
        <f t="shared" si="97"/>
        <v>0</v>
      </c>
      <c r="K83" s="323">
        <f t="shared" si="97"/>
        <v>0</v>
      </c>
      <c r="L83" s="323">
        <f t="shared" si="97"/>
        <v>0</v>
      </c>
      <c r="M83" s="323">
        <f t="shared" si="97"/>
        <v>0</v>
      </c>
      <c r="N83" s="323">
        <f t="shared" si="97"/>
        <v>0</v>
      </c>
      <c r="O83" s="324">
        <f t="shared" si="97"/>
        <v>0</v>
      </c>
      <c r="P83" s="323">
        <f t="shared" si="97"/>
        <v>0</v>
      </c>
      <c r="Q83" s="323">
        <f t="shared" si="97"/>
        <v>0</v>
      </c>
      <c r="R83" s="323">
        <f t="shared" si="97"/>
        <v>0</v>
      </c>
      <c r="S83" s="323">
        <f t="shared" si="97"/>
        <v>0</v>
      </c>
      <c r="T83" s="324">
        <f t="shared" si="97"/>
        <v>0</v>
      </c>
      <c r="U83" s="323">
        <f t="shared" si="97"/>
        <v>0</v>
      </c>
      <c r="V83" s="323">
        <f t="shared" si="97"/>
        <v>0</v>
      </c>
      <c r="W83" s="323">
        <f t="shared" si="97"/>
        <v>0</v>
      </c>
      <c r="X83" s="325">
        <f t="shared" si="97"/>
        <v>0</v>
      </c>
      <c r="Y83" s="324">
        <f t="shared" si="97"/>
        <v>0</v>
      </c>
      <c r="Z83" s="325">
        <f t="shared" si="97"/>
        <v>0</v>
      </c>
      <c r="AA83" s="325">
        <f t="shared" si="97"/>
        <v>0</v>
      </c>
      <c r="AB83" s="325">
        <f t="shared" si="97"/>
        <v>0</v>
      </c>
      <c r="AC83" s="325">
        <f t="shared" si="97"/>
        <v>0</v>
      </c>
      <c r="AD83" s="324">
        <f t="shared" si="97"/>
        <v>0</v>
      </c>
      <c r="AE83" s="324">
        <f t="shared" si="97"/>
        <v>0</v>
      </c>
      <c r="AF83" s="324">
        <f t="shared" si="97"/>
        <v>0</v>
      </c>
      <c r="AG83" s="324">
        <f t="shared" si="97"/>
        <v>0</v>
      </c>
    </row>
    <row r="84" spans="3:33" ht="14.25" customHeight="1">
      <c r="C84" s="108"/>
      <c r="D84" s="12"/>
      <c r="E84" s="12"/>
      <c r="F84" s="323"/>
      <c r="G84" s="323"/>
      <c r="H84" s="323"/>
      <c r="I84" s="323"/>
      <c r="J84" s="324"/>
      <c r="K84" s="323"/>
      <c r="L84" s="323"/>
      <c r="M84" s="323"/>
      <c r="N84" s="323"/>
      <c r="O84" s="324"/>
      <c r="P84" s="323"/>
      <c r="Q84" s="323"/>
      <c r="R84" s="323"/>
      <c r="S84" s="323"/>
      <c r="T84" s="324"/>
      <c r="U84" s="323"/>
      <c r="V84" s="323"/>
      <c r="W84" s="323"/>
      <c r="X84" s="325"/>
      <c r="Y84" s="324"/>
      <c r="Z84" s="325"/>
      <c r="AA84" s="325"/>
      <c r="AB84" s="325"/>
      <c r="AC84" s="325"/>
      <c r="AD84" s="324"/>
      <c r="AE84" s="324"/>
      <c r="AF84" s="324"/>
      <c r="AG84" s="324"/>
    </row>
    <row r="85" spans="3:33" ht="14.25" customHeight="1">
      <c r="C85" s="12"/>
      <c r="D85" s="12"/>
      <c r="E85" s="12"/>
      <c r="F85" s="265"/>
      <c r="G85" s="265"/>
      <c r="H85" s="265"/>
      <c r="I85" s="265"/>
      <c r="J85" s="137"/>
      <c r="K85" s="265"/>
      <c r="L85" s="265"/>
      <c r="M85" s="265"/>
      <c r="N85" s="265"/>
      <c r="O85" s="137"/>
      <c r="P85" s="265"/>
      <c r="Q85" s="265"/>
      <c r="R85" s="265"/>
      <c r="S85" s="265"/>
      <c r="T85" s="137"/>
      <c r="U85" s="265"/>
      <c r="V85" s="265"/>
      <c r="W85" s="265"/>
      <c r="X85" s="268"/>
      <c r="Y85" s="137"/>
      <c r="Z85" s="268"/>
      <c r="AA85" s="268"/>
      <c r="AB85" s="268"/>
      <c r="AC85" s="268"/>
      <c r="AD85" s="137"/>
      <c r="AE85" s="137"/>
      <c r="AF85" s="137"/>
      <c r="AG85" s="137"/>
    </row>
    <row r="86" spans="3:33" ht="14.25" customHeight="1">
      <c r="C86" s="36" t="s">
        <v>464</v>
      </c>
      <c r="D86" s="37"/>
      <c r="E86" s="37"/>
      <c r="F86" s="442"/>
      <c r="G86" s="442"/>
      <c r="H86" s="442"/>
      <c r="I86" s="442"/>
      <c r="J86" s="442"/>
      <c r="K86" s="442"/>
      <c r="L86" s="442"/>
      <c r="M86" s="442"/>
      <c r="N86" s="442"/>
      <c r="O86" s="442"/>
      <c r="P86" s="442"/>
      <c r="Q86" s="442"/>
      <c r="R86" s="442"/>
      <c r="S86" s="442"/>
      <c r="T86" s="442"/>
      <c r="U86" s="442"/>
      <c r="V86" s="442"/>
      <c r="W86" s="442"/>
      <c r="X86" s="442"/>
      <c r="Y86" s="442"/>
      <c r="Z86" s="442"/>
      <c r="AA86" s="442"/>
      <c r="AB86" s="442"/>
      <c r="AC86" s="442"/>
      <c r="AD86" s="442"/>
      <c r="AE86" s="442"/>
      <c r="AF86" s="442"/>
      <c r="AG86" s="443"/>
    </row>
    <row r="87" spans="3:33" ht="14.25" customHeight="1">
      <c r="C87" s="12"/>
      <c r="D87" s="12"/>
      <c r="E87" s="12"/>
      <c r="F87" s="265"/>
      <c r="G87" s="265"/>
      <c r="H87" s="265"/>
      <c r="I87" s="265"/>
      <c r="J87" s="137"/>
      <c r="K87" s="265"/>
      <c r="L87" s="265"/>
      <c r="M87" s="265"/>
      <c r="N87" s="265"/>
      <c r="O87" s="137"/>
      <c r="P87" s="265"/>
      <c r="Q87" s="265"/>
      <c r="R87" s="265"/>
      <c r="S87" s="265"/>
      <c r="T87" s="137"/>
      <c r="U87" s="265"/>
      <c r="V87" s="265"/>
      <c r="W87" s="265"/>
      <c r="X87" s="268"/>
      <c r="Y87" s="137"/>
      <c r="Z87" s="268"/>
      <c r="AA87" s="268"/>
      <c r="AB87" s="268"/>
      <c r="AC87" s="268"/>
      <c r="AD87" s="137"/>
      <c r="AE87" s="137"/>
      <c r="AF87" s="137"/>
      <c r="AG87" s="137"/>
    </row>
    <row r="88" spans="3:33" ht="14.25" hidden="1" customHeight="1" outlineLevel="1">
      <c r="C88" s="12" t="s">
        <v>247</v>
      </c>
      <c r="D88" s="12"/>
      <c r="E88" s="12"/>
      <c r="F88" s="444">
        <f t="shared" ref="F88:I88" si="98">SUM(F89:F93)</f>
        <v>0</v>
      </c>
      <c r="G88" s="444">
        <f t="shared" si="98"/>
        <v>0</v>
      </c>
      <c r="H88" s="444">
        <f t="shared" si="98"/>
        <v>0</v>
      </c>
      <c r="I88" s="444">
        <f t="shared" si="98"/>
        <v>0</v>
      </c>
      <c r="J88" s="233">
        <f t="shared" ref="J88:J93" si="99">SUM(F88:I88)</f>
        <v>0</v>
      </c>
      <c r="K88" s="444">
        <f t="shared" ref="K88:N88" si="100">SUM(K89:K93)</f>
        <v>0</v>
      </c>
      <c r="L88" s="444">
        <f t="shared" si="100"/>
        <v>0</v>
      </c>
      <c r="M88" s="444">
        <f t="shared" si="100"/>
        <v>0</v>
      </c>
      <c r="N88" s="444">
        <f t="shared" si="100"/>
        <v>0</v>
      </c>
      <c r="O88" s="233">
        <f t="shared" ref="O88:O93" si="101">SUM(K88:N88)</f>
        <v>0</v>
      </c>
      <c r="P88" s="444">
        <f t="shared" ref="P88:S88" si="102">SUM(P89:P93)</f>
        <v>0</v>
      </c>
      <c r="Q88" s="444">
        <f t="shared" si="102"/>
        <v>0</v>
      </c>
      <c r="R88" s="444">
        <f t="shared" si="102"/>
        <v>0</v>
      </c>
      <c r="S88" s="444">
        <f t="shared" si="102"/>
        <v>0</v>
      </c>
      <c r="T88" s="233">
        <f t="shared" ref="T88:T93" si="103">SUM(P88:S88)</f>
        <v>0</v>
      </c>
      <c r="U88" s="444">
        <f t="shared" ref="U88:X88" si="104">SUM(U89:U93)</f>
        <v>0</v>
      </c>
      <c r="V88" s="444">
        <f t="shared" si="104"/>
        <v>0</v>
      </c>
      <c r="W88" s="444">
        <f t="shared" si="104"/>
        <v>0</v>
      </c>
      <c r="X88" s="445">
        <f t="shared" si="104"/>
        <v>0</v>
      </c>
      <c r="Y88" s="233">
        <f t="shared" ref="Y88:Y93" si="105">SUM(U88:X88)</f>
        <v>0</v>
      </c>
      <c r="Z88" s="445">
        <f t="shared" ref="Z88:AC88" si="106">SUM(Z89:Z93)</f>
        <v>0</v>
      </c>
      <c r="AA88" s="445">
        <f t="shared" si="106"/>
        <v>0</v>
      </c>
      <c r="AB88" s="445">
        <f t="shared" si="106"/>
        <v>0</v>
      </c>
      <c r="AC88" s="445">
        <f t="shared" si="106"/>
        <v>0</v>
      </c>
      <c r="AD88" s="233">
        <f t="shared" ref="AD88:AD93" si="107">SUM(Z88:AC88)</f>
        <v>0</v>
      </c>
      <c r="AE88" s="446">
        <f t="shared" ref="AE88:AG88" si="108">SUM(AE89:AE93)</f>
        <v>0</v>
      </c>
      <c r="AF88" s="446">
        <f t="shared" si="108"/>
        <v>0</v>
      </c>
      <c r="AG88" s="446">
        <f t="shared" si="108"/>
        <v>0</v>
      </c>
    </row>
    <row r="89" spans="3:33" ht="14.25" hidden="1" customHeight="1" outlineLevel="1">
      <c r="C89" s="422" t="s">
        <v>465</v>
      </c>
      <c r="D89" s="12"/>
      <c r="E89" s="12"/>
      <c r="F89" s="415">
        <v>0</v>
      </c>
      <c r="G89" s="415">
        <v>0</v>
      </c>
      <c r="H89" s="415">
        <v>0</v>
      </c>
      <c r="I89" s="415">
        <v>0</v>
      </c>
      <c r="J89" s="416">
        <f t="shared" si="99"/>
        <v>0</v>
      </c>
      <c r="K89" s="415">
        <v>0</v>
      </c>
      <c r="L89" s="415">
        <v>0</v>
      </c>
      <c r="M89" s="415">
        <v>0</v>
      </c>
      <c r="N89" s="415">
        <v>0</v>
      </c>
      <c r="O89" s="416">
        <f t="shared" si="101"/>
        <v>0</v>
      </c>
      <c r="P89" s="415">
        <v>0</v>
      </c>
      <c r="Q89" s="415">
        <v>0</v>
      </c>
      <c r="R89" s="415">
        <v>0</v>
      </c>
      <c r="S89" s="415">
        <v>0</v>
      </c>
      <c r="T89" s="416">
        <f t="shared" si="103"/>
        <v>0</v>
      </c>
      <c r="U89" s="415">
        <v>0</v>
      </c>
      <c r="V89" s="415">
        <v>0</v>
      </c>
      <c r="W89" s="415">
        <v>0</v>
      </c>
      <c r="X89" s="423">
        <v>0</v>
      </c>
      <c r="Y89" s="416">
        <f t="shared" si="105"/>
        <v>0</v>
      </c>
      <c r="Z89" s="423">
        <v>0</v>
      </c>
      <c r="AA89" s="423">
        <v>0</v>
      </c>
      <c r="AB89" s="423">
        <v>0</v>
      </c>
      <c r="AC89" s="423">
        <v>0</v>
      </c>
      <c r="AD89" s="416">
        <f t="shared" si="107"/>
        <v>0</v>
      </c>
      <c r="AE89" s="424">
        <v>0</v>
      </c>
      <c r="AF89" s="424">
        <v>0</v>
      </c>
      <c r="AG89" s="424">
        <v>0</v>
      </c>
    </row>
    <row r="90" spans="3:33" ht="14.25" hidden="1" customHeight="1" outlineLevel="1">
      <c r="C90" s="422" t="s">
        <v>466</v>
      </c>
      <c r="D90" s="12"/>
      <c r="E90" s="12"/>
      <c r="F90" s="415">
        <v>0</v>
      </c>
      <c r="G90" s="415">
        <v>0</v>
      </c>
      <c r="H90" s="415">
        <v>0</v>
      </c>
      <c r="I90" s="415">
        <v>0</v>
      </c>
      <c r="J90" s="416">
        <f t="shared" si="99"/>
        <v>0</v>
      </c>
      <c r="K90" s="415">
        <v>0</v>
      </c>
      <c r="L90" s="415">
        <v>0</v>
      </c>
      <c r="M90" s="415">
        <v>0</v>
      </c>
      <c r="N90" s="415">
        <v>0</v>
      </c>
      <c r="O90" s="416">
        <f t="shared" si="101"/>
        <v>0</v>
      </c>
      <c r="P90" s="415">
        <v>0</v>
      </c>
      <c r="Q90" s="415">
        <v>0</v>
      </c>
      <c r="R90" s="415">
        <v>0</v>
      </c>
      <c r="S90" s="415">
        <v>0</v>
      </c>
      <c r="T90" s="416">
        <f t="shared" si="103"/>
        <v>0</v>
      </c>
      <c r="U90" s="415">
        <v>0</v>
      </c>
      <c r="V90" s="415">
        <v>0</v>
      </c>
      <c r="W90" s="415">
        <v>0</v>
      </c>
      <c r="X90" s="423">
        <v>0</v>
      </c>
      <c r="Y90" s="416">
        <f t="shared" si="105"/>
        <v>0</v>
      </c>
      <c r="Z90" s="423">
        <v>0</v>
      </c>
      <c r="AA90" s="423">
        <v>0</v>
      </c>
      <c r="AB90" s="423">
        <v>0</v>
      </c>
      <c r="AC90" s="423">
        <v>0</v>
      </c>
      <c r="AD90" s="416">
        <f t="shared" si="107"/>
        <v>0</v>
      </c>
      <c r="AE90" s="424">
        <v>0</v>
      </c>
      <c r="AF90" s="424">
        <v>0</v>
      </c>
      <c r="AG90" s="424">
        <v>0</v>
      </c>
    </row>
    <row r="91" spans="3:33" ht="14.25" hidden="1" customHeight="1" outlineLevel="1">
      <c r="C91" s="422" t="s">
        <v>467</v>
      </c>
      <c r="D91" s="12"/>
      <c r="E91" s="12"/>
      <c r="F91" s="415">
        <v>0</v>
      </c>
      <c r="G91" s="415">
        <v>0</v>
      </c>
      <c r="H91" s="415">
        <v>0</v>
      </c>
      <c r="I91" s="415">
        <v>0</v>
      </c>
      <c r="J91" s="416">
        <f t="shared" si="99"/>
        <v>0</v>
      </c>
      <c r="K91" s="415">
        <v>0</v>
      </c>
      <c r="L91" s="415">
        <v>0</v>
      </c>
      <c r="M91" s="415">
        <v>0</v>
      </c>
      <c r="N91" s="415">
        <v>0</v>
      </c>
      <c r="O91" s="416">
        <f t="shared" si="101"/>
        <v>0</v>
      </c>
      <c r="P91" s="415">
        <v>0</v>
      </c>
      <c r="Q91" s="415">
        <v>0</v>
      </c>
      <c r="R91" s="415">
        <v>0</v>
      </c>
      <c r="S91" s="415">
        <v>0</v>
      </c>
      <c r="T91" s="416">
        <f t="shared" si="103"/>
        <v>0</v>
      </c>
      <c r="U91" s="415">
        <v>0</v>
      </c>
      <c r="V91" s="415">
        <v>0</v>
      </c>
      <c r="W91" s="415">
        <v>0</v>
      </c>
      <c r="X91" s="423">
        <v>0</v>
      </c>
      <c r="Y91" s="416">
        <f t="shared" si="105"/>
        <v>0</v>
      </c>
      <c r="Z91" s="423">
        <v>0</v>
      </c>
      <c r="AA91" s="423">
        <v>0</v>
      </c>
      <c r="AB91" s="423">
        <v>0</v>
      </c>
      <c r="AC91" s="423">
        <v>0</v>
      </c>
      <c r="AD91" s="416">
        <f t="shared" si="107"/>
        <v>0</v>
      </c>
      <c r="AE91" s="424">
        <v>0</v>
      </c>
      <c r="AF91" s="424">
        <v>0</v>
      </c>
      <c r="AG91" s="424">
        <v>0</v>
      </c>
    </row>
    <row r="92" spans="3:33" ht="14.25" hidden="1" customHeight="1" outlineLevel="1">
      <c r="C92" s="422" t="s">
        <v>468</v>
      </c>
      <c r="D92" s="12"/>
      <c r="E92" s="12"/>
      <c r="F92" s="415">
        <v>0</v>
      </c>
      <c r="G92" s="415">
        <v>0</v>
      </c>
      <c r="H92" s="415">
        <v>0</v>
      </c>
      <c r="I92" s="415">
        <v>0</v>
      </c>
      <c r="J92" s="416">
        <f t="shared" si="99"/>
        <v>0</v>
      </c>
      <c r="K92" s="415">
        <v>0</v>
      </c>
      <c r="L92" s="415">
        <v>0</v>
      </c>
      <c r="M92" s="415">
        <v>0</v>
      </c>
      <c r="N92" s="415">
        <v>0</v>
      </c>
      <c r="O92" s="416">
        <f t="shared" si="101"/>
        <v>0</v>
      </c>
      <c r="P92" s="415">
        <v>0</v>
      </c>
      <c r="Q92" s="415">
        <v>0</v>
      </c>
      <c r="R92" s="415">
        <v>0</v>
      </c>
      <c r="S92" s="415">
        <v>0</v>
      </c>
      <c r="T92" s="416">
        <f t="shared" si="103"/>
        <v>0</v>
      </c>
      <c r="U92" s="415">
        <v>0</v>
      </c>
      <c r="V92" s="415">
        <v>0</v>
      </c>
      <c r="W92" s="415">
        <v>0</v>
      </c>
      <c r="X92" s="423">
        <v>0</v>
      </c>
      <c r="Y92" s="416">
        <f t="shared" si="105"/>
        <v>0</v>
      </c>
      <c r="Z92" s="423">
        <v>0</v>
      </c>
      <c r="AA92" s="423">
        <v>0</v>
      </c>
      <c r="AB92" s="423">
        <v>0</v>
      </c>
      <c r="AC92" s="423">
        <v>0</v>
      </c>
      <c r="AD92" s="416">
        <f t="shared" si="107"/>
        <v>0</v>
      </c>
      <c r="AE92" s="424">
        <v>0</v>
      </c>
      <c r="AF92" s="424">
        <v>0</v>
      </c>
      <c r="AG92" s="424">
        <v>0</v>
      </c>
    </row>
    <row r="93" spans="3:33" ht="14.25" hidden="1" customHeight="1" outlineLevel="1">
      <c r="C93" s="422" t="s">
        <v>469</v>
      </c>
      <c r="D93" s="12"/>
      <c r="E93" s="12"/>
      <c r="F93" s="415">
        <v>0</v>
      </c>
      <c r="G93" s="415">
        <v>0</v>
      </c>
      <c r="H93" s="415">
        <v>0</v>
      </c>
      <c r="I93" s="415">
        <v>0</v>
      </c>
      <c r="J93" s="416">
        <f t="shared" si="99"/>
        <v>0</v>
      </c>
      <c r="K93" s="415">
        <v>0</v>
      </c>
      <c r="L93" s="415">
        <v>0</v>
      </c>
      <c r="M93" s="415">
        <v>0</v>
      </c>
      <c r="N93" s="415">
        <v>0</v>
      </c>
      <c r="O93" s="416">
        <f t="shared" si="101"/>
        <v>0</v>
      </c>
      <c r="P93" s="415">
        <v>0</v>
      </c>
      <c r="Q93" s="415">
        <v>0</v>
      </c>
      <c r="R93" s="415">
        <v>0</v>
      </c>
      <c r="S93" s="415">
        <v>0</v>
      </c>
      <c r="T93" s="416">
        <f t="shared" si="103"/>
        <v>0</v>
      </c>
      <c r="U93" s="415">
        <v>0</v>
      </c>
      <c r="V93" s="415">
        <v>0</v>
      </c>
      <c r="W93" s="415">
        <v>0</v>
      </c>
      <c r="X93" s="423">
        <v>0</v>
      </c>
      <c r="Y93" s="416">
        <f t="shared" si="105"/>
        <v>0</v>
      </c>
      <c r="Z93" s="423">
        <v>0</v>
      </c>
      <c r="AA93" s="423">
        <v>0</v>
      </c>
      <c r="AB93" s="423">
        <v>0</v>
      </c>
      <c r="AC93" s="423">
        <v>0</v>
      </c>
      <c r="AD93" s="416">
        <f t="shared" si="107"/>
        <v>0</v>
      </c>
      <c r="AE93" s="424">
        <v>0</v>
      </c>
      <c r="AF93" s="424">
        <v>0</v>
      </c>
      <c r="AG93" s="424">
        <v>0</v>
      </c>
    </row>
    <row r="94" spans="3:33" ht="14.25" hidden="1" customHeight="1" outlineLevel="1">
      <c r="C94" s="12"/>
      <c r="D94" s="12"/>
      <c r="E94" s="12"/>
      <c r="F94" s="447"/>
      <c r="G94" s="447"/>
      <c r="H94" s="447"/>
      <c r="I94" s="447"/>
      <c r="J94" s="441"/>
      <c r="K94" s="447"/>
      <c r="L94" s="447"/>
      <c r="M94" s="447"/>
      <c r="N94" s="447"/>
      <c r="O94" s="441"/>
      <c r="P94" s="447"/>
      <c r="Q94" s="447"/>
      <c r="R94" s="447"/>
      <c r="S94" s="447"/>
      <c r="T94" s="441"/>
      <c r="U94" s="447"/>
      <c r="V94" s="447"/>
      <c r="W94" s="447"/>
      <c r="X94" s="448"/>
      <c r="Y94" s="441"/>
      <c r="Z94" s="448"/>
      <c r="AA94" s="448"/>
      <c r="AB94" s="448"/>
      <c r="AC94" s="448"/>
      <c r="AD94" s="441"/>
      <c r="AE94" s="449"/>
      <c r="AF94" s="449"/>
      <c r="AG94" s="449"/>
    </row>
    <row r="95" spans="3:33" ht="14.25" hidden="1" customHeight="1" outlineLevel="1">
      <c r="C95" s="12" t="s">
        <v>445</v>
      </c>
      <c r="D95" s="12"/>
      <c r="E95" s="12"/>
      <c r="F95" s="420"/>
      <c r="G95" s="420"/>
      <c r="H95" s="420"/>
      <c r="I95" s="420"/>
      <c r="J95" s="137"/>
      <c r="K95" s="420"/>
      <c r="L95" s="420"/>
      <c r="M95" s="420"/>
      <c r="N95" s="420"/>
      <c r="O95" s="137"/>
      <c r="P95" s="420"/>
      <c r="Q95" s="420"/>
      <c r="R95" s="420"/>
      <c r="S95" s="420"/>
      <c r="T95" s="137"/>
      <c r="U95" s="420"/>
      <c r="V95" s="420"/>
      <c r="W95" s="420"/>
      <c r="X95" s="421"/>
      <c r="Y95" s="137"/>
      <c r="Z95" s="421"/>
      <c r="AA95" s="421"/>
      <c r="AB95" s="421"/>
      <c r="AC95" s="421"/>
      <c r="AD95" s="137"/>
      <c r="AE95" s="425"/>
      <c r="AF95" s="425"/>
      <c r="AG95" s="425"/>
    </row>
    <row r="96" spans="3:33" ht="14.25" hidden="1" customHeight="1" outlineLevel="1">
      <c r="C96" s="108" t="str">
        <f>C$89</f>
        <v>North America</v>
      </c>
      <c r="D96" s="12"/>
      <c r="E96" s="12"/>
      <c r="F96" s="265" t="str">
        <f t="shared" ref="F96:AG96" si="109">IFERROR(F89/F$88,"N/A")</f>
        <v>N/A</v>
      </c>
      <c r="G96" s="265" t="str">
        <f t="shared" si="109"/>
        <v>N/A</v>
      </c>
      <c r="H96" s="265" t="str">
        <f t="shared" si="109"/>
        <v>N/A</v>
      </c>
      <c r="I96" s="265" t="str">
        <f t="shared" si="109"/>
        <v>N/A</v>
      </c>
      <c r="J96" s="137" t="str">
        <f t="shared" si="109"/>
        <v>N/A</v>
      </c>
      <c r="K96" s="323" t="str">
        <f t="shared" si="109"/>
        <v>N/A</v>
      </c>
      <c r="L96" s="323" t="str">
        <f t="shared" si="109"/>
        <v>N/A</v>
      </c>
      <c r="M96" s="323" t="str">
        <f t="shared" si="109"/>
        <v>N/A</v>
      </c>
      <c r="N96" s="323" t="str">
        <f t="shared" si="109"/>
        <v>N/A</v>
      </c>
      <c r="O96" s="324" t="str">
        <f t="shared" si="109"/>
        <v>N/A</v>
      </c>
      <c r="P96" s="323" t="str">
        <f t="shared" si="109"/>
        <v>N/A</v>
      </c>
      <c r="Q96" s="323" t="str">
        <f t="shared" si="109"/>
        <v>N/A</v>
      </c>
      <c r="R96" s="323" t="str">
        <f t="shared" si="109"/>
        <v>N/A</v>
      </c>
      <c r="S96" s="323" t="str">
        <f t="shared" si="109"/>
        <v>N/A</v>
      </c>
      <c r="T96" s="324" t="str">
        <f t="shared" si="109"/>
        <v>N/A</v>
      </c>
      <c r="U96" s="323" t="str">
        <f t="shared" si="109"/>
        <v>N/A</v>
      </c>
      <c r="V96" s="323" t="str">
        <f t="shared" si="109"/>
        <v>N/A</v>
      </c>
      <c r="W96" s="323" t="str">
        <f t="shared" si="109"/>
        <v>N/A</v>
      </c>
      <c r="X96" s="325" t="str">
        <f t="shared" si="109"/>
        <v>N/A</v>
      </c>
      <c r="Y96" s="324" t="str">
        <f t="shared" si="109"/>
        <v>N/A</v>
      </c>
      <c r="Z96" s="325" t="str">
        <f t="shared" si="109"/>
        <v>N/A</v>
      </c>
      <c r="AA96" s="325" t="str">
        <f t="shared" si="109"/>
        <v>N/A</v>
      </c>
      <c r="AB96" s="325" t="str">
        <f t="shared" si="109"/>
        <v>N/A</v>
      </c>
      <c r="AC96" s="325" t="str">
        <f t="shared" si="109"/>
        <v>N/A</v>
      </c>
      <c r="AD96" s="324" t="str">
        <f t="shared" si="109"/>
        <v>N/A</v>
      </c>
      <c r="AE96" s="324" t="str">
        <f t="shared" si="109"/>
        <v>N/A</v>
      </c>
      <c r="AF96" s="324" t="str">
        <f t="shared" si="109"/>
        <v>N/A</v>
      </c>
      <c r="AG96" s="324" t="str">
        <f t="shared" si="109"/>
        <v>N/A</v>
      </c>
    </row>
    <row r="97" spans="3:33" ht="14.25" hidden="1" customHeight="1" outlineLevel="1">
      <c r="C97" s="108" t="str">
        <f>C$90</f>
        <v>Europe</v>
      </c>
      <c r="D97" s="12"/>
      <c r="E97" s="12"/>
      <c r="F97" s="265" t="str">
        <f t="shared" ref="F97:AG97" si="110">IFERROR(F90/F$88,"N/A")</f>
        <v>N/A</v>
      </c>
      <c r="G97" s="265" t="str">
        <f t="shared" si="110"/>
        <v>N/A</v>
      </c>
      <c r="H97" s="265" t="str">
        <f t="shared" si="110"/>
        <v>N/A</v>
      </c>
      <c r="I97" s="265" t="str">
        <f t="shared" si="110"/>
        <v>N/A</v>
      </c>
      <c r="J97" s="137" t="str">
        <f t="shared" si="110"/>
        <v>N/A</v>
      </c>
      <c r="K97" s="323" t="str">
        <f t="shared" si="110"/>
        <v>N/A</v>
      </c>
      <c r="L97" s="323" t="str">
        <f t="shared" si="110"/>
        <v>N/A</v>
      </c>
      <c r="M97" s="323" t="str">
        <f t="shared" si="110"/>
        <v>N/A</v>
      </c>
      <c r="N97" s="323" t="str">
        <f t="shared" si="110"/>
        <v>N/A</v>
      </c>
      <c r="O97" s="324" t="str">
        <f t="shared" si="110"/>
        <v>N/A</v>
      </c>
      <c r="P97" s="323" t="str">
        <f t="shared" si="110"/>
        <v>N/A</v>
      </c>
      <c r="Q97" s="323" t="str">
        <f t="shared" si="110"/>
        <v>N/A</v>
      </c>
      <c r="R97" s="323" t="str">
        <f t="shared" si="110"/>
        <v>N/A</v>
      </c>
      <c r="S97" s="323" t="str">
        <f t="shared" si="110"/>
        <v>N/A</v>
      </c>
      <c r="T97" s="324" t="str">
        <f t="shared" si="110"/>
        <v>N/A</v>
      </c>
      <c r="U97" s="323" t="str">
        <f t="shared" si="110"/>
        <v>N/A</v>
      </c>
      <c r="V97" s="323" t="str">
        <f t="shared" si="110"/>
        <v>N/A</v>
      </c>
      <c r="W97" s="323" t="str">
        <f t="shared" si="110"/>
        <v>N/A</v>
      </c>
      <c r="X97" s="325" t="str">
        <f t="shared" si="110"/>
        <v>N/A</v>
      </c>
      <c r="Y97" s="324" t="str">
        <f t="shared" si="110"/>
        <v>N/A</v>
      </c>
      <c r="Z97" s="325" t="str">
        <f t="shared" si="110"/>
        <v>N/A</v>
      </c>
      <c r="AA97" s="325" t="str">
        <f t="shared" si="110"/>
        <v>N/A</v>
      </c>
      <c r="AB97" s="325" t="str">
        <f t="shared" si="110"/>
        <v>N/A</v>
      </c>
      <c r="AC97" s="325" t="str">
        <f t="shared" si="110"/>
        <v>N/A</v>
      </c>
      <c r="AD97" s="324" t="str">
        <f t="shared" si="110"/>
        <v>N/A</v>
      </c>
      <c r="AE97" s="324" t="str">
        <f t="shared" si="110"/>
        <v>N/A</v>
      </c>
      <c r="AF97" s="324" t="str">
        <f t="shared" si="110"/>
        <v>N/A</v>
      </c>
      <c r="AG97" s="324" t="str">
        <f t="shared" si="110"/>
        <v>N/A</v>
      </c>
    </row>
    <row r="98" spans="3:33" ht="14.25" hidden="1" customHeight="1" outlineLevel="1">
      <c r="C98" s="108" t="str">
        <f>C$91</f>
        <v>South America</v>
      </c>
      <c r="D98" s="12"/>
      <c r="E98" s="12"/>
      <c r="F98" s="265" t="str">
        <f t="shared" ref="F98:AG98" si="111">IFERROR(F91/F$88,"N/A")</f>
        <v>N/A</v>
      </c>
      <c r="G98" s="265" t="str">
        <f t="shared" si="111"/>
        <v>N/A</v>
      </c>
      <c r="H98" s="265" t="str">
        <f t="shared" si="111"/>
        <v>N/A</v>
      </c>
      <c r="I98" s="265" t="str">
        <f t="shared" si="111"/>
        <v>N/A</v>
      </c>
      <c r="J98" s="137" t="str">
        <f t="shared" si="111"/>
        <v>N/A</v>
      </c>
      <c r="K98" s="323" t="str">
        <f t="shared" si="111"/>
        <v>N/A</v>
      </c>
      <c r="L98" s="323" t="str">
        <f t="shared" si="111"/>
        <v>N/A</v>
      </c>
      <c r="M98" s="323" t="str">
        <f t="shared" si="111"/>
        <v>N/A</v>
      </c>
      <c r="N98" s="323" t="str">
        <f t="shared" si="111"/>
        <v>N/A</v>
      </c>
      <c r="O98" s="324" t="str">
        <f t="shared" si="111"/>
        <v>N/A</v>
      </c>
      <c r="P98" s="323" t="str">
        <f t="shared" si="111"/>
        <v>N/A</v>
      </c>
      <c r="Q98" s="323" t="str">
        <f t="shared" si="111"/>
        <v>N/A</v>
      </c>
      <c r="R98" s="323" t="str">
        <f t="shared" si="111"/>
        <v>N/A</v>
      </c>
      <c r="S98" s="323" t="str">
        <f t="shared" si="111"/>
        <v>N/A</v>
      </c>
      <c r="T98" s="324" t="str">
        <f t="shared" si="111"/>
        <v>N/A</v>
      </c>
      <c r="U98" s="323" t="str">
        <f t="shared" si="111"/>
        <v>N/A</v>
      </c>
      <c r="V98" s="323" t="str">
        <f t="shared" si="111"/>
        <v>N/A</v>
      </c>
      <c r="W98" s="323" t="str">
        <f t="shared" si="111"/>
        <v>N/A</v>
      </c>
      <c r="X98" s="325" t="str">
        <f t="shared" si="111"/>
        <v>N/A</v>
      </c>
      <c r="Y98" s="324" t="str">
        <f t="shared" si="111"/>
        <v>N/A</v>
      </c>
      <c r="Z98" s="325" t="str">
        <f t="shared" si="111"/>
        <v>N/A</v>
      </c>
      <c r="AA98" s="325" t="str">
        <f t="shared" si="111"/>
        <v>N/A</v>
      </c>
      <c r="AB98" s="325" t="str">
        <f t="shared" si="111"/>
        <v>N/A</v>
      </c>
      <c r="AC98" s="325" t="str">
        <f t="shared" si="111"/>
        <v>N/A</v>
      </c>
      <c r="AD98" s="324" t="str">
        <f t="shared" si="111"/>
        <v>N/A</v>
      </c>
      <c r="AE98" s="324" t="str">
        <f t="shared" si="111"/>
        <v>N/A</v>
      </c>
      <c r="AF98" s="324" t="str">
        <f t="shared" si="111"/>
        <v>N/A</v>
      </c>
      <c r="AG98" s="324" t="str">
        <f t="shared" si="111"/>
        <v>N/A</v>
      </c>
    </row>
    <row r="99" spans="3:33" ht="14.25" hidden="1" customHeight="1" outlineLevel="1">
      <c r="C99" s="108" t="str">
        <f>C$92</f>
        <v>Middle East &amp; Africa</v>
      </c>
      <c r="D99" s="12"/>
      <c r="E99" s="12"/>
      <c r="F99" s="265" t="str">
        <f t="shared" ref="F99:AG99" si="112">IFERROR(F92/F$88,"N/A")</f>
        <v>N/A</v>
      </c>
      <c r="G99" s="265" t="str">
        <f t="shared" si="112"/>
        <v>N/A</v>
      </c>
      <c r="H99" s="265" t="str">
        <f t="shared" si="112"/>
        <v>N/A</v>
      </c>
      <c r="I99" s="265" t="str">
        <f t="shared" si="112"/>
        <v>N/A</v>
      </c>
      <c r="J99" s="137" t="str">
        <f t="shared" si="112"/>
        <v>N/A</v>
      </c>
      <c r="K99" s="323" t="str">
        <f t="shared" si="112"/>
        <v>N/A</v>
      </c>
      <c r="L99" s="323" t="str">
        <f t="shared" si="112"/>
        <v>N/A</v>
      </c>
      <c r="M99" s="323" t="str">
        <f t="shared" si="112"/>
        <v>N/A</v>
      </c>
      <c r="N99" s="323" t="str">
        <f t="shared" si="112"/>
        <v>N/A</v>
      </c>
      <c r="O99" s="324" t="str">
        <f t="shared" si="112"/>
        <v>N/A</v>
      </c>
      <c r="P99" s="323" t="str">
        <f t="shared" si="112"/>
        <v>N/A</v>
      </c>
      <c r="Q99" s="323" t="str">
        <f t="shared" si="112"/>
        <v>N/A</v>
      </c>
      <c r="R99" s="323" t="str">
        <f t="shared" si="112"/>
        <v>N/A</v>
      </c>
      <c r="S99" s="323" t="str">
        <f t="shared" si="112"/>
        <v>N/A</v>
      </c>
      <c r="T99" s="324" t="str">
        <f t="shared" si="112"/>
        <v>N/A</v>
      </c>
      <c r="U99" s="323" t="str">
        <f t="shared" si="112"/>
        <v>N/A</v>
      </c>
      <c r="V99" s="323" t="str">
        <f t="shared" si="112"/>
        <v>N/A</v>
      </c>
      <c r="W99" s="323" t="str">
        <f t="shared" si="112"/>
        <v>N/A</v>
      </c>
      <c r="X99" s="325" t="str">
        <f t="shared" si="112"/>
        <v>N/A</v>
      </c>
      <c r="Y99" s="324" t="str">
        <f t="shared" si="112"/>
        <v>N/A</v>
      </c>
      <c r="Z99" s="325" t="str">
        <f t="shared" si="112"/>
        <v>N/A</v>
      </c>
      <c r="AA99" s="325" t="str">
        <f t="shared" si="112"/>
        <v>N/A</v>
      </c>
      <c r="AB99" s="325" t="str">
        <f t="shared" si="112"/>
        <v>N/A</v>
      </c>
      <c r="AC99" s="325" t="str">
        <f t="shared" si="112"/>
        <v>N/A</v>
      </c>
      <c r="AD99" s="324" t="str">
        <f t="shared" si="112"/>
        <v>N/A</v>
      </c>
      <c r="AE99" s="324" t="str">
        <f t="shared" si="112"/>
        <v>N/A</v>
      </c>
      <c r="AF99" s="324" t="str">
        <f t="shared" si="112"/>
        <v>N/A</v>
      </c>
      <c r="AG99" s="324" t="str">
        <f t="shared" si="112"/>
        <v>N/A</v>
      </c>
    </row>
    <row r="100" spans="3:33" ht="14.25" hidden="1" customHeight="1" outlineLevel="1">
      <c r="C100" s="108" t="str">
        <f>C$93</f>
        <v>Asia Pacific</v>
      </c>
      <c r="D100" s="12"/>
      <c r="E100" s="12"/>
      <c r="F100" s="265" t="str">
        <f t="shared" ref="F100:AG100" si="113">IFERROR(F93/F$88,"N/A")</f>
        <v>N/A</v>
      </c>
      <c r="G100" s="265" t="str">
        <f t="shared" si="113"/>
        <v>N/A</v>
      </c>
      <c r="H100" s="265" t="str">
        <f t="shared" si="113"/>
        <v>N/A</v>
      </c>
      <c r="I100" s="265" t="str">
        <f t="shared" si="113"/>
        <v>N/A</v>
      </c>
      <c r="J100" s="137" t="str">
        <f t="shared" si="113"/>
        <v>N/A</v>
      </c>
      <c r="K100" s="323" t="str">
        <f t="shared" si="113"/>
        <v>N/A</v>
      </c>
      <c r="L100" s="323" t="str">
        <f t="shared" si="113"/>
        <v>N/A</v>
      </c>
      <c r="M100" s="323" t="str">
        <f t="shared" si="113"/>
        <v>N/A</v>
      </c>
      <c r="N100" s="323" t="str">
        <f t="shared" si="113"/>
        <v>N/A</v>
      </c>
      <c r="O100" s="324" t="str">
        <f t="shared" si="113"/>
        <v>N/A</v>
      </c>
      <c r="P100" s="323" t="str">
        <f t="shared" si="113"/>
        <v>N/A</v>
      </c>
      <c r="Q100" s="323" t="str">
        <f t="shared" si="113"/>
        <v>N/A</v>
      </c>
      <c r="R100" s="323" t="str">
        <f t="shared" si="113"/>
        <v>N/A</v>
      </c>
      <c r="S100" s="323" t="str">
        <f t="shared" si="113"/>
        <v>N/A</v>
      </c>
      <c r="T100" s="324" t="str">
        <f t="shared" si="113"/>
        <v>N/A</v>
      </c>
      <c r="U100" s="323" t="str">
        <f t="shared" si="113"/>
        <v>N/A</v>
      </c>
      <c r="V100" s="323" t="str">
        <f t="shared" si="113"/>
        <v>N/A</v>
      </c>
      <c r="W100" s="323" t="str">
        <f t="shared" si="113"/>
        <v>N/A</v>
      </c>
      <c r="X100" s="325" t="str">
        <f t="shared" si="113"/>
        <v>N/A</v>
      </c>
      <c r="Y100" s="324" t="str">
        <f t="shared" si="113"/>
        <v>N/A</v>
      </c>
      <c r="Z100" s="325" t="str">
        <f t="shared" si="113"/>
        <v>N/A</v>
      </c>
      <c r="AA100" s="325" t="str">
        <f t="shared" si="113"/>
        <v>N/A</v>
      </c>
      <c r="AB100" s="325" t="str">
        <f t="shared" si="113"/>
        <v>N/A</v>
      </c>
      <c r="AC100" s="325" t="str">
        <f t="shared" si="113"/>
        <v>N/A</v>
      </c>
      <c r="AD100" s="324" t="str">
        <f t="shared" si="113"/>
        <v>N/A</v>
      </c>
      <c r="AE100" s="324" t="str">
        <f t="shared" si="113"/>
        <v>N/A</v>
      </c>
      <c r="AF100" s="324" t="str">
        <f t="shared" si="113"/>
        <v>N/A</v>
      </c>
      <c r="AG100" s="324" t="str">
        <f t="shared" si="113"/>
        <v>N/A</v>
      </c>
    </row>
    <row r="101" spans="3:33" ht="14.25" hidden="1" customHeight="1" outlineLevel="1">
      <c r="C101" s="12"/>
      <c r="D101" s="12"/>
      <c r="E101" s="12"/>
      <c r="F101" s="420"/>
      <c r="G101" s="420"/>
      <c r="H101" s="420"/>
      <c r="I101" s="420"/>
      <c r="J101" s="137"/>
      <c r="K101" s="420"/>
      <c r="L101" s="420"/>
      <c r="M101" s="420"/>
      <c r="N101" s="420"/>
      <c r="O101" s="137"/>
      <c r="P101" s="420"/>
      <c r="Q101" s="420"/>
      <c r="R101" s="420"/>
      <c r="S101" s="420"/>
      <c r="T101" s="137"/>
      <c r="U101" s="420"/>
      <c r="V101" s="420"/>
      <c r="W101" s="420"/>
      <c r="X101" s="421"/>
      <c r="Y101" s="137"/>
      <c r="Z101" s="421"/>
      <c r="AA101" s="421"/>
      <c r="AB101" s="421"/>
      <c r="AC101" s="421"/>
      <c r="AD101" s="137"/>
      <c r="AE101" s="425"/>
      <c r="AF101" s="425"/>
      <c r="AG101" s="425"/>
    </row>
    <row r="102" spans="3:33" ht="14.25" hidden="1" customHeight="1" outlineLevel="1">
      <c r="C102" s="12" t="str">
        <f>'Segment Analysis'!C9</f>
        <v>Segment 2 Revenue</v>
      </c>
      <c r="D102" s="12"/>
      <c r="E102" s="12"/>
      <c r="F102" s="265"/>
      <c r="G102" s="265"/>
      <c r="H102" s="265"/>
      <c r="I102" s="265"/>
      <c r="J102" s="137"/>
      <c r="K102" s="265"/>
      <c r="L102" s="265"/>
      <c r="M102" s="265"/>
      <c r="N102" s="265"/>
      <c r="O102" s="137"/>
      <c r="P102" s="265"/>
      <c r="Q102" s="265"/>
      <c r="R102" s="265"/>
      <c r="S102" s="265"/>
      <c r="T102" s="137"/>
      <c r="U102" s="265"/>
      <c r="V102" s="265"/>
      <c r="W102" s="265"/>
      <c r="X102" s="268"/>
      <c r="Y102" s="137"/>
      <c r="Z102" s="268"/>
      <c r="AA102" s="268"/>
      <c r="AB102" s="268"/>
      <c r="AC102" s="268"/>
      <c r="AD102" s="137"/>
      <c r="AE102" s="137"/>
      <c r="AF102" s="137"/>
      <c r="AG102" s="137"/>
    </row>
    <row r="103" spans="3:33" ht="14.25" hidden="1" customHeight="1" outlineLevel="1">
      <c r="C103" s="108" t="str">
        <f>C$89</f>
        <v>North America</v>
      </c>
      <c r="D103" s="12"/>
      <c r="E103" s="12"/>
      <c r="F103" s="415">
        <v>0</v>
      </c>
      <c r="G103" s="415">
        <v>0</v>
      </c>
      <c r="H103" s="415">
        <v>0</v>
      </c>
      <c r="I103" s="415">
        <v>0</v>
      </c>
      <c r="J103" s="416">
        <f t="shared" ref="J103:J107" si="114">SUM(F103:I103)</f>
        <v>0</v>
      </c>
      <c r="K103" s="415">
        <v>0</v>
      </c>
      <c r="L103" s="415">
        <v>0</v>
      </c>
      <c r="M103" s="415">
        <v>0</v>
      </c>
      <c r="N103" s="415">
        <v>0</v>
      </c>
      <c r="O103" s="416">
        <f t="shared" ref="O103:O107" si="115">SUM(K103:N103)</f>
        <v>0</v>
      </c>
      <c r="P103" s="415">
        <v>0</v>
      </c>
      <c r="Q103" s="415">
        <v>0</v>
      </c>
      <c r="R103" s="415">
        <v>0</v>
      </c>
      <c r="S103" s="415">
        <v>0</v>
      </c>
      <c r="T103" s="416">
        <f t="shared" ref="T103:T107" si="116">SUM(P103:S103)</f>
        <v>0</v>
      </c>
      <c r="U103" s="415">
        <v>0</v>
      </c>
      <c r="V103" s="415">
        <v>0</v>
      </c>
      <c r="W103" s="415">
        <v>0</v>
      </c>
      <c r="X103" s="423">
        <v>0</v>
      </c>
      <c r="Y103" s="416">
        <f t="shared" ref="Y103:Y107" si="117">SUM(U103:X103)</f>
        <v>0</v>
      </c>
      <c r="Z103" s="423">
        <v>0</v>
      </c>
      <c r="AA103" s="423">
        <v>0</v>
      </c>
      <c r="AB103" s="423">
        <v>0</v>
      </c>
      <c r="AC103" s="423">
        <v>0</v>
      </c>
      <c r="AD103" s="416">
        <f t="shared" ref="AD103:AD107" si="118">SUM(Z103:AC103)</f>
        <v>0</v>
      </c>
      <c r="AE103" s="424">
        <v>0</v>
      </c>
      <c r="AF103" s="424">
        <v>0</v>
      </c>
      <c r="AG103" s="424">
        <v>0</v>
      </c>
    </row>
    <row r="104" spans="3:33" ht="14.25" hidden="1" customHeight="1" outlineLevel="1">
      <c r="C104" s="108" t="str">
        <f>C$90</f>
        <v>Europe</v>
      </c>
      <c r="D104" s="12"/>
      <c r="E104" s="12"/>
      <c r="F104" s="415">
        <v>0</v>
      </c>
      <c r="G104" s="415">
        <v>0</v>
      </c>
      <c r="H104" s="415">
        <v>0</v>
      </c>
      <c r="I104" s="415">
        <v>0</v>
      </c>
      <c r="J104" s="416">
        <f t="shared" si="114"/>
        <v>0</v>
      </c>
      <c r="K104" s="415">
        <v>0</v>
      </c>
      <c r="L104" s="415">
        <v>0</v>
      </c>
      <c r="M104" s="415">
        <v>0</v>
      </c>
      <c r="N104" s="415">
        <v>0</v>
      </c>
      <c r="O104" s="416">
        <f t="shared" si="115"/>
        <v>0</v>
      </c>
      <c r="P104" s="415">
        <v>0</v>
      </c>
      <c r="Q104" s="415">
        <v>0</v>
      </c>
      <c r="R104" s="415">
        <v>0</v>
      </c>
      <c r="S104" s="415">
        <v>0</v>
      </c>
      <c r="T104" s="416">
        <f t="shared" si="116"/>
        <v>0</v>
      </c>
      <c r="U104" s="415">
        <v>0</v>
      </c>
      <c r="V104" s="415">
        <v>0</v>
      </c>
      <c r="W104" s="415">
        <v>0</v>
      </c>
      <c r="X104" s="423">
        <v>0</v>
      </c>
      <c r="Y104" s="416">
        <f t="shared" si="117"/>
        <v>0</v>
      </c>
      <c r="Z104" s="423">
        <v>0</v>
      </c>
      <c r="AA104" s="423">
        <v>0</v>
      </c>
      <c r="AB104" s="423">
        <v>0</v>
      </c>
      <c r="AC104" s="423">
        <v>0</v>
      </c>
      <c r="AD104" s="416">
        <f t="shared" si="118"/>
        <v>0</v>
      </c>
      <c r="AE104" s="424">
        <v>0</v>
      </c>
      <c r="AF104" s="424">
        <v>0</v>
      </c>
      <c r="AG104" s="424">
        <v>0</v>
      </c>
    </row>
    <row r="105" spans="3:33" ht="14.25" hidden="1" customHeight="1" outlineLevel="1">
      <c r="C105" s="108" t="str">
        <f>C$91</f>
        <v>South America</v>
      </c>
      <c r="D105" s="12"/>
      <c r="E105" s="12"/>
      <c r="F105" s="415">
        <v>0</v>
      </c>
      <c r="G105" s="415">
        <v>0</v>
      </c>
      <c r="H105" s="415">
        <v>0</v>
      </c>
      <c r="I105" s="415">
        <v>0</v>
      </c>
      <c r="J105" s="416">
        <f t="shared" si="114"/>
        <v>0</v>
      </c>
      <c r="K105" s="415">
        <v>0</v>
      </c>
      <c r="L105" s="415">
        <v>0</v>
      </c>
      <c r="M105" s="415">
        <v>0</v>
      </c>
      <c r="N105" s="415">
        <v>0</v>
      </c>
      <c r="O105" s="416">
        <f t="shared" si="115"/>
        <v>0</v>
      </c>
      <c r="P105" s="415">
        <v>0</v>
      </c>
      <c r="Q105" s="415">
        <v>0</v>
      </c>
      <c r="R105" s="415">
        <v>0</v>
      </c>
      <c r="S105" s="415">
        <v>0</v>
      </c>
      <c r="T105" s="416">
        <f t="shared" si="116"/>
        <v>0</v>
      </c>
      <c r="U105" s="415">
        <v>0</v>
      </c>
      <c r="V105" s="415">
        <v>0</v>
      </c>
      <c r="W105" s="415">
        <v>0</v>
      </c>
      <c r="X105" s="423">
        <v>0</v>
      </c>
      <c r="Y105" s="416">
        <f t="shared" si="117"/>
        <v>0</v>
      </c>
      <c r="Z105" s="423">
        <v>0</v>
      </c>
      <c r="AA105" s="423">
        <v>0</v>
      </c>
      <c r="AB105" s="423">
        <v>0</v>
      </c>
      <c r="AC105" s="423">
        <v>0</v>
      </c>
      <c r="AD105" s="416">
        <f t="shared" si="118"/>
        <v>0</v>
      </c>
      <c r="AE105" s="424">
        <v>0</v>
      </c>
      <c r="AF105" s="424">
        <v>0</v>
      </c>
      <c r="AG105" s="424">
        <v>0</v>
      </c>
    </row>
    <row r="106" spans="3:33" ht="14.25" hidden="1" customHeight="1" outlineLevel="1">
      <c r="C106" s="108" t="str">
        <f>C$92</f>
        <v>Middle East &amp; Africa</v>
      </c>
      <c r="D106" s="12"/>
      <c r="E106" s="12"/>
      <c r="F106" s="415">
        <v>0</v>
      </c>
      <c r="G106" s="415">
        <v>0</v>
      </c>
      <c r="H106" s="415">
        <v>0</v>
      </c>
      <c r="I106" s="415">
        <v>0</v>
      </c>
      <c r="J106" s="416">
        <f t="shared" si="114"/>
        <v>0</v>
      </c>
      <c r="K106" s="415">
        <v>0</v>
      </c>
      <c r="L106" s="415">
        <v>0</v>
      </c>
      <c r="M106" s="415">
        <v>0</v>
      </c>
      <c r="N106" s="415">
        <v>0</v>
      </c>
      <c r="O106" s="416">
        <f t="shared" si="115"/>
        <v>0</v>
      </c>
      <c r="P106" s="415">
        <v>0</v>
      </c>
      <c r="Q106" s="415">
        <v>0</v>
      </c>
      <c r="R106" s="415">
        <v>0</v>
      </c>
      <c r="S106" s="415">
        <v>0</v>
      </c>
      <c r="T106" s="416">
        <f t="shared" si="116"/>
        <v>0</v>
      </c>
      <c r="U106" s="415">
        <v>0</v>
      </c>
      <c r="V106" s="415">
        <v>0</v>
      </c>
      <c r="W106" s="415">
        <v>0</v>
      </c>
      <c r="X106" s="423">
        <v>0</v>
      </c>
      <c r="Y106" s="416">
        <f t="shared" si="117"/>
        <v>0</v>
      </c>
      <c r="Z106" s="423">
        <v>0</v>
      </c>
      <c r="AA106" s="423">
        <v>0</v>
      </c>
      <c r="AB106" s="423">
        <v>0</v>
      </c>
      <c r="AC106" s="423">
        <v>0</v>
      </c>
      <c r="AD106" s="416">
        <f t="shared" si="118"/>
        <v>0</v>
      </c>
      <c r="AE106" s="424">
        <v>0</v>
      </c>
      <c r="AF106" s="424">
        <v>0</v>
      </c>
      <c r="AG106" s="424">
        <v>0</v>
      </c>
    </row>
    <row r="107" spans="3:33" ht="14.25" hidden="1" customHeight="1" outlineLevel="1">
      <c r="C107" s="108" t="str">
        <f>C$93</f>
        <v>Asia Pacific</v>
      </c>
      <c r="D107" s="12"/>
      <c r="E107" s="12"/>
      <c r="F107" s="415">
        <v>0</v>
      </c>
      <c r="G107" s="415">
        <v>0</v>
      </c>
      <c r="H107" s="415">
        <v>0</v>
      </c>
      <c r="I107" s="415">
        <v>0</v>
      </c>
      <c r="J107" s="416">
        <f t="shared" si="114"/>
        <v>0</v>
      </c>
      <c r="K107" s="415">
        <v>0</v>
      </c>
      <c r="L107" s="415">
        <v>0</v>
      </c>
      <c r="M107" s="415">
        <v>0</v>
      </c>
      <c r="N107" s="415">
        <v>0</v>
      </c>
      <c r="O107" s="416">
        <f t="shared" si="115"/>
        <v>0</v>
      </c>
      <c r="P107" s="415">
        <v>0</v>
      </c>
      <c r="Q107" s="415">
        <v>0</v>
      </c>
      <c r="R107" s="415">
        <v>0</v>
      </c>
      <c r="S107" s="415">
        <v>0</v>
      </c>
      <c r="T107" s="416">
        <f t="shared" si="116"/>
        <v>0</v>
      </c>
      <c r="U107" s="415">
        <v>0</v>
      </c>
      <c r="V107" s="415">
        <v>0</v>
      </c>
      <c r="W107" s="415">
        <v>0</v>
      </c>
      <c r="X107" s="423">
        <v>0</v>
      </c>
      <c r="Y107" s="416">
        <f t="shared" si="117"/>
        <v>0</v>
      </c>
      <c r="Z107" s="423">
        <v>0</v>
      </c>
      <c r="AA107" s="423">
        <v>0</v>
      </c>
      <c r="AB107" s="423">
        <v>0</v>
      </c>
      <c r="AC107" s="423">
        <v>0</v>
      </c>
      <c r="AD107" s="416">
        <f t="shared" si="118"/>
        <v>0</v>
      </c>
      <c r="AE107" s="424">
        <v>0</v>
      </c>
      <c r="AF107" s="424">
        <v>0</v>
      </c>
      <c r="AG107" s="424">
        <v>0</v>
      </c>
    </row>
    <row r="108" spans="3:33" ht="14.25" hidden="1" customHeight="1" outlineLevel="1">
      <c r="C108" s="12"/>
      <c r="D108" s="12"/>
      <c r="E108" s="12"/>
      <c r="F108" s="450"/>
      <c r="G108" s="450"/>
      <c r="H108" s="450"/>
      <c r="I108" s="450"/>
      <c r="J108" s="137"/>
      <c r="K108" s="450"/>
      <c r="L108" s="450"/>
      <c r="M108" s="450"/>
      <c r="N108" s="450"/>
      <c r="O108" s="137"/>
      <c r="P108" s="450"/>
      <c r="Q108" s="450"/>
      <c r="R108" s="450"/>
      <c r="S108" s="450"/>
      <c r="T108" s="137"/>
      <c r="U108" s="450"/>
      <c r="V108" s="450"/>
      <c r="W108" s="450"/>
      <c r="X108" s="451"/>
      <c r="Y108" s="137"/>
      <c r="Z108" s="451"/>
      <c r="AA108" s="451"/>
      <c r="AB108" s="451"/>
      <c r="AC108" s="451"/>
      <c r="AD108" s="137"/>
      <c r="AE108" s="452"/>
      <c r="AF108" s="452"/>
      <c r="AG108" s="452"/>
    </row>
    <row r="109" spans="3:33" ht="14.25" hidden="1" customHeight="1" outlineLevel="1">
      <c r="C109" s="12" t="str">
        <f>'Segment Analysis'!C8</f>
        <v>Home Improvement Retail Revenue</v>
      </c>
      <c r="D109" s="12"/>
      <c r="E109" s="12"/>
      <c r="F109" s="450"/>
      <c r="G109" s="450"/>
      <c r="H109" s="450"/>
      <c r="I109" s="450"/>
      <c r="J109" s="137"/>
      <c r="K109" s="450"/>
      <c r="L109" s="450"/>
      <c r="M109" s="450"/>
      <c r="N109" s="450"/>
      <c r="O109" s="137"/>
      <c r="P109" s="450"/>
      <c r="Q109" s="450"/>
      <c r="R109" s="450"/>
      <c r="S109" s="450"/>
      <c r="T109" s="137"/>
      <c r="U109" s="450"/>
      <c r="V109" s="450"/>
      <c r="W109" s="450"/>
      <c r="X109" s="451"/>
      <c r="Y109" s="137"/>
      <c r="Z109" s="451"/>
      <c r="AA109" s="451"/>
      <c r="AB109" s="451"/>
      <c r="AC109" s="451"/>
      <c r="AD109" s="137"/>
      <c r="AE109" s="452"/>
      <c r="AF109" s="452"/>
      <c r="AG109" s="452"/>
    </row>
    <row r="110" spans="3:33" ht="14.25" hidden="1" customHeight="1" outlineLevel="1">
      <c r="C110" s="108" t="str">
        <f>C$89</f>
        <v>North America</v>
      </c>
      <c r="D110" s="12"/>
      <c r="E110" s="12"/>
      <c r="F110" s="415">
        <v>0</v>
      </c>
      <c r="G110" s="415">
        <v>0</v>
      </c>
      <c r="H110" s="415">
        <v>0</v>
      </c>
      <c r="I110" s="415">
        <v>0</v>
      </c>
      <c r="J110" s="416">
        <f t="shared" ref="J110:J114" si="119">SUM(F110:I110)</f>
        <v>0</v>
      </c>
      <c r="K110" s="415">
        <v>0</v>
      </c>
      <c r="L110" s="415">
        <v>0</v>
      </c>
      <c r="M110" s="415">
        <v>0</v>
      </c>
      <c r="N110" s="415">
        <v>0</v>
      </c>
      <c r="O110" s="416">
        <f t="shared" ref="O110:O114" si="120">SUM(K110:N110)</f>
        <v>0</v>
      </c>
      <c r="P110" s="415">
        <v>0</v>
      </c>
      <c r="Q110" s="415">
        <v>0</v>
      </c>
      <c r="R110" s="415">
        <v>0</v>
      </c>
      <c r="S110" s="415">
        <v>0</v>
      </c>
      <c r="T110" s="416">
        <f t="shared" ref="T110:T114" si="121">SUM(P110:S110)</f>
        <v>0</v>
      </c>
      <c r="U110" s="415">
        <v>0</v>
      </c>
      <c r="V110" s="415">
        <v>0</v>
      </c>
      <c r="W110" s="415">
        <v>0</v>
      </c>
      <c r="X110" s="423">
        <v>0</v>
      </c>
      <c r="Y110" s="416">
        <f t="shared" ref="Y110:Y114" si="122">SUM(U110:X110)</f>
        <v>0</v>
      </c>
      <c r="Z110" s="423">
        <v>0</v>
      </c>
      <c r="AA110" s="423">
        <v>0</v>
      </c>
      <c r="AB110" s="423">
        <v>0</v>
      </c>
      <c r="AC110" s="423">
        <v>0</v>
      </c>
      <c r="AD110" s="416">
        <f t="shared" ref="AD110:AD114" si="123">SUM(Z110:AC110)</f>
        <v>0</v>
      </c>
      <c r="AE110" s="424">
        <v>0</v>
      </c>
      <c r="AF110" s="424">
        <v>0</v>
      </c>
      <c r="AG110" s="424">
        <v>0</v>
      </c>
    </row>
    <row r="111" spans="3:33" ht="14.25" hidden="1" customHeight="1" outlineLevel="1">
      <c r="C111" s="108" t="str">
        <f>C$90</f>
        <v>Europe</v>
      </c>
      <c r="D111" s="12"/>
      <c r="E111" s="12"/>
      <c r="F111" s="415">
        <v>0</v>
      </c>
      <c r="G111" s="415">
        <v>0</v>
      </c>
      <c r="H111" s="415">
        <v>0</v>
      </c>
      <c r="I111" s="415">
        <v>0</v>
      </c>
      <c r="J111" s="416">
        <f t="shared" si="119"/>
        <v>0</v>
      </c>
      <c r="K111" s="415">
        <v>0</v>
      </c>
      <c r="L111" s="415">
        <v>0</v>
      </c>
      <c r="M111" s="415">
        <v>0</v>
      </c>
      <c r="N111" s="415">
        <v>0</v>
      </c>
      <c r="O111" s="416">
        <f t="shared" si="120"/>
        <v>0</v>
      </c>
      <c r="P111" s="415">
        <v>0</v>
      </c>
      <c r="Q111" s="415">
        <v>0</v>
      </c>
      <c r="R111" s="415">
        <v>0</v>
      </c>
      <c r="S111" s="415">
        <v>0</v>
      </c>
      <c r="T111" s="416">
        <f t="shared" si="121"/>
        <v>0</v>
      </c>
      <c r="U111" s="415">
        <v>0</v>
      </c>
      <c r="V111" s="415">
        <v>0</v>
      </c>
      <c r="W111" s="415">
        <v>0</v>
      </c>
      <c r="X111" s="423">
        <v>0</v>
      </c>
      <c r="Y111" s="416">
        <f t="shared" si="122"/>
        <v>0</v>
      </c>
      <c r="Z111" s="423">
        <v>0</v>
      </c>
      <c r="AA111" s="423">
        <v>0</v>
      </c>
      <c r="AB111" s="423">
        <v>0</v>
      </c>
      <c r="AC111" s="423">
        <v>0</v>
      </c>
      <c r="AD111" s="416">
        <f t="shared" si="123"/>
        <v>0</v>
      </c>
      <c r="AE111" s="424">
        <v>0</v>
      </c>
      <c r="AF111" s="424">
        <v>0</v>
      </c>
      <c r="AG111" s="424">
        <v>0</v>
      </c>
    </row>
    <row r="112" spans="3:33" ht="14.25" hidden="1" customHeight="1" outlineLevel="1">
      <c r="C112" s="108" t="str">
        <f>C$91</f>
        <v>South America</v>
      </c>
      <c r="D112" s="12"/>
      <c r="E112" s="12"/>
      <c r="F112" s="415">
        <v>0</v>
      </c>
      <c r="G112" s="415">
        <v>0</v>
      </c>
      <c r="H112" s="415">
        <v>0</v>
      </c>
      <c r="I112" s="415">
        <v>0</v>
      </c>
      <c r="J112" s="416">
        <f t="shared" si="119"/>
        <v>0</v>
      </c>
      <c r="K112" s="415">
        <v>0</v>
      </c>
      <c r="L112" s="415">
        <v>0</v>
      </c>
      <c r="M112" s="415">
        <v>0</v>
      </c>
      <c r="N112" s="415">
        <v>0</v>
      </c>
      <c r="O112" s="416">
        <f t="shared" si="120"/>
        <v>0</v>
      </c>
      <c r="P112" s="415">
        <v>0</v>
      </c>
      <c r="Q112" s="415">
        <v>0</v>
      </c>
      <c r="R112" s="415">
        <v>0</v>
      </c>
      <c r="S112" s="415">
        <v>0</v>
      </c>
      <c r="T112" s="416">
        <f t="shared" si="121"/>
        <v>0</v>
      </c>
      <c r="U112" s="415">
        <v>0</v>
      </c>
      <c r="V112" s="415">
        <v>0</v>
      </c>
      <c r="W112" s="415">
        <v>0</v>
      </c>
      <c r="X112" s="423">
        <v>0</v>
      </c>
      <c r="Y112" s="416">
        <f t="shared" si="122"/>
        <v>0</v>
      </c>
      <c r="Z112" s="423">
        <v>0</v>
      </c>
      <c r="AA112" s="423">
        <v>0</v>
      </c>
      <c r="AB112" s="423">
        <v>0</v>
      </c>
      <c r="AC112" s="423">
        <v>0</v>
      </c>
      <c r="AD112" s="416">
        <f t="shared" si="123"/>
        <v>0</v>
      </c>
      <c r="AE112" s="424">
        <v>0</v>
      </c>
      <c r="AF112" s="424">
        <v>0</v>
      </c>
      <c r="AG112" s="424">
        <v>0</v>
      </c>
    </row>
    <row r="113" spans="3:33" ht="14.25" hidden="1" customHeight="1" outlineLevel="1">
      <c r="C113" s="108" t="str">
        <f>C$92</f>
        <v>Middle East &amp; Africa</v>
      </c>
      <c r="D113" s="12"/>
      <c r="E113" s="12"/>
      <c r="F113" s="415">
        <v>0</v>
      </c>
      <c r="G113" s="415">
        <v>0</v>
      </c>
      <c r="H113" s="415">
        <v>0</v>
      </c>
      <c r="I113" s="415">
        <v>0</v>
      </c>
      <c r="J113" s="416">
        <f t="shared" si="119"/>
        <v>0</v>
      </c>
      <c r="K113" s="415">
        <v>0</v>
      </c>
      <c r="L113" s="415">
        <v>0</v>
      </c>
      <c r="M113" s="415">
        <v>0</v>
      </c>
      <c r="N113" s="415">
        <v>0</v>
      </c>
      <c r="O113" s="416">
        <f t="shared" si="120"/>
        <v>0</v>
      </c>
      <c r="P113" s="415">
        <v>0</v>
      </c>
      <c r="Q113" s="415">
        <v>0</v>
      </c>
      <c r="R113" s="415">
        <v>0</v>
      </c>
      <c r="S113" s="415">
        <v>0</v>
      </c>
      <c r="T113" s="416">
        <f t="shared" si="121"/>
        <v>0</v>
      </c>
      <c r="U113" s="415">
        <v>0</v>
      </c>
      <c r="V113" s="415">
        <v>0</v>
      </c>
      <c r="W113" s="415">
        <v>0</v>
      </c>
      <c r="X113" s="423">
        <v>0</v>
      </c>
      <c r="Y113" s="416">
        <f t="shared" si="122"/>
        <v>0</v>
      </c>
      <c r="Z113" s="423">
        <v>0</v>
      </c>
      <c r="AA113" s="423">
        <v>0</v>
      </c>
      <c r="AB113" s="423">
        <v>0</v>
      </c>
      <c r="AC113" s="423">
        <v>0</v>
      </c>
      <c r="AD113" s="416">
        <f t="shared" si="123"/>
        <v>0</v>
      </c>
      <c r="AE113" s="424">
        <v>0</v>
      </c>
      <c r="AF113" s="424">
        <v>0</v>
      </c>
      <c r="AG113" s="424">
        <v>0</v>
      </c>
    </row>
    <row r="114" spans="3:33" ht="14.25" hidden="1" customHeight="1" outlineLevel="1">
      <c r="C114" s="108" t="str">
        <f>C$93</f>
        <v>Asia Pacific</v>
      </c>
      <c r="D114" s="12"/>
      <c r="E114" s="12"/>
      <c r="F114" s="415">
        <v>0</v>
      </c>
      <c r="G114" s="415">
        <v>0</v>
      </c>
      <c r="H114" s="415">
        <v>0</v>
      </c>
      <c r="I114" s="415">
        <v>0</v>
      </c>
      <c r="J114" s="416">
        <f t="shared" si="119"/>
        <v>0</v>
      </c>
      <c r="K114" s="415">
        <v>0</v>
      </c>
      <c r="L114" s="415">
        <v>0</v>
      </c>
      <c r="M114" s="415">
        <v>0</v>
      </c>
      <c r="N114" s="415">
        <v>0</v>
      </c>
      <c r="O114" s="416">
        <f t="shared" si="120"/>
        <v>0</v>
      </c>
      <c r="P114" s="415">
        <v>0</v>
      </c>
      <c r="Q114" s="415">
        <v>0</v>
      </c>
      <c r="R114" s="415">
        <v>0</v>
      </c>
      <c r="S114" s="415">
        <v>0</v>
      </c>
      <c r="T114" s="416">
        <f t="shared" si="121"/>
        <v>0</v>
      </c>
      <c r="U114" s="415">
        <v>0</v>
      </c>
      <c r="V114" s="415">
        <v>0</v>
      </c>
      <c r="W114" s="415">
        <v>0</v>
      </c>
      <c r="X114" s="423">
        <v>0</v>
      </c>
      <c r="Y114" s="416">
        <f t="shared" si="122"/>
        <v>0</v>
      </c>
      <c r="Z114" s="423">
        <v>0</v>
      </c>
      <c r="AA114" s="423">
        <v>0</v>
      </c>
      <c r="AB114" s="423">
        <v>0</v>
      </c>
      <c r="AC114" s="423">
        <v>0</v>
      </c>
      <c r="AD114" s="416">
        <f t="shared" si="123"/>
        <v>0</v>
      </c>
      <c r="AE114" s="424">
        <v>0</v>
      </c>
      <c r="AF114" s="424">
        <v>0</v>
      </c>
      <c r="AG114" s="424">
        <v>0</v>
      </c>
    </row>
    <row r="115" spans="3:33" ht="14.25" hidden="1" customHeight="1" outlineLevel="1">
      <c r="C115" s="108"/>
      <c r="D115" s="12"/>
      <c r="E115" s="12"/>
      <c r="F115" s="450"/>
      <c r="G115" s="450"/>
      <c r="H115" s="450"/>
      <c r="I115" s="450"/>
      <c r="J115" s="137"/>
      <c r="K115" s="450"/>
      <c r="L115" s="450"/>
      <c r="M115" s="450"/>
      <c r="N115" s="450"/>
      <c r="O115" s="137"/>
      <c r="P115" s="450"/>
      <c r="Q115" s="450"/>
      <c r="R115" s="450"/>
      <c r="S115" s="450"/>
      <c r="T115" s="137"/>
      <c r="U115" s="450"/>
      <c r="V115" s="450"/>
      <c r="W115" s="450"/>
      <c r="X115" s="451"/>
      <c r="Y115" s="137"/>
      <c r="Z115" s="451"/>
      <c r="AA115" s="451"/>
      <c r="AB115" s="451"/>
      <c r="AC115" s="451"/>
      <c r="AD115" s="137"/>
      <c r="AE115" s="452"/>
      <c r="AF115" s="452"/>
      <c r="AG115" s="452"/>
    </row>
    <row r="116" spans="3:33" ht="14.25" hidden="1" customHeight="1" outlineLevel="1">
      <c r="C116" s="12" t="str">
        <f>'Segment Analysis'!C10</f>
        <v>Segment 3 Revenue</v>
      </c>
      <c r="D116" s="12"/>
      <c r="E116" s="12"/>
      <c r="F116" s="450"/>
      <c r="G116" s="450"/>
      <c r="H116" s="450"/>
      <c r="I116" s="450"/>
      <c r="J116" s="137"/>
      <c r="K116" s="450"/>
      <c r="L116" s="450"/>
      <c r="M116" s="450"/>
      <c r="N116" s="450"/>
      <c r="O116" s="137"/>
      <c r="P116" s="450"/>
      <c r="Q116" s="450"/>
      <c r="R116" s="450"/>
      <c r="S116" s="450"/>
      <c r="T116" s="137"/>
      <c r="U116" s="450"/>
      <c r="V116" s="450"/>
      <c r="W116" s="450"/>
      <c r="X116" s="451"/>
      <c r="Y116" s="137"/>
      <c r="Z116" s="451"/>
      <c r="AA116" s="451"/>
      <c r="AB116" s="451"/>
      <c r="AC116" s="451"/>
      <c r="AD116" s="137"/>
      <c r="AE116" s="452"/>
      <c r="AF116" s="452"/>
      <c r="AG116" s="452"/>
    </row>
    <row r="117" spans="3:33" ht="14.25" hidden="1" customHeight="1" outlineLevel="1">
      <c r="C117" s="108" t="str">
        <f>C$89</f>
        <v>North America</v>
      </c>
      <c r="D117" s="12"/>
      <c r="E117" s="12"/>
      <c r="F117" s="415">
        <v>0</v>
      </c>
      <c r="G117" s="415">
        <v>0</v>
      </c>
      <c r="H117" s="415">
        <v>0</v>
      </c>
      <c r="I117" s="415">
        <v>0</v>
      </c>
      <c r="J117" s="416">
        <f t="shared" ref="J117:J121" si="124">SUM(F117:I117)</f>
        <v>0</v>
      </c>
      <c r="K117" s="415">
        <v>0</v>
      </c>
      <c r="L117" s="415">
        <v>0</v>
      </c>
      <c r="M117" s="415">
        <v>0</v>
      </c>
      <c r="N117" s="415">
        <v>0</v>
      </c>
      <c r="O117" s="416">
        <f t="shared" ref="O117:O121" si="125">SUM(K117:N117)</f>
        <v>0</v>
      </c>
      <c r="P117" s="415">
        <v>0</v>
      </c>
      <c r="Q117" s="415">
        <v>0</v>
      </c>
      <c r="R117" s="415">
        <v>0</v>
      </c>
      <c r="S117" s="415">
        <v>0</v>
      </c>
      <c r="T117" s="416">
        <f t="shared" ref="T117:T121" si="126">SUM(P117:S117)</f>
        <v>0</v>
      </c>
      <c r="U117" s="415">
        <v>0</v>
      </c>
      <c r="V117" s="415">
        <v>0</v>
      </c>
      <c r="W117" s="415">
        <v>0</v>
      </c>
      <c r="X117" s="423">
        <v>0</v>
      </c>
      <c r="Y117" s="416">
        <f t="shared" ref="Y117:Y121" si="127">SUM(U117:X117)</f>
        <v>0</v>
      </c>
      <c r="Z117" s="423">
        <v>0</v>
      </c>
      <c r="AA117" s="423">
        <v>0</v>
      </c>
      <c r="AB117" s="423">
        <v>0</v>
      </c>
      <c r="AC117" s="423">
        <v>0</v>
      </c>
      <c r="AD117" s="416">
        <f t="shared" ref="AD117:AD121" si="128">SUM(Z117:AC117)</f>
        <v>0</v>
      </c>
      <c r="AE117" s="424">
        <v>0</v>
      </c>
      <c r="AF117" s="424">
        <v>0</v>
      </c>
      <c r="AG117" s="424">
        <v>0</v>
      </c>
    </row>
    <row r="118" spans="3:33" ht="14.25" hidden="1" customHeight="1" outlineLevel="1">
      <c r="C118" s="108" t="str">
        <f>C$90</f>
        <v>Europe</v>
      </c>
      <c r="D118" s="12"/>
      <c r="E118" s="12"/>
      <c r="F118" s="415">
        <v>0</v>
      </c>
      <c r="G118" s="415">
        <v>0</v>
      </c>
      <c r="H118" s="415">
        <v>0</v>
      </c>
      <c r="I118" s="415">
        <v>0</v>
      </c>
      <c r="J118" s="416">
        <f t="shared" si="124"/>
        <v>0</v>
      </c>
      <c r="K118" s="415">
        <v>0</v>
      </c>
      <c r="L118" s="415">
        <v>0</v>
      </c>
      <c r="M118" s="415">
        <v>0</v>
      </c>
      <c r="N118" s="415">
        <v>0</v>
      </c>
      <c r="O118" s="416">
        <f t="shared" si="125"/>
        <v>0</v>
      </c>
      <c r="P118" s="415">
        <v>0</v>
      </c>
      <c r="Q118" s="415">
        <v>0</v>
      </c>
      <c r="R118" s="415">
        <v>0</v>
      </c>
      <c r="S118" s="415">
        <v>0</v>
      </c>
      <c r="T118" s="416">
        <f t="shared" si="126"/>
        <v>0</v>
      </c>
      <c r="U118" s="415">
        <v>0</v>
      </c>
      <c r="V118" s="415">
        <v>0</v>
      </c>
      <c r="W118" s="415">
        <v>0</v>
      </c>
      <c r="X118" s="423">
        <v>0</v>
      </c>
      <c r="Y118" s="416">
        <f t="shared" si="127"/>
        <v>0</v>
      </c>
      <c r="Z118" s="423">
        <v>0</v>
      </c>
      <c r="AA118" s="423">
        <v>0</v>
      </c>
      <c r="AB118" s="423">
        <v>0</v>
      </c>
      <c r="AC118" s="423">
        <v>0</v>
      </c>
      <c r="AD118" s="416">
        <f t="shared" si="128"/>
        <v>0</v>
      </c>
      <c r="AE118" s="424">
        <v>0</v>
      </c>
      <c r="AF118" s="424">
        <v>0</v>
      </c>
      <c r="AG118" s="424">
        <v>0</v>
      </c>
    </row>
    <row r="119" spans="3:33" ht="14.25" hidden="1" customHeight="1" outlineLevel="1">
      <c r="C119" s="108" t="str">
        <f>C$91</f>
        <v>South America</v>
      </c>
      <c r="D119" s="12"/>
      <c r="E119" s="12"/>
      <c r="F119" s="415">
        <v>0</v>
      </c>
      <c r="G119" s="415">
        <v>0</v>
      </c>
      <c r="H119" s="415">
        <v>0</v>
      </c>
      <c r="I119" s="415">
        <v>0</v>
      </c>
      <c r="J119" s="416">
        <f t="shared" si="124"/>
        <v>0</v>
      </c>
      <c r="K119" s="415">
        <v>0</v>
      </c>
      <c r="L119" s="415">
        <v>0</v>
      </c>
      <c r="M119" s="415">
        <v>0</v>
      </c>
      <c r="N119" s="415">
        <v>0</v>
      </c>
      <c r="O119" s="416">
        <f t="shared" si="125"/>
        <v>0</v>
      </c>
      <c r="P119" s="415">
        <v>0</v>
      </c>
      <c r="Q119" s="415">
        <v>0</v>
      </c>
      <c r="R119" s="415">
        <v>0</v>
      </c>
      <c r="S119" s="415">
        <v>0</v>
      </c>
      <c r="T119" s="416">
        <f t="shared" si="126"/>
        <v>0</v>
      </c>
      <c r="U119" s="415">
        <v>0</v>
      </c>
      <c r="V119" s="415">
        <v>0</v>
      </c>
      <c r="W119" s="415">
        <v>0</v>
      </c>
      <c r="X119" s="423">
        <v>0</v>
      </c>
      <c r="Y119" s="416">
        <f t="shared" si="127"/>
        <v>0</v>
      </c>
      <c r="Z119" s="423">
        <v>0</v>
      </c>
      <c r="AA119" s="423">
        <v>0</v>
      </c>
      <c r="AB119" s="423">
        <v>0</v>
      </c>
      <c r="AC119" s="423">
        <v>0</v>
      </c>
      <c r="AD119" s="416">
        <f t="shared" si="128"/>
        <v>0</v>
      </c>
      <c r="AE119" s="424">
        <v>0</v>
      </c>
      <c r="AF119" s="424">
        <v>0</v>
      </c>
      <c r="AG119" s="424">
        <v>0</v>
      </c>
    </row>
    <row r="120" spans="3:33" ht="14.25" hidden="1" customHeight="1" outlineLevel="1">
      <c r="C120" s="108" t="str">
        <f>C$92</f>
        <v>Middle East &amp; Africa</v>
      </c>
      <c r="D120" s="12"/>
      <c r="E120" s="12"/>
      <c r="F120" s="415">
        <v>0</v>
      </c>
      <c r="G120" s="415">
        <v>0</v>
      </c>
      <c r="H120" s="415">
        <v>0</v>
      </c>
      <c r="I120" s="415">
        <v>0</v>
      </c>
      <c r="J120" s="416">
        <f t="shared" si="124"/>
        <v>0</v>
      </c>
      <c r="K120" s="415">
        <v>0</v>
      </c>
      <c r="L120" s="415">
        <v>0</v>
      </c>
      <c r="M120" s="415">
        <v>0</v>
      </c>
      <c r="N120" s="415">
        <v>0</v>
      </c>
      <c r="O120" s="416">
        <f t="shared" si="125"/>
        <v>0</v>
      </c>
      <c r="P120" s="415">
        <v>0</v>
      </c>
      <c r="Q120" s="415">
        <v>0</v>
      </c>
      <c r="R120" s="415">
        <v>0</v>
      </c>
      <c r="S120" s="415">
        <v>0</v>
      </c>
      <c r="T120" s="416">
        <f t="shared" si="126"/>
        <v>0</v>
      </c>
      <c r="U120" s="415">
        <v>0</v>
      </c>
      <c r="V120" s="415">
        <v>0</v>
      </c>
      <c r="W120" s="415">
        <v>0</v>
      </c>
      <c r="X120" s="423">
        <v>0</v>
      </c>
      <c r="Y120" s="416">
        <f t="shared" si="127"/>
        <v>0</v>
      </c>
      <c r="Z120" s="423">
        <v>0</v>
      </c>
      <c r="AA120" s="423">
        <v>0</v>
      </c>
      <c r="AB120" s="423">
        <v>0</v>
      </c>
      <c r="AC120" s="423">
        <v>0</v>
      </c>
      <c r="AD120" s="416">
        <f t="shared" si="128"/>
        <v>0</v>
      </c>
      <c r="AE120" s="424">
        <v>0</v>
      </c>
      <c r="AF120" s="424">
        <v>0</v>
      </c>
      <c r="AG120" s="424">
        <v>0</v>
      </c>
    </row>
    <row r="121" spans="3:33" ht="14.25" hidden="1" customHeight="1" outlineLevel="1">
      <c r="C121" s="108" t="str">
        <f>C$93</f>
        <v>Asia Pacific</v>
      </c>
      <c r="D121" s="12"/>
      <c r="E121" s="12"/>
      <c r="F121" s="415">
        <v>0</v>
      </c>
      <c r="G121" s="415">
        <v>0</v>
      </c>
      <c r="H121" s="415">
        <v>0</v>
      </c>
      <c r="I121" s="415">
        <v>0</v>
      </c>
      <c r="J121" s="416">
        <f t="shared" si="124"/>
        <v>0</v>
      </c>
      <c r="K121" s="415">
        <v>0</v>
      </c>
      <c r="L121" s="415">
        <v>0</v>
      </c>
      <c r="M121" s="415">
        <v>0</v>
      </c>
      <c r="N121" s="415">
        <v>0</v>
      </c>
      <c r="O121" s="416">
        <f t="shared" si="125"/>
        <v>0</v>
      </c>
      <c r="P121" s="415">
        <v>0</v>
      </c>
      <c r="Q121" s="415">
        <v>0</v>
      </c>
      <c r="R121" s="415">
        <v>0</v>
      </c>
      <c r="S121" s="415">
        <v>0</v>
      </c>
      <c r="T121" s="416">
        <f t="shared" si="126"/>
        <v>0</v>
      </c>
      <c r="U121" s="415">
        <v>0</v>
      </c>
      <c r="V121" s="415">
        <v>0</v>
      </c>
      <c r="W121" s="415">
        <v>0</v>
      </c>
      <c r="X121" s="423">
        <v>0</v>
      </c>
      <c r="Y121" s="416">
        <f t="shared" si="127"/>
        <v>0</v>
      </c>
      <c r="Z121" s="423">
        <v>0</v>
      </c>
      <c r="AA121" s="423">
        <v>0</v>
      </c>
      <c r="AB121" s="423">
        <v>0</v>
      </c>
      <c r="AC121" s="423">
        <v>0</v>
      </c>
      <c r="AD121" s="416">
        <f t="shared" si="128"/>
        <v>0</v>
      </c>
      <c r="AE121" s="424">
        <v>0</v>
      </c>
      <c r="AF121" s="424">
        <v>0</v>
      </c>
      <c r="AG121" s="424">
        <v>0</v>
      </c>
    </row>
    <row r="122" spans="3:33" ht="14.25" hidden="1" customHeight="1" outlineLevel="1">
      <c r="C122" s="12"/>
      <c r="D122" s="12"/>
      <c r="E122" s="12"/>
      <c r="F122" s="450"/>
      <c r="G122" s="450"/>
      <c r="H122" s="450"/>
      <c r="I122" s="450"/>
      <c r="J122" s="137"/>
      <c r="K122" s="450"/>
      <c r="L122" s="450"/>
      <c r="M122" s="450"/>
      <c r="N122" s="450"/>
      <c r="O122" s="137"/>
      <c r="P122" s="450"/>
      <c r="Q122" s="450"/>
      <c r="R122" s="450"/>
      <c r="S122" s="450"/>
      <c r="T122" s="137"/>
      <c r="U122" s="450"/>
      <c r="V122" s="450"/>
      <c r="W122" s="450"/>
      <c r="X122" s="451"/>
      <c r="Y122" s="137"/>
      <c r="Z122" s="451"/>
      <c r="AA122" s="451"/>
      <c r="AB122" s="451"/>
      <c r="AC122" s="451"/>
      <c r="AD122" s="137"/>
      <c r="AE122" s="452"/>
      <c r="AF122" s="452"/>
      <c r="AG122" s="452"/>
    </row>
    <row r="123" spans="3:33" ht="14.25" hidden="1" customHeight="1" outlineLevel="1">
      <c r="C123" s="12" t="str">
        <f>'Segment Analysis'!C11</f>
        <v>Segment 4 Revenue</v>
      </c>
      <c r="D123" s="12"/>
      <c r="E123" s="12"/>
      <c r="F123" s="450"/>
      <c r="G123" s="450"/>
      <c r="H123" s="450"/>
      <c r="I123" s="450"/>
      <c r="J123" s="137"/>
      <c r="K123" s="450"/>
      <c r="L123" s="450"/>
      <c r="M123" s="450"/>
      <c r="N123" s="450"/>
      <c r="O123" s="137"/>
      <c r="P123" s="450"/>
      <c r="Q123" s="450"/>
      <c r="R123" s="450"/>
      <c r="S123" s="450"/>
      <c r="T123" s="137"/>
      <c r="U123" s="450"/>
      <c r="V123" s="450"/>
      <c r="W123" s="450"/>
      <c r="X123" s="451"/>
      <c r="Y123" s="137"/>
      <c r="Z123" s="451"/>
      <c r="AA123" s="451"/>
      <c r="AB123" s="451"/>
      <c r="AC123" s="451"/>
      <c r="AD123" s="137"/>
      <c r="AE123" s="452"/>
      <c r="AF123" s="452"/>
      <c r="AG123" s="452"/>
    </row>
    <row r="124" spans="3:33" ht="14.25" hidden="1" customHeight="1" outlineLevel="1">
      <c r="C124" s="108" t="str">
        <f>C$89</f>
        <v>North America</v>
      </c>
      <c r="D124" s="12"/>
      <c r="E124" s="12"/>
      <c r="F124" s="415">
        <v>0</v>
      </c>
      <c r="G124" s="415">
        <v>0</v>
      </c>
      <c r="H124" s="415">
        <v>0</v>
      </c>
      <c r="I124" s="415">
        <v>0</v>
      </c>
      <c r="J124" s="416">
        <f t="shared" ref="J124:J128" si="129">SUM(F124:I124)</f>
        <v>0</v>
      </c>
      <c r="K124" s="415">
        <v>0</v>
      </c>
      <c r="L124" s="415">
        <v>0</v>
      </c>
      <c r="M124" s="415">
        <v>0</v>
      </c>
      <c r="N124" s="415">
        <v>0</v>
      </c>
      <c r="O124" s="416">
        <f t="shared" ref="O124:O128" si="130">SUM(K124:N124)</f>
        <v>0</v>
      </c>
      <c r="P124" s="415">
        <v>0</v>
      </c>
      <c r="Q124" s="415">
        <v>0</v>
      </c>
      <c r="R124" s="415">
        <v>0</v>
      </c>
      <c r="S124" s="415">
        <v>0</v>
      </c>
      <c r="T124" s="416">
        <f t="shared" ref="T124:T128" si="131">SUM(P124:S124)</f>
        <v>0</v>
      </c>
      <c r="U124" s="415">
        <v>0</v>
      </c>
      <c r="V124" s="415">
        <v>0</v>
      </c>
      <c r="W124" s="415">
        <v>0</v>
      </c>
      <c r="X124" s="423">
        <v>0</v>
      </c>
      <c r="Y124" s="416">
        <f t="shared" ref="Y124:Y128" si="132">SUM(U124:X124)</f>
        <v>0</v>
      </c>
      <c r="Z124" s="423">
        <v>0</v>
      </c>
      <c r="AA124" s="423">
        <v>0</v>
      </c>
      <c r="AB124" s="423">
        <v>0</v>
      </c>
      <c r="AC124" s="423">
        <v>0</v>
      </c>
      <c r="AD124" s="416">
        <f t="shared" ref="AD124:AD128" si="133">SUM(Z124:AC124)</f>
        <v>0</v>
      </c>
      <c r="AE124" s="424">
        <v>0</v>
      </c>
      <c r="AF124" s="424">
        <v>0</v>
      </c>
      <c r="AG124" s="424">
        <v>0</v>
      </c>
    </row>
    <row r="125" spans="3:33" ht="14.25" hidden="1" customHeight="1" outlineLevel="1">
      <c r="C125" s="108" t="str">
        <f>C$90</f>
        <v>Europe</v>
      </c>
      <c r="D125" s="12"/>
      <c r="E125" s="12"/>
      <c r="F125" s="415">
        <v>0</v>
      </c>
      <c r="G125" s="415">
        <v>0</v>
      </c>
      <c r="H125" s="415">
        <v>0</v>
      </c>
      <c r="I125" s="415">
        <v>0</v>
      </c>
      <c r="J125" s="416">
        <f t="shared" si="129"/>
        <v>0</v>
      </c>
      <c r="K125" s="415">
        <v>0</v>
      </c>
      <c r="L125" s="415">
        <v>0</v>
      </c>
      <c r="M125" s="415">
        <v>0</v>
      </c>
      <c r="N125" s="415">
        <v>0</v>
      </c>
      <c r="O125" s="416">
        <f t="shared" si="130"/>
        <v>0</v>
      </c>
      <c r="P125" s="415">
        <v>0</v>
      </c>
      <c r="Q125" s="415">
        <v>0</v>
      </c>
      <c r="R125" s="415">
        <v>0</v>
      </c>
      <c r="S125" s="415">
        <v>0</v>
      </c>
      <c r="T125" s="416">
        <f t="shared" si="131"/>
        <v>0</v>
      </c>
      <c r="U125" s="415">
        <v>0</v>
      </c>
      <c r="V125" s="415">
        <v>0</v>
      </c>
      <c r="W125" s="415">
        <v>0</v>
      </c>
      <c r="X125" s="423">
        <v>0</v>
      </c>
      <c r="Y125" s="416">
        <f t="shared" si="132"/>
        <v>0</v>
      </c>
      <c r="Z125" s="423">
        <v>0</v>
      </c>
      <c r="AA125" s="423">
        <v>0</v>
      </c>
      <c r="AB125" s="423">
        <v>0</v>
      </c>
      <c r="AC125" s="423">
        <v>0</v>
      </c>
      <c r="AD125" s="416">
        <f t="shared" si="133"/>
        <v>0</v>
      </c>
      <c r="AE125" s="424">
        <v>0</v>
      </c>
      <c r="AF125" s="424">
        <v>0</v>
      </c>
      <c r="AG125" s="424">
        <v>0</v>
      </c>
    </row>
    <row r="126" spans="3:33" ht="14.25" hidden="1" customHeight="1" outlineLevel="1">
      <c r="C126" s="108" t="str">
        <f>C$91</f>
        <v>South America</v>
      </c>
      <c r="D126" s="12"/>
      <c r="E126" s="12"/>
      <c r="F126" s="415">
        <v>0</v>
      </c>
      <c r="G126" s="415">
        <v>0</v>
      </c>
      <c r="H126" s="415">
        <v>0</v>
      </c>
      <c r="I126" s="415">
        <v>0</v>
      </c>
      <c r="J126" s="416">
        <f t="shared" si="129"/>
        <v>0</v>
      </c>
      <c r="K126" s="415">
        <v>0</v>
      </c>
      <c r="L126" s="415">
        <v>0</v>
      </c>
      <c r="M126" s="415">
        <v>0</v>
      </c>
      <c r="N126" s="415">
        <v>0</v>
      </c>
      <c r="O126" s="416">
        <f t="shared" si="130"/>
        <v>0</v>
      </c>
      <c r="P126" s="415">
        <v>0</v>
      </c>
      <c r="Q126" s="415">
        <v>0</v>
      </c>
      <c r="R126" s="415">
        <v>0</v>
      </c>
      <c r="S126" s="415">
        <v>0</v>
      </c>
      <c r="T126" s="416">
        <f t="shared" si="131"/>
        <v>0</v>
      </c>
      <c r="U126" s="415">
        <v>0</v>
      </c>
      <c r="V126" s="415">
        <v>0</v>
      </c>
      <c r="W126" s="415">
        <v>0</v>
      </c>
      <c r="X126" s="423">
        <v>0</v>
      </c>
      <c r="Y126" s="416">
        <f t="shared" si="132"/>
        <v>0</v>
      </c>
      <c r="Z126" s="423">
        <v>0</v>
      </c>
      <c r="AA126" s="423">
        <v>0</v>
      </c>
      <c r="AB126" s="423">
        <v>0</v>
      </c>
      <c r="AC126" s="423">
        <v>0</v>
      </c>
      <c r="AD126" s="416">
        <f t="shared" si="133"/>
        <v>0</v>
      </c>
      <c r="AE126" s="424">
        <v>0</v>
      </c>
      <c r="AF126" s="424">
        <v>0</v>
      </c>
      <c r="AG126" s="424">
        <v>0</v>
      </c>
    </row>
    <row r="127" spans="3:33" ht="14.25" hidden="1" customHeight="1" outlineLevel="1">
      <c r="C127" s="108" t="str">
        <f>C$92</f>
        <v>Middle East &amp; Africa</v>
      </c>
      <c r="D127" s="12"/>
      <c r="E127" s="12"/>
      <c r="F127" s="415">
        <v>0</v>
      </c>
      <c r="G127" s="415">
        <v>0</v>
      </c>
      <c r="H127" s="415">
        <v>0</v>
      </c>
      <c r="I127" s="415">
        <v>0</v>
      </c>
      <c r="J127" s="416">
        <f t="shared" si="129"/>
        <v>0</v>
      </c>
      <c r="K127" s="415">
        <v>0</v>
      </c>
      <c r="L127" s="415">
        <v>0</v>
      </c>
      <c r="M127" s="415">
        <v>0</v>
      </c>
      <c r="N127" s="415">
        <v>0</v>
      </c>
      <c r="O127" s="416">
        <f t="shared" si="130"/>
        <v>0</v>
      </c>
      <c r="P127" s="415">
        <v>0</v>
      </c>
      <c r="Q127" s="415">
        <v>0</v>
      </c>
      <c r="R127" s="415">
        <v>0</v>
      </c>
      <c r="S127" s="415">
        <v>0</v>
      </c>
      <c r="T127" s="416">
        <f t="shared" si="131"/>
        <v>0</v>
      </c>
      <c r="U127" s="415">
        <v>0</v>
      </c>
      <c r="V127" s="415">
        <v>0</v>
      </c>
      <c r="W127" s="415">
        <v>0</v>
      </c>
      <c r="X127" s="423">
        <v>0</v>
      </c>
      <c r="Y127" s="416">
        <f t="shared" si="132"/>
        <v>0</v>
      </c>
      <c r="Z127" s="423">
        <v>0</v>
      </c>
      <c r="AA127" s="423">
        <v>0</v>
      </c>
      <c r="AB127" s="423">
        <v>0</v>
      </c>
      <c r="AC127" s="423">
        <v>0</v>
      </c>
      <c r="AD127" s="416">
        <f t="shared" si="133"/>
        <v>0</v>
      </c>
      <c r="AE127" s="424">
        <v>0</v>
      </c>
      <c r="AF127" s="424">
        <v>0</v>
      </c>
      <c r="AG127" s="424">
        <v>0</v>
      </c>
    </row>
    <row r="128" spans="3:33" ht="14.25" hidden="1" customHeight="1" outlineLevel="1">
      <c r="C128" s="108" t="str">
        <f>C$93</f>
        <v>Asia Pacific</v>
      </c>
      <c r="D128" s="12"/>
      <c r="E128" s="12"/>
      <c r="F128" s="415">
        <v>0</v>
      </c>
      <c r="G128" s="415">
        <v>0</v>
      </c>
      <c r="H128" s="415">
        <v>0</v>
      </c>
      <c r="I128" s="415">
        <v>0</v>
      </c>
      <c r="J128" s="416">
        <f t="shared" si="129"/>
        <v>0</v>
      </c>
      <c r="K128" s="415">
        <v>0</v>
      </c>
      <c r="L128" s="415">
        <v>0</v>
      </c>
      <c r="M128" s="415">
        <v>0</v>
      </c>
      <c r="N128" s="415">
        <v>0</v>
      </c>
      <c r="O128" s="416">
        <f t="shared" si="130"/>
        <v>0</v>
      </c>
      <c r="P128" s="415">
        <v>0</v>
      </c>
      <c r="Q128" s="415">
        <v>0</v>
      </c>
      <c r="R128" s="415">
        <v>0</v>
      </c>
      <c r="S128" s="415">
        <v>0</v>
      </c>
      <c r="T128" s="416">
        <f t="shared" si="131"/>
        <v>0</v>
      </c>
      <c r="U128" s="415">
        <v>0</v>
      </c>
      <c r="V128" s="415">
        <v>0</v>
      </c>
      <c r="W128" s="415">
        <v>0</v>
      </c>
      <c r="X128" s="423">
        <v>0</v>
      </c>
      <c r="Y128" s="416">
        <f t="shared" si="132"/>
        <v>0</v>
      </c>
      <c r="Z128" s="423">
        <v>0</v>
      </c>
      <c r="AA128" s="423">
        <v>0</v>
      </c>
      <c r="AB128" s="423">
        <v>0</v>
      </c>
      <c r="AC128" s="423">
        <v>0</v>
      </c>
      <c r="AD128" s="416">
        <f t="shared" si="133"/>
        <v>0</v>
      </c>
      <c r="AE128" s="424">
        <v>0</v>
      </c>
      <c r="AF128" s="424">
        <v>0</v>
      </c>
      <c r="AG128" s="424">
        <v>0</v>
      </c>
    </row>
    <row r="129" spans="3:33" ht="14.25" hidden="1" customHeight="1" outlineLevel="1">
      <c r="C129" s="12"/>
      <c r="D129" s="12"/>
      <c r="E129" s="12"/>
      <c r="F129" s="450"/>
      <c r="G129" s="450"/>
      <c r="H129" s="450"/>
      <c r="I129" s="450"/>
      <c r="J129" s="137"/>
      <c r="K129" s="450"/>
      <c r="L129" s="450"/>
      <c r="M129" s="450"/>
      <c r="N129" s="450"/>
      <c r="O129" s="137"/>
      <c r="P129" s="450"/>
      <c r="Q129" s="450"/>
      <c r="R129" s="450"/>
      <c r="S129" s="450"/>
      <c r="T129" s="137"/>
      <c r="U129" s="450"/>
      <c r="V129" s="450"/>
      <c r="W129" s="450"/>
      <c r="X129" s="451"/>
      <c r="Y129" s="137"/>
      <c r="Z129" s="451"/>
      <c r="AA129" s="451"/>
      <c r="AB129" s="451"/>
      <c r="AC129" s="451"/>
      <c r="AD129" s="137"/>
      <c r="AE129" s="452"/>
      <c r="AF129" s="452"/>
      <c r="AG129" s="452"/>
    </row>
    <row r="130" spans="3:33" ht="14.25" hidden="1" customHeight="1" outlineLevel="1">
      <c r="C130" s="12" t="str">
        <f>'Segment Analysis'!C12</f>
        <v>Segment 5 Revenue</v>
      </c>
      <c r="D130" s="12"/>
      <c r="E130" s="12"/>
      <c r="F130" s="450"/>
      <c r="G130" s="450"/>
      <c r="H130" s="450"/>
      <c r="I130" s="450"/>
      <c r="J130" s="137"/>
      <c r="K130" s="450"/>
      <c r="L130" s="450"/>
      <c r="M130" s="450"/>
      <c r="N130" s="450"/>
      <c r="O130" s="137"/>
      <c r="P130" s="450"/>
      <c r="Q130" s="450"/>
      <c r="R130" s="450"/>
      <c r="S130" s="450"/>
      <c r="T130" s="137"/>
      <c r="U130" s="450"/>
      <c r="V130" s="450"/>
      <c r="W130" s="450"/>
      <c r="X130" s="451"/>
      <c r="Y130" s="137"/>
      <c r="Z130" s="451"/>
      <c r="AA130" s="451"/>
      <c r="AB130" s="451"/>
      <c r="AC130" s="451"/>
      <c r="AD130" s="137"/>
      <c r="AE130" s="452"/>
      <c r="AF130" s="452"/>
      <c r="AG130" s="452"/>
    </row>
    <row r="131" spans="3:33" ht="14.25" hidden="1" customHeight="1" outlineLevel="1">
      <c r="C131" s="108" t="str">
        <f>C$89</f>
        <v>North America</v>
      </c>
      <c r="D131" s="12"/>
      <c r="E131" s="12"/>
      <c r="F131" s="415">
        <v>0</v>
      </c>
      <c r="G131" s="415">
        <v>0</v>
      </c>
      <c r="H131" s="415">
        <v>0</v>
      </c>
      <c r="I131" s="415">
        <v>0</v>
      </c>
      <c r="J131" s="416">
        <f t="shared" ref="J131:J135" si="134">SUM(F131:I131)</f>
        <v>0</v>
      </c>
      <c r="K131" s="415">
        <v>0</v>
      </c>
      <c r="L131" s="415">
        <v>0</v>
      </c>
      <c r="M131" s="415">
        <v>0</v>
      </c>
      <c r="N131" s="415">
        <v>0</v>
      </c>
      <c r="O131" s="416">
        <f t="shared" ref="O131:O135" si="135">SUM(K131:N131)</f>
        <v>0</v>
      </c>
      <c r="P131" s="415">
        <v>0</v>
      </c>
      <c r="Q131" s="415">
        <v>0</v>
      </c>
      <c r="R131" s="415">
        <v>0</v>
      </c>
      <c r="S131" s="415">
        <v>0</v>
      </c>
      <c r="T131" s="416">
        <f t="shared" ref="T131:T135" si="136">SUM(P131:S131)</f>
        <v>0</v>
      </c>
      <c r="U131" s="415">
        <v>0</v>
      </c>
      <c r="V131" s="415">
        <v>0</v>
      </c>
      <c r="W131" s="415">
        <v>0</v>
      </c>
      <c r="X131" s="423">
        <v>0</v>
      </c>
      <c r="Y131" s="416">
        <f t="shared" ref="Y131:Y135" si="137">SUM(U131:X131)</f>
        <v>0</v>
      </c>
      <c r="Z131" s="423">
        <v>0</v>
      </c>
      <c r="AA131" s="423">
        <v>0</v>
      </c>
      <c r="AB131" s="423">
        <v>0</v>
      </c>
      <c r="AC131" s="423">
        <v>0</v>
      </c>
      <c r="AD131" s="416">
        <f t="shared" ref="AD131:AD135" si="138">SUM(Z131:AC131)</f>
        <v>0</v>
      </c>
      <c r="AE131" s="424">
        <v>0</v>
      </c>
      <c r="AF131" s="424">
        <v>0</v>
      </c>
      <c r="AG131" s="424">
        <v>0</v>
      </c>
    </row>
    <row r="132" spans="3:33" ht="14.25" hidden="1" customHeight="1" outlineLevel="1">
      <c r="C132" s="108" t="str">
        <f>C$90</f>
        <v>Europe</v>
      </c>
      <c r="D132" s="12"/>
      <c r="E132" s="12"/>
      <c r="F132" s="415">
        <v>0</v>
      </c>
      <c r="G132" s="415">
        <v>0</v>
      </c>
      <c r="H132" s="415">
        <v>0</v>
      </c>
      <c r="I132" s="415">
        <v>0</v>
      </c>
      <c r="J132" s="416">
        <f t="shared" si="134"/>
        <v>0</v>
      </c>
      <c r="K132" s="415">
        <v>0</v>
      </c>
      <c r="L132" s="415">
        <v>0</v>
      </c>
      <c r="M132" s="415">
        <v>0</v>
      </c>
      <c r="N132" s="415">
        <v>0</v>
      </c>
      <c r="O132" s="416">
        <f t="shared" si="135"/>
        <v>0</v>
      </c>
      <c r="P132" s="415">
        <v>0</v>
      </c>
      <c r="Q132" s="415">
        <v>0</v>
      </c>
      <c r="R132" s="415">
        <v>0</v>
      </c>
      <c r="S132" s="415">
        <v>0</v>
      </c>
      <c r="T132" s="416">
        <f t="shared" si="136"/>
        <v>0</v>
      </c>
      <c r="U132" s="415">
        <v>0</v>
      </c>
      <c r="V132" s="415">
        <v>0</v>
      </c>
      <c r="W132" s="415">
        <v>0</v>
      </c>
      <c r="X132" s="423">
        <v>0</v>
      </c>
      <c r="Y132" s="416">
        <f t="shared" si="137"/>
        <v>0</v>
      </c>
      <c r="Z132" s="423">
        <v>0</v>
      </c>
      <c r="AA132" s="423">
        <v>0</v>
      </c>
      <c r="AB132" s="423">
        <v>0</v>
      </c>
      <c r="AC132" s="423">
        <v>0</v>
      </c>
      <c r="AD132" s="416">
        <f t="shared" si="138"/>
        <v>0</v>
      </c>
      <c r="AE132" s="424">
        <v>0</v>
      </c>
      <c r="AF132" s="424">
        <v>0</v>
      </c>
      <c r="AG132" s="424">
        <v>0</v>
      </c>
    </row>
    <row r="133" spans="3:33" ht="14.25" hidden="1" customHeight="1" outlineLevel="1">
      <c r="C133" s="108" t="str">
        <f>C$91</f>
        <v>South America</v>
      </c>
      <c r="D133" s="12"/>
      <c r="E133" s="12"/>
      <c r="F133" s="415">
        <v>0</v>
      </c>
      <c r="G133" s="415">
        <v>0</v>
      </c>
      <c r="H133" s="415">
        <v>0</v>
      </c>
      <c r="I133" s="415">
        <v>0</v>
      </c>
      <c r="J133" s="416">
        <f t="shared" si="134"/>
        <v>0</v>
      </c>
      <c r="K133" s="415">
        <v>0</v>
      </c>
      <c r="L133" s="415">
        <v>0</v>
      </c>
      <c r="M133" s="415">
        <v>0</v>
      </c>
      <c r="N133" s="415">
        <v>0</v>
      </c>
      <c r="O133" s="416">
        <f t="shared" si="135"/>
        <v>0</v>
      </c>
      <c r="P133" s="415">
        <v>0</v>
      </c>
      <c r="Q133" s="415">
        <v>0</v>
      </c>
      <c r="R133" s="415">
        <v>0</v>
      </c>
      <c r="S133" s="415">
        <v>0</v>
      </c>
      <c r="T133" s="416">
        <f t="shared" si="136"/>
        <v>0</v>
      </c>
      <c r="U133" s="415">
        <v>0</v>
      </c>
      <c r="V133" s="415">
        <v>0</v>
      </c>
      <c r="W133" s="415">
        <v>0</v>
      </c>
      <c r="X133" s="423">
        <v>0</v>
      </c>
      <c r="Y133" s="416">
        <f t="shared" si="137"/>
        <v>0</v>
      </c>
      <c r="Z133" s="423">
        <v>0</v>
      </c>
      <c r="AA133" s="423">
        <v>0</v>
      </c>
      <c r="AB133" s="423">
        <v>0</v>
      </c>
      <c r="AC133" s="423">
        <v>0</v>
      </c>
      <c r="AD133" s="416">
        <f t="shared" si="138"/>
        <v>0</v>
      </c>
      <c r="AE133" s="424">
        <v>0</v>
      </c>
      <c r="AF133" s="424">
        <v>0</v>
      </c>
      <c r="AG133" s="424">
        <v>0</v>
      </c>
    </row>
    <row r="134" spans="3:33" ht="14.25" hidden="1" customHeight="1" outlineLevel="1">
      <c r="C134" s="108" t="str">
        <f>C$92</f>
        <v>Middle East &amp; Africa</v>
      </c>
      <c r="D134" s="12"/>
      <c r="E134" s="12"/>
      <c r="F134" s="415">
        <v>0</v>
      </c>
      <c r="G134" s="415">
        <v>0</v>
      </c>
      <c r="H134" s="415">
        <v>0</v>
      </c>
      <c r="I134" s="415">
        <v>0</v>
      </c>
      <c r="J134" s="416">
        <f t="shared" si="134"/>
        <v>0</v>
      </c>
      <c r="K134" s="415">
        <v>0</v>
      </c>
      <c r="L134" s="415">
        <v>0</v>
      </c>
      <c r="M134" s="415">
        <v>0</v>
      </c>
      <c r="N134" s="415">
        <v>0</v>
      </c>
      <c r="O134" s="416">
        <f t="shared" si="135"/>
        <v>0</v>
      </c>
      <c r="P134" s="415">
        <v>0</v>
      </c>
      <c r="Q134" s="415">
        <v>0</v>
      </c>
      <c r="R134" s="415">
        <v>0</v>
      </c>
      <c r="S134" s="415">
        <v>0</v>
      </c>
      <c r="T134" s="416">
        <f t="shared" si="136"/>
        <v>0</v>
      </c>
      <c r="U134" s="415">
        <v>0</v>
      </c>
      <c r="V134" s="415">
        <v>0</v>
      </c>
      <c r="W134" s="415">
        <v>0</v>
      </c>
      <c r="X134" s="423">
        <v>0</v>
      </c>
      <c r="Y134" s="416">
        <f t="shared" si="137"/>
        <v>0</v>
      </c>
      <c r="Z134" s="423">
        <v>0</v>
      </c>
      <c r="AA134" s="423">
        <v>0</v>
      </c>
      <c r="AB134" s="423">
        <v>0</v>
      </c>
      <c r="AC134" s="423">
        <v>0</v>
      </c>
      <c r="AD134" s="416">
        <f t="shared" si="138"/>
        <v>0</v>
      </c>
      <c r="AE134" s="424">
        <v>0</v>
      </c>
      <c r="AF134" s="424">
        <v>0</v>
      </c>
      <c r="AG134" s="424">
        <v>0</v>
      </c>
    </row>
    <row r="135" spans="3:33" ht="14.25" hidden="1" customHeight="1" outlineLevel="1">
      <c r="C135" s="108" t="str">
        <f>C$93</f>
        <v>Asia Pacific</v>
      </c>
      <c r="D135" s="12"/>
      <c r="E135" s="12"/>
      <c r="F135" s="415">
        <v>0</v>
      </c>
      <c r="G135" s="415">
        <v>0</v>
      </c>
      <c r="H135" s="415">
        <v>0</v>
      </c>
      <c r="I135" s="415">
        <v>0</v>
      </c>
      <c r="J135" s="416">
        <f t="shared" si="134"/>
        <v>0</v>
      </c>
      <c r="K135" s="415">
        <v>0</v>
      </c>
      <c r="L135" s="415">
        <v>0</v>
      </c>
      <c r="M135" s="415">
        <v>0</v>
      </c>
      <c r="N135" s="415">
        <v>0</v>
      </c>
      <c r="O135" s="416">
        <f t="shared" si="135"/>
        <v>0</v>
      </c>
      <c r="P135" s="415">
        <v>0</v>
      </c>
      <c r="Q135" s="415">
        <v>0</v>
      </c>
      <c r="R135" s="415">
        <v>0</v>
      </c>
      <c r="S135" s="415">
        <v>0</v>
      </c>
      <c r="T135" s="416">
        <f t="shared" si="136"/>
        <v>0</v>
      </c>
      <c r="U135" s="415">
        <v>0</v>
      </c>
      <c r="V135" s="415">
        <v>0</v>
      </c>
      <c r="W135" s="415">
        <v>0</v>
      </c>
      <c r="X135" s="423">
        <v>0</v>
      </c>
      <c r="Y135" s="416">
        <f t="shared" si="137"/>
        <v>0</v>
      </c>
      <c r="Z135" s="423">
        <v>0</v>
      </c>
      <c r="AA135" s="423">
        <v>0</v>
      </c>
      <c r="AB135" s="423">
        <v>0</v>
      </c>
      <c r="AC135" s="423">
        <v>0</v>
      </c>
      <c r="AD135" s="416">
        <f t="shared" si="138"/>
        <v>0</v>
      </c>
      <c r="AE135" s="424">
        <v>0</v>
      </c>
      <c r="AF135" s="424">
        <v>0</v>
      </c>
      <c r="AG135" s="424">
        <v>0</v>
      </c>
    </row>
    <row r="136" spans="3:33" ht="14.25" hidden="1" customHeight="1" outlineLevel="1">
      <c r="C136" s="12"/>
      <c r="D136" s="12"/>
      <c r="E136" s="12"/>
      <c r="F136" s="450"/>
      <c r="G136" s="450"/>
      <c r="H136" s="450"/>
      <c r="I136" s="450"/>
      <c r="J136" s="137"/>
      <c r="K136" s="450"/>
      <c r="L136" s="450"/>
      <c r="M136" s="450"/>
      <c r="N136" s="450"/>
      <c r="O136" s="137"/>
      <c r="P136" s="450"/>
      <c r="Q136" s="450"/>
      <c r="R136" s="450"/>
      <c r="S136" s="450"/>
      <c r="T136" s="137"/>
      <c r="U136" s="450"/>
      <c r="V136" s="450"/>
      <c r="W136" s="450"/>
      <c r="X136" s="451"/>
      <c r="Y136" s="137"/>
      <c r="Z136" s="451"/>
      <c r="AA136" s="451"/>
      <c r="AB136" s="451"/>
      <c r="AC136" s="451"/>
      <c r="AD136" s="137"/>
      <c r="AE136" s="452"/>
      <c r="AF136" s="452"/>
      <c r="AG136" s="452"/>
    </row>
    <row r="137" spans="3:33" ht="14.25" hidden="1" customHeight="1" outlineLevel="1">
      <c r="C137" s="12" t="str">
        <f>'Segment Analysis'!C13</f>
        <v>Segment 6 Revenue</v>
      </c>
      <c r="D137" s="12"/>
      <c r="E137" s="12"/>
      <c r="F137" s="450"/>
      <c r="G137" s="450"/>
      <c r="H137" s="450"/>
      <c r="I137" s="450"/>
      <c r="J137" s="137"/>
      <c r="K137" s="450"/>
      <c r="L137" s="450"/>
      <c r="M137" s="450"/>
      <c r="N137" s="450"/>
      <c r="O137" s="137"/>
      <c r="P137" s="450"/>
      <c r="Q137" s="450"/>
      <c r="R137" s="450"/>
      <c r="S137" s="450"/>
      <c r="T137" s="137"/>
      <c r="U137" s="450"/>
      <c r="V137" s="450"/>
      <c r="W137" s="450"/>
      <c r="X137" s="451"/>
      <c r="Y137" s="137"/>
      <c r="Z137" s="451"/>
      <c r="AA137" s="451"/>
      <c r="AB137" s="451"/>
      <c r="AC137" s="451"/>
      <c r="AD137" s="137"/>
      <c r="AE137" s="452"/>
      <c r="AF137" s="452"/>
      <c r="AG137" s="452"/>
    </row>
    <row r="138" spans="3:33" ht="14.25" hidden="1" customHeight="1" outlineLevel="1">
      <c r="C138" s="108" t="str">
        <f>C$89</f>
        <v>North America</v>
      </c>
      <c r="D138" s="12"/>
      <c r="E138" s="12"/>
      <c r="F138" s="415">
        <v>0</v>
      </c>
      <c r="G138" s="415">
        <v>0</v>
      </c>
      <c r="H138" s="415">
        <v>0</v>
      </c>
      <c r="I138" s="415">
        <v>0</v>
      </c>
      <c r="J138" s="416">
        <f t="shared" ref="J138:J142" si="139">SUM(F138:I138)</f>
        <v>0</v>
      </c>
      <c r="K138" s="415">
        <v>0</v>
      </c>
      <c r="L138" s="415">
        <v>0</v>
      </c>
      <c r="M138" s="415">
        <v>0</v>
      </c>
      <c r="N138" s="415">
        <v>0</v>
      </c>
      <c r="O138" s="416">
        <f t="shared" ref="O138:O142" si="140">SUM(K138:N138)</f>
        <v>0</v>
      </c>
      <c r="P138" s="415">
        <v>0</v>
      </c>
      <c r="Q138" s="415">
        <v>0</v>
      </c>
      <c r="R138" s="415">
        <v>0</v>
      </c>
      <c r="S138" s="415">
        <v>0</v>
      </c>
      <c r="T138" s="416">
        <f t="shared" ref="T138:T142" si="141">SUM(P138:S138)</f>
        <v>0</v>
      </c>
      <c r="U138" s="415">
        <v>0</v>
      </c>
      <c r="V138" s="415">
        <v>0</v>
      </c>
      <c r="W138" s="415">
        <v>0</v>
      </c>
      <c r="X138" s="423">
        <v>0</v>
      </c>
      <c r="Y138" s="416">
        <f t="shared" ref="Y138:Y142" si="142">SUM(U138:X138)</f>
        <v>0</v>
      </c>
      <c r="Z138" s="423">
        <v>0</v>
      </c>
      <c r="AA138" s="423">
        <v>0</v>
      </c>
      <c r="AB138" s="423">
        <v>0</v>
      </c>
      <c r="AC138" s="423">
        <v>0</v>
      </c>
      <c r="AD138" s="416">
        <f t="shared" ref="AD138:AD142" si="143">SUM(Z138:AC138)</f>
        <v>0</v>
      </c>
      <c r="AE138" s="424">
        <v>0</v>
      </c>
      <c r="AF138" s="424">
        <v>0</v>
      </c>
      <c r="AG138" s="424">
        <v>0</v>
      </c>
    </row>
    <row r="139" spans="3:33" ht="14.25" hidden="1" customHeight="1" outlineLevel="1">
      <c r="C139" s="108" t="str">
        <f>C$90</f>
        <v>Europe</v>
      </c>
      <c r="D139" s="12"/>
      <c r="E139" s="12"/>
      <c r="F139" s="415">
        <v>0</v>
      </c>
      <c r="G139" s="415">
        <v>0</v>
      </c>
      <c r="H139" s="415">
        <v>0</v>
      </c>
      <c r="I139" s="415">
        <v>0</v>
      </c>
      <c r="J139" s="416">
        <f t="shared" si="139"/>
        <v>0</v>
      </c>
      <c r="K139" s="415">
        <v>0</v>
      </c>
      <c r="L139" s="415">
        <v>0</v>
      </c>
      <c r="M139" s="415">
        <v>0</v>
      </c>
      <c r="N139" s="415">
        <v>0</v>
      </c>
      <c r="O139" s="416">
        <f t="shared" si="140"/>
        <v>0</v>
      </c>
      <c r="P139" s="415">
        <v>0</v>
      </c>
      <c r="Q139" s="415">
        <v>0</v>
      </c>
      <c r="R139" s="415">
        <v>0</v>
      </c>
      <c r="S139" s="415">
        <v>0</v>
      </c>
      <c r="T139" s="416">
        <f t="shared" si="141"/>
        <v>0</v>
      </c>
      <c r="U139" s="415">
        <v>0</v>
      </c>
      <c r="V139" s="415">
        <v>0</v>
      </c>
      <c r="W139" s="415">
        <v>0</v>
      </c>
      <c r="X139" s="423">
        <v>0</v>
      </c>
      <c r="Y139" s="416">
        <f t="shared" si="142"/>
        <v>0</v>
      </c>
      <c r="Z139" s="423">
        <v>0</v>
      </c>
      <c r="AA139" s="423">
        <v>0</v>
      </c>
      <c r="AB139" s="423">
        <v>0</v>
      </c>
      <c r="AC139" s="423">
        <v>0</v>
      </c>
      <c r="AD139" s="416">
        <f t="shared" si="143"/>
        <v>0</v>
      </c>
      <c r="AE139" s="424">
        <v>0</v>
      </c>
      <c r="AF139" s="424">
        <v>0</v>
      </c>
      <c r="AG139" s="424">
        <v>0</v>
      </c>
    </row>
    <row r="140" spans="3:33" ht="14.25" hidden="1" customHeight="1" outlineLevel="1">
      <c r="C140" s="108" t="str">
        <f>C$91</f>
        <v>South America</v>
      </c>
      <c r="D140" s="12"/>
      <c r="E140" s="12"/>
      <c r="F140" s="415">
        <v>0</v>
      </c>
      <c r="G140" s="415">
        <v>0</v>
      </c>
      <c r="H140" s="415">
        <v>0</v>
      </c>
      <c r="I140" s="415">
        <v>0</v>
      </c>
      <c r="J140" s="416">
        <f t="shared" si="139"/>
        <v>0</v>
      </c>
      <c r="K140" s="415">
        <v>0</v>
      </c>
      <c r="L140" s="415">
        <v>0</v>
      </c>
      <c r="M140" s="415">
        <v>0</v>
      </c>
      <c r="N140" s="415">
        <v>0</v>
      </c>
      <c r="O140" s="416">
        <f t="shared" si="140"/>
        <v>0</v>
      </c>
      <c r="P140" s="415">
        <v>0</v>
      </c>
      <c r="Q140" s="415">
        <v>0</v>
      </c>
      <c r="R140" s="415">
        <v>0</v>
      </c>
      <c r="S140" s="415">
        <v>0</v>
      </c>
      <c r="T140" s="416">
        <f t="shared" si="141"/>
        <v>0</v>
      </c>
      <c r="U140" s="415">
        <v>0</v>
      </c>
      <c r="V140" s="415">
        <v>0</v>
      </c>
      <c r="W140" s="415">
        <v>0</v>
      </c>
      <c r="X140" s="423">
        <v>0</v>
      </c>
      <c r="Y140" s="416">
        <f t="shared" si="142"/>
        <v>0</v>
      </c>
      <c r="Z140" s="423">
        <v>0</v>
      </c>
      <c r="AA140" s="423">
        <v>0</v>
      </c>
      <c r="AB140" s="423">
        <v>0</v>
      </c>
      <c r="AC140" s="423">
        <v>0</v>
      </c>
      <c r="AD140" s="416">
        <f t="shared" si="143"/>
        <v>0</v>
      </c>
      <c r="AE140" s="424">
        <v>0</v>
      </c>
      <c r="AF140" s="424">
        <v>0</v>
      </c>
      <c r="AG140" s="424">
        <v>0</v>
      </c>
    </row>
    <row r="141" spans="3:33" ht="14.25" hidden="1" customHeight="1" outlineLevel="1">
      <c r="C141" s="108" t="str">
        <f>C$92</f>
        <v>Middle East &amp; Africa</v>
      </c>
      <c r="D141" s="12"/>
      <c r="E141" s="12"/>
      <c r="F141" s="415">
        <v>0</v>
      </c>
      <c r="G141" s="415">
        <v>0</v>
      </c>
      <c r="H141" s="415">
        <v>0</v>
      </c>
      <c r="I141" s="415">
        <v>0</v>
      </c>
      <c r="J141" s="416">
        <f t="shared" si="139"/>
        <v>0</v>
      </c>
      <c r="K141" s="415">
        <v>0</v>
      </c>
      <c r="L141" s="415">
        <v>0</v>
      </c>
      <c r="M141" s="415">
        <v>0</v>
      </c>
      <c r="N141" s="415">
        <v>0</v>
      </c>
      <c r="O141" s="416">
        <f t="shared" si="140"/>
        <v>0</v>
      </c>
      <c r="P141" s="415">
        <v>0</v>
      </c>
      <c r="Q141" s="415">
        <v>0</v>
      </c>
      <c r="R141" s="415">
        <v>0</v>
      </c>
      <c r="S141" s="415">
        <v>0</v>
      </c>
      <c r="T141" s="416">
        <f t="shared" si="141"/>
        <v>0</v>
      </c>
      <c r="U141" s="415">
        <v>0</v>
      </c>
      <c r="V141" s="415">
        <v>0</v>
      </c>
      <c r="W141" s="415">
        <v>0</v>
      </c>
      <c r="X141" s="423">
        <v>0</v>
      </c>
      <c r="Y141" s="416">
        <f t="shared" si="142"/>
        <v>0</v>
      </c>
      <c r="Z141" s="423">
        <v>0</v>
      </c>
      <c r="AA141" s="423">
        <v>0</v>
      </c>
      <c r="AB141" s="423">
        <v>0</v>
      </c>
      <c r="AC141" s="423">
        <v>0</v>
      </c>
      <c r="AD141" s="416">
        <f t="shared" si="143"/>
        <v>0</v>
      </c>
      <c r="AE141" s="424">
        <v>0</v>
      </c>
      <c r="AF141" s="424">
        <v>0</v>
      </c>
      <c r="AG141" s="424">
        <v>0</v>
      </c>
    </row>
    <row r="142" spans="3:33" ht="14.25" hidden="1" customHeight="1" outlineLevel="1">
      <c r="C142" s="108" t="str">
        <f>C$93</f>
        <v>Asia Pacific</v>
      </c>
      <c r="D142" s="12"/>
      <c r="E142" s="12"/>
      <c r="F142" s="415">
        <v>0</v>
      </c>
      <c r="G142" s="415">
        <v>0</v>
      </c>
      <c r="H142" s="415">
        <v>0</v>
      </c>
      <c r="I142" s="415">
        <v>0</v>
      </c>
      <c r="J142" s="416">
        <f t="shared" si="139"/>
        <v>0</v>
      </c>
      <c r="K142" s="415">
        <v>0</v>
      </c>
      <c r="L142" s="415">
        <v>0</v>
      </c>
      <c r="M142" s="415">
        <v>0</v>
      </c>
      <c r="N142" s="415">
        <v>0</v>
      </c>
      <c r="O142" s="416">
        <f t="shared" si="140"/>
        <v>0</v>
      </c>
      <c r="P142" s="415">
        <v>0</v>
      </c>
      <c r="Q142" s="415">
        <v>0</v>
      </c>
      <c r="R142" s="415">
        <v>0</v>
      </c>
      <c r="S142" s="415">
        <v>0</v>
      </c>
      <c r="T142" s="416">
        <f t="shared" si="141"/>
        <v>0</v>
      </c>
      <c r="U142" s="415">
        <v>0</v>
      </c>
      <c r="V142" s="415">
        <v>0</v>
      </c>
      <c r="W142" s="415">
        <v>0</v>
      </c>
      <c r="X142" s="423">
        <v>0</v>
      </c>
      <c r="Y142" s="416">
        <f t="shared" si="142"/>
        <v>0</v>
      </c>
      <c r="Z142" s="423">
        <v>0</v>
      </c>
      <c r="AA142" s="423">
        <v>0</v>
      </c>
      <c r="AB142" s="423">
        <v>0</v>
      </c>
      <c r="AC142" s="423">
        <v>0</v>
      </c>
      <c r="AD142" s="416">
        <f t="shared" si="143"/>
        <v>0</v>
      </c>
      <c r="AE142" s="424">
        <v>0</v>
      </c>
      <c r="AF142" s="424">
        <v>0</v>
      </c>
      <c r="AG142" s="424">
        <v>0</v>
      </c>
    </row>
    <row r="143" spans="3:33" ht="14.25" customHeight="1">
      <c r="C143" s="12"/>
      <c r="D143" s="12"/>
      <c r="E143" s="12"/>
      <c r="F143" s="450"/>
      <c r="G143" s="450"/>
      <c r="H143" s="450"/>
      <c r="I143" s="450"/>
      <c r="J143" s="137"/>
      <c r="K143" s="450"/>
      <c r="L143" s="450"/>
      <c r="M143" s="450"/>
      <c r="N143" s="450"/>
      <c r="O143" s="137"/>
      <c r="P143" s="450"/>
      <c r="Q143" s="450"/>
      <c r="R143" s="450"/>
      <c r="S143" s="450"/>
      <c r="T143" s="137"/>
      <c r="U143" s="450"/>
      <c r="V143" s="450"/>
      <c r="W143" s="450"/>
      <c r="X143" s="451"/>
      <c r="Y143" s="137"/>
      <c r="Z143" s="451"/>
      <c r="AA143" s="451"/>
      <c r="AB143" s="451"/>
      <c r="AC143" s="451"/>
      <c r="AD143" s="137"/>
      <c r="AE143" s="452"/>
      <c r="AF143" s="452"/>
      <c r="AG143" s="452"/>
    </row>
    <row r="144" spans="3:33" ht="14.25" customHeight="1">
      <c r="C144" s="36" t="s">
        <v>470</v>
      </c>
      <c r="D144" s="37"/>
      <c r="E144" s="37"/>
      <c r="F144" s="442"/>
      <c r="G144" s="442"/>
      <c r="H144" s="442"/>
      <c r="I144" s="442"/>
      <c r="J144" s="442"/>
      <c r="K144" s="44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3"/>
    </row>
    <row r="145" spans="3:33" ht="14.25" customHeight="1">
      <c r="C145" s="12"/>
      <c r="D145" s="12"/>
      <c r="E145" s="12"/>
      <c r="F145" s="265"/>
      <c r="G145" s="265"/>
      <c r="H145" s="265"/>
      <c r="I145" s="265"/>
      <c r="J145" s="137"/>
      <c r="K145" s="265"/>
      <c r="L145" s="265"/>
      <c r="M145" s="265"/>
      <c r="N145" s="265"/>
      <c r="O145" s="137"/>
      <c r="P145" s="265"/>
      <c r="Q145" s="265"/>
      <c r="R145" s="265"/>
      <c r="S145" s="265"/>
      <c r="T145" s="137"/>
      <c r="U145" s="265"/>
      <c r="V145" s="265"/>
      <c r="W145" s="265"/>
      <c r="X145" s="268"/>
      <c r="Y145" s="137"/>
      <c r="Z145" s="268"/>
      <c r="AA145" s="268"/>
      <c r="AB145" s="268"/>
      <c r="AC145" s="268"/>
      <c r="AD145" s="137"/>
      <c r="AE145" s="137"/>
      <c r="AF145" s="137"/>
      <c r="AG145" s="137"/>
    </row>
    <row r="146" spans="3:33" ht="14.25" hidden="1" customHeight="1" outlineLevel="1">
      <c r="C146" s="12" t="s">
        <v>113</v>
      </c>
      <c r="D146" s="12"/>
      <c r="E146" s="12"/>
      <c r="F146" s="323">
        <f>IFERROR(Model!F61/Model!F28,"N/A")</f>
        <v>0.22111760542145245</v>
      </c>
      <c r="G146" s="323">
        <f>IFERROR(Model!G61/Model!G28,"N/A")</f>
        <v>0.25496900626958752</v>
      </c>
      <c r="H146" s="323">
        <f>IFERROR(Model!H61/Model!H28,"N/A")</f>
        <v>0.25953642777967956</v>
      </c>
      <c r="I146" s="323">
        <f>IFERROR(Model!I61/Model!I28,"N/A")</f>
        <v>-0.99837979355415696</v>
      </c>
      <c r="J146" s="324">
        <f>IFERROR(Model!J61/Model!J28,"N/A")</f>
        <v>-8.0344457423602342E-2</v>
      </c>
      <c r="K146" s="323">
        <f>IFERROR(Model!K61/Model!K28,"N/A")</f>
        <v>0.28259484079723041</v>
      </c>
      <c r="L146" s="323">
        <f>IFERROR(Model!L61/Model!L28,"N/A")</f>
        <v>0.28159710271975691</v>
      </c>
      <c r="M146" s="323">
        <f>IFERROR(Model!M61/Model!M28,"N/A")</f>
        <v>0.30829339065007871</v>
      </c>
      <c r="N146" s="323">
        <f>IFERROR(Model!N61/Model!N28,"N/A")</f>
        <v>0.25044861603161978</v>
      </c>
      <c r="O146" s="324">
        <f>IFERROR(Model!O61/Model!O28,"N/A")</f>
        <v>0.28037838857632397</v>
      </c>
      <c r="P146" s="323">
        <f>IFERROR(Model!P61/Model!P28,"N/A")</f>
        <v>0.32577926871615998</v>
      </c>
      <c r="Q146" s="323">
        <f>IFERROR(Model!Q61/Model!Q28,"N/A")</f>
        <v>0.34860358622661675</v>
      </c>
      <c r="R146" s="323">
        <f>IFERROR(Model!R61/Model!R28,"N/A")</f>
        <v>0.35988206048717902</v>
      </c>
      <c r="S146" s="323">
        <f>IFERROR(Model!S61/Model!S28,"N/A")</f>
        <v>0.25248577641812198</v>
      </c>
      <c r="T146" s="324">
        <f>IFERROR(Model!T61/Model!T28,"N/A")</f>
        <v>0.32051546956694105</v>
      </c>
      <c r="U146" s="323">
        <f>IFERROR(Model!U61/Model!U28,"N/A")</f>
        <v>0.33107366946136157</v>
      </c>
      <c r="V146" s="323">
        <f>IFERROR(Model!V61/Model!V28,"N/A")</f>
        <v>0.16753717809212912</v>
      </c>
      <c r="W146" s="323">
        <f>IFERROR(Model!W61/Model!W28,"N/A")</f>
        <v>0.13993367658608954</v>
      </c>
      <c r="X146" s="325" t="str">
        <f ca="1">IFERROR(Model!X61/Model!X28,"N/A")</f>
        <v>N/A</v>
      </c>
      <c r="Y146" s="324" t="str">
        <f ca="1">IFERROR(Model!Y61/Model!Y28,"N/A")</f>
        <v>N/A</v>
      </c>
      <c r="Z146" s="325" t="str">
        <f ca="1">IFERROR(Model!Z61/Model!Z28,"N/A")</f>
        <v>N/A</v>
      </c>
      <c r="AA146" s="325" t="str">
        <f ca="1">IFERROR(Model!AA61/Model!AA28,"N/A")</f>
        <v>N/A</v>
      </c>
      <c r="AB146" s="325" t="str">
        <f ca="1">IFERROR(Model!AB61/Model!AB28,"N/A")</f>
        <v>N/A</v>
      </c>
      <c r="AC146" s="325" t="str">
        <f ca="1">IFERROR(Model!AC61/Model!AC28,"N/A")</f>
        <v>N/A</v>
      </c>
      <c r="AD146" s="324" t="str">
        <f ca="1">IFERROR(Model!AD61/Model!AD28,"N/A")</f>
        <v>N/A</v>
      </c>
      <c r="AE146" s="324" t="str">
        <f ca="1">IFERROR(Model!AE61/Model!AE28,"N/A")</f>
        <v>N/A</v>
      </c>
      <c r="AF146" s="324" t="str">
        <f ca="1">IFERROR(Model!AF61/Model!AF28,"N/A")</f>
        <v>N/A</v>
      </c>
      <c r="AG146" s="324" t="str">
        <f ca="1">IFERROR(Model!AG61/Model!AG28,"N/A")</f>
        <v>N/A</v>
      </c>
    </row>
    <row r="147" spans="3:33" ht="14.25" hidden="1" customHeight="1" outlineLevel="1">
      <c r="C147" s="12" t="str">
        <f t="shared" ref="C147:C152" si="144">C16</f>
        <v>Home Improvement Retail</v>
      </c>
      <c r="D147" s="12"/>
      <c r="E147" s="12"/>
      <c r="F147" s="323"/>
      <c r="G147" s="323"/>
      <c r="H147" s="323"/>
      <c r="I147" s="323"/>
      <c r="J147" s="324"/>
      <c r="K147" s="323"/>
      <c r="L147" s="323"/>
      <c r="M147" s="323"/>
      <c r="N147" s="323"/>
      <c r="O147" s="324"/>
      <c r="P147" s="323"/>
      <c r="Q147" s="323"/>
      <c r="R147" s="323"/>
      <c r="S147" s="323"/>
      <c r="T147" s="324"/>
      <c r="U147" s="323"/>
      <c r="V147" s="323"/>
      <c r="W147" s="323"/>
      <c r="X147" s="325"/>
      <c r="Y147" s="324"/>
      <c r="Z147" s="325"/>
      <c r="AA147" s="325"/>
      <c r="AB147" s="325"/>
      <c r="AC147" s="325"/>
      <c r="AD147" s="324"/>
      <c r="AE147" s="324"/>
      <c r="AF147" s="324"/>
      <c r="AG147" s="324"/>
    </row>
    <row r="148" spans="3:33" ht="14.25" hidden="1" customHeight="1" outlineLevel="1">
      <c r="C148" s="12" t="str">
        <f t="shared" si="144"/>
        <v>Segment 2</v>
      </c>
      <c r="D148" s="12"/>
      <c r="E148" s="12"/>
      <c r="F148" s="323"/>
      <c r="G148" s="323"/>
      <c r="H148" s="323"/>
      <c r="I148" s="323"/>
      <c r="J148" s="324"/>
      <c r="K148" s="323"/>
      <c r="L148" s="323"/>
      <c r="M148" s="323"/>
      <c r="N148" s="323"/>
      <c r="O148" s="324"/>
      <c r="P148" s="323"/>
      <c r="Q148" s="323"/>
      <c r="R148" s="323"/>
      <c r="S148" s="323"/>
      <c r="T148" s="324"/>
      <c r="U148" s="323"/>
      <c r="V148" s="323"/>
      <c r="W148" s="323"/>
      <c r="X148" s="325"/>
      <c r="Y148" s="324"/>
      <c r="Z148" s="325"/>
      <c r="AA148" s="325"/>
      <c r="AB148" s="325"/>
      <c r="AC148" s="325"/>
      <c r="AD148" s="324"/>
      <c r="AE148" s="324"/>
      <c r="AF148" s="324"/>
      <c r="AG148" s="324"/>
    </row>
    <row r="149" spans="3:33" ht="14.25" hidden="1" customHeight="1" outlineLevel="1">
      <c r="C149" s="12" t="str">
        <f t="shared" si="144"/>
        <v>Segment 3</v>
      </c>
      <c r="D149" s="12"/>
      <c r="E149" s="12"/>
      <c r="F149" s="323"/>
      <c r="G149" s="323"/>
      <c r="H149" s="323"/>
      <c r="I149" s="323"/>
      <c r="J149" s="324"/>
      <c r="K149" s="323"/>
      <c r="L149" s="323"/>
      <c r="M149" s="323"/>
      <c r="N149" s="323"/>
      <c r="O149" s="324"/>
      <c r="P149" s="323"/>
      <c r="Q149" s="323"/>
      <c r="R149" s="323"/>
      <c r="S149" s="323"/>
      <c r="T149" s="324"/>
      <c r="U149" s="323"/>
      <c r="V149" s="323"/>
      <c r="W149" s="323"/>
      <c r="X149" s="325"/>
      <c r="Y149" s="324"/>
      <c r="Z149" s="325"/>
      <c r="AA149" s="325"/>
      <c r="AB149" s="325"/>
      <c r="AC149" s="325"/>
      <c r="AD149" s="324"/>
      <c r="AE149" s="324"/>
      <c r="AF149" s="324"/>
      <c r="AG149" s="324"/>
    </row>
    <row r="150" spans="3:33" ht="14.25" hidden="1" customHeight="1" outlineLevel="1">
      <c r="C150" s="12" t="str">
        <f t="shared" si="144"/>
        <v>Segment 4</v>
      </c>
      <c r="D150" s="12"/>
      <c r="E150" s="12"/>
      <c r="F150" s="323"/>
      <c r="G150" s="323"/>
      <c r="H150" s="323"/>
      <c r="I150" s="323"/>
      <c r="J150" s="324"/>
      <c r="K150" s="323"/>
      <c r="L150" s="323"/>
      <c r="M150" s="323"/>
      <c r="N150" s="323"/>
      <c r="O150" s="324"/>
      <c r="P150" s="323"/>
      <c r="Q150" s="323"/>
      <c r="R150" s="323"/>
      <c r="S150" s="323"/>
      <c r="T150" s="324"/>
      <c r="U150" s="323"/>
      <c r="V150" s="323"/>
      <c r="W150" s="323"/>
      <c r="X150" s="325"/>
      <c r="Y150" s="324"/>
      <c r="Z150" s="325"/>
      <c r="AA150" s="325"/>
      <c r="AB150" s="325"/>
      <c r="AC150" s="325"/>
      <c r="AD150" s="324"/>
      <c r="AE150" s="324"/>
      <c r="AF150" s="324"/>
      <c r="AG150" s="324"/>
    </row>
    <row r="151" spans="3:33" ht="14.25" hidden="1" customHeight="1" outlineLevel="1">
      <c r="C151" s="12" t="str">
        <f t="shared" si="144"/>
        <v>Segment 5</v>
      </c>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324"/>
      <c r="AF151" s="324"/>
      <c r="AG151" s="324"/>
    </row>
    <row r="152" spans="3:33" ht="14.25" hidden="1" customHeight="1" outlineLevel="1">
      <c r="C152" s="12" t="str">
        <f t="shared" si="144"/>
        <v>Segment 6</v>
      </c>
      <c r="D152" s="12"/>
      <c r="E152" s="12"/>
      <c r="F152" s="265"/>
      <c r="G152" s="265"/>
      <c r="H152" s="265"/>
      <c r="I152" s="265"/>
      <c r="J152" s="137"/>
      <c r="K152" s="265"/>
      <c r="L152" s="265"/>
      <c r="M152" s="265"/>
      <c r="N152" s="265"/>
      <c r="O152" s="137"/>
      <c r="P152" s="265"/>
      <c r="Q152" s="265"/>
      <c r="R152" s="265"/>
      <c r="S152" s="265"/>
      <c r="T152" s="137"/>
      <c r="U152" s="265"/>
      <c r="V152" s="265"/>
      <c r="W152" s="265"/>
      <c r="X152" s="268"/>
      <c r="Y152" s="137"/>
      <c r="Z152" s="268"/>
      <c r="AA152" s="268"/>
      <c r="AB152" s="268"/>
      <c r="AC152" s="268"/>
      <c r="AD152" s="137"/>
      <c r="AE152" s="137"/>
      <c r="AF152" s="137"/>
      <c r="AG152" s="137"/>
    </row>
    <row r="153" spans="3:33" ht="14.25" customHeight="1">
      <c r="C153" s="12"/>
      <c r="D153" s="12"/>
      <c r="E153" s="12"/>
      <c r="F153" s="265"/>
      <c r="G153" s="265"/>
      <c r="H153" s="265"/>
      <c r="I153" s="265"/>
      <c r="J153" s="137"/>
      <c r="K153" s="265"/>
      <c r="L153" s="265"/>
      <c r="M153" s="265"/>
      <c r="N153" s="265"/>
      <c r="O153" s="137"/>
      <c r="P153" s="265"/>
      <c r="Q153" s="265"/>
      <c r="R153" s="265"/>
      <c r="S153" s="265"/>
      <c r="T153" s="137"/>
      <c r="U153" s="265"/>
      <c r="V153" s="265"/>
      <c r="W153" s="265"/>
      <c r="X153" s="268"/>
      <c r="Y153" s="137"/>
      <c r="Z153" s="268"/>
      <c r="AA153" s="268"/>
      <c r="AB153" s="268"/>
      <c r="AC153" s="268"/>
      <c r="AD153" s="137"/>
      <c r="AE153" s="137"/>
      <c r="AF153" s="137"/>
      <c r="AG153" s="137"/>
    </row>
    <row r="154" spans="3:33" ht="14.25" customHeight="1">
      <c r="C154" s="12" t="s">
        <v>114</v>
      </c>
      <c r="D154" s="12"/>
      <c r="E154" s="12"/>
      <c r="F154" s="323">
        <f>IFERROR(Model!F36/Model!F28,"N/A")</f>
        <v>0.21004917844176499</v>
      </c>
      <c r="G154" s="323">
        <f>IFERROR(Model!G36/Model!G28,"N/A")</f>
        <v>0.22317281360487418</v>
      </c>
      <c r="H154" s="323">
        <f>IFERROR(Model!H36/Model!H28,"N/A")</f>
        <v>0.22435828692943816</v>
      </c>
      <c r="I154" s="323">
        <f>IFERROR(Model!I36/Model!I28,"N/A")</f>
        <v>-1.1741276431945609</v>
      </c>
      <c r="J154" s="324">
        <f>IFERROR(Model!J36/Model!J28,"N/A")</f>
        <v>-0.14568474725350836</v>
      </c>
      <c r="K154" s="323">
        <f>IFERROR(Model!K36/Model!K28,"N/A")</f>
        <v>0.28094027601692129</v>
      </c>
      <c r="L154" s="323">
        <f>IFERROR(Model!L36/Model!L28,"N/A")</f>
        <v>0.27228293673915799</v>
      </c>
      <c r="M154" s="323">
        <f>IFERROR(Model!M36/Model!M28,"N/A")</f>
        <v>0.29613892654057838</v>
      </c>
      <c r="N154" s="323">
        <f>IFERROR(Model!N36/Model!N28,"N/A")</f>
        <v>0.22180872653945791</v>
      </c>
      <c r="O154" s="324">
        <f>IFERROR(Model!O36/Model!O28,"N/A")</f>
        <v>0.26711169154117881</v>
      </c>
      <c r="P154" s="323">
        <f>IFERROR(Model!P36/Model!P28,"N/A")</f>
        <v>0.31746772039043514</v>
      </c>
      <c r="Q154" s="323">
        <f>IFERROR(Model!Q36/Model!Q28,"N/A")</f>
        <v>0.34070199868834899</v>
      </c>
      <c r="R154" s="323">
        <f>IFERROR(Model!R36/Model!R28,"N/A")</f>
        <v>0.28220333306487827</v>
      </c>
      <c r="S154" s="323">
        <f>IFERROR(Model!S36/Model!S28,"N/A")</f>
        <v>0.24535070894272079</v>
      </c>
      <c r="T154" s="324">
        <f>IFERROR(Model!T36/Model!T28,"N/A")</f>
        <v>0.29494704605507255</v>
      </c>
      <c r="U154" s="323">
        <f>IFERROR(Model!U36/Model!U28,"N/A")</f>
        <v>0.32302657105769528</v>
      </c>
      <c r="V154" s="323">
        <f>IFERROR(Model!V36/Model!V28,"N/A")</f>
        <v>0.15270221254987304</v>
      </c>
      <c r="W154" s="323">
        <f>IFERROR(Model!W36/Model!W28,"N/A")</f>
        <v>0.1216947377607121</v>
      </c>
      <c r="X154" s="325">
        <f>IFERROR(Model!X36/Model!X28,"N/A")</f>
        <v>-0.10521155515545128</v>
      </c>
      <c r="Y154" s="324">
        <f>IFERROR(Model!Y36/Model!Y28,"N/A")</f>
        <v>0.10253621065765144</v>
      </c>
      <c r="Z154" s="325">
        <f>IFERROR(Model!Z36/Model!Z28,"N/A")</f>
        <v>-9.7917671983246551E-2</v>
      </c>
      <c r="AA154" s="325">
        <f>IFERROR(Model!AA36/Model!AA28,"N/A")</f>
        <v>-9.1501414669771644E-2</v>
      </c>
      <c r="AB154" s="325">
        <f>IFERROR(Model!AB36/Model!AB28,"N/A")</f>
        <v>-0.11327856808301211</v>
      </c>
      <c r="AC154" s="325">
        <f>IFERROR(Model!AC36/Model!AC28,"N/A")</f>
        <v>-9.9045992780588885E-2</v>
      </c>
      <c r="AD154" s="324">
        <f>IFERROR(Model!AD36/Model!AD28,"N/A")</f>
        <v>-0.10015651845772622</v>
      </c>
      <c r="AE154" s="324">
        <f>IFERROR(Model!AE36/Model!AE28,"N/A")</f>
        <v>-8.9230245486357079E-2</v>
      </c>
      <c r="AF154" s="324">
        <f>IFERROR(Model!AF36/Model!AF28,"N/A")</f>
        <v>-8.4448693932685684E-2</v>
      </c>
      <c r="AG154" s="324">
        <f>IFERROR(Model!AG36/Model!AG28,"N/A")</f>
        <v>-7.7647439185815875E-2</v>
      </c>
    </row>
    <row r="155" spans="3:33" ht="14.25" customHeight="1" outlineLevel="1">
      <c r="C155" s="12" t="str">
        <f t="shared" ref="C155:C160" si="145">C16</f>
        <v>Home Improvement Retail</v>
      </c>
      <c r="D155" s="12"/>
      <c r="E155" s="12"/>
      <c r="F155" s="323">
        <f t="shared" ref="F155:AG155" si="146">IFERROR(F34/F8,"N/A")</f>
        <v>0.21004917844176496</v>
      </c>
      <c r="G155" s="323">
        <f t="shared" si="146"/>
        <v>0.22317281360487418</v>
      </c>
      <c r="H155" s="323">
        <f t="shared" si="146"/>
        <v>0.22435828692943816</v>
      </c>
      <c r="I155" s="323">
        <f t="shared" si="146"/>
        <v>0.1693805775615389</v>
      </c>
      <c r="J155" s="324">
        <f t="shared" si="146"/>
        <v>0.20620768485358948</v>
      </c>
      <c r="K155" s="323">
        <f t="shared" si="146"/>
        <v>0.28094027601692129</v>
      </c>
      <c r="L155" s="323">
        <f t="shared" si="146"/>
        <v>0.27228293673915799</v>
      </c>
      <c r="M155" s="323">
        <f t="shared" si="146"/>
        <v>0.29613892654057838</v>
      </c>
      <c r="N155" s="323">
        <f t="shared" si="146"/>
        <v>0.22180872653945785</v>
      </c>
      <c r="O155" s="324">
        <f t="shared" si="146"/>
        <v>0.26711169154117875</v>
      </c>
      <c r="P155" s="323">
        <f t="shared" si="146"/>
        <v>0.31746772039043514</v>
      </c>
      <c r="Q155" s="323">
        <f t="shared" si="146"/>
        <v>0.34070199868834894</v>
      </c>
      <c r="R155" s="323">
        <f t="shared" si="146"/>
        <v>0.28220333306487827</v>
      </c>
      <c r="S155" s="323">
        <f t="shared" si="146"/>
        <v>0.24535070894272079</v>
      </c>
      <c r="T155" s="324">
        <f t="shared" si="146"/>
        <v>0.29494704605507249</v>
      </c>
      <c r="U155" s="323">
        <f t="shared" si="146"/>
        <v>0.32302657105769528</v>
      </c>
      <c r="V155" s="323">
        <f t="shared" si="146"/>
        <v>0.108</v>
      </c>
      <c r="W155" s="323">
        <f t="shared" si="146"/>
        <v>0.1216947377607121</v>
      </c>
      <c r="X155" s="325">
        <f t="shared" si="146"/>
        <v>0.13</v>
      </c>
      <c r="Y155" s="324">
        <f t="shared" si="146"/>
        <v>0.14854989045834027</v>
      </c>
      <c r="Z155" s="325">
        <f t="shared" si="146"/>
        <v>0.14000000000000001</v>
      </c>
      <c r="AA155" s="325">
        <f t="shared" si="146"/>
        <v>0.14499999999999999</v>
      </c>
      <c r="AB155" s="325">
        <f t="shared" si="146"/>
        <v>0.12</v>
      </c>
      <c r="AC155" s="325">
        <f t="shared" si="146"/>
        <v>0.13500000000000001</v>
      </c>
      <c r="AD155" s="324">
        <f t="shared" si="146"/>
        <v>0.13533005878561805</v>
      </c>
      <c r="AE155" s="324">
        <f t="shared" si="146"/>
        <v>0.13900000000000001</v>
      </c>
      <c r="AF155" s="324">
        <f t="shared" si="146"/>
        <v>0.14000000000000001</v>
      </c>
      <c r="AG155" s="324">
        <f t="shared" si="146"/>
        <v>0.14199999999999999</v>
      </c>
    </row>
    <row r="156" spans="3:33" ht="14.25" customHeight="1" outlineLevel="1">
      <c r="C156" s="12" t="str">
        <f t="shared" si="145"/>
        <v>Segment 2</v>
      </c>
      <c r="D156" s="12"/>
      <c r="E156" s="12"/>
      <c r="F156" s="323" t="str">
        <f t="shared" ref="F156:AG156" si="147">IFERROR(F35/F9,"N/A")</f>
        <v>N/A</v>
      </c>
      <c r="G156" s="323" t="str">
        <f t="shared" si="147"/>
        <v>N/A</v>
      </c>
      <c r="H156" s="323" t="str">
        <f t="shared" si="147"/>
        <v>N/A</v>
      </c>
      <c r="I156" s="323" t="str">
        <f t="shared" si="147"/>
        <v>N/A</v>
      </c>
      <c r="J156" s="324" t="str">
        <f t="shared" si="147"/>
        <v>N/A</v>
      </c>
      <c r="K156" s="323" t="str">
        <f t="shared" si="147"/>
        <v>N/A</v>
      </c>
      <c r="L156" s="323" t="str">
        <f t="shared" si="147"/>
        <v>N/A</v>
      </c>
      <c r="M156" s="323" t="str">
        <f t="shared" si="147"/>
        <v>N/A</v>
      </c>
      <c r="N156" s="323" t="str">
        <f t="shared" si="147"/>
        <v>N/A</v>
      </c>
      <c r="O156" s="324" t="str">
        <f t="shared" si="147"/>
        <v>N/A</v>
      </c>
      <c r="P156" s="323" t="str">
        <f t="shared" si="147"/>
        <v>N/A</v>
      </c>
      <c r="Q156" s="323" t="str">
        <f t="shared" si="147"/>
        <v>N/A</v>
      </c>
      <c r="R156" s="323" t="str">
        <f t="shared" si="147"/>
        <v>N/A</v>
      </c>
      <c r="S156" s="323" t="str">
        <f t="shared" si="147"/>
        <v>N/A</v>
      </c>
      <c r="T156" s="324" t="str">
        <f t="shared" si="147"/>
        <v>N/A</v>
      </c>
      <c r="U156" s="323" t="str">
        <f t="shared" si="147"/>
        <v>N/A</v>
      </c>
      <c r="V156" s="323" t="str">
        <f t="shared" si="147"/>
        <v>N/A</v>
      </c>
      <c r="W156" s="323" t="str">
        <f t="shared" si="147"/>
        <v>N/A</v>
      </c>
      <c r="X156" s="325" t="str">
        <f t="shared" si="147"/>
        <v>N/A</v>
      </c>
      <c r="Y156" s="324" t="str">
        <f t="shared" si="147"/>
        <v>N/A</v>
      </c>
      <c r="Z156" s="325" t="str">
        <f t="shared" si="147"/>
        <v>N/A</v>
      </c>
      <c r="AA156" s="325" t="str">
        <f t="shared" si="147"/>
        <v>N/A</v>
      </c>
      <c r="AB156" s="325" t="str">
        <f t="shared" si="147"/>
        <v>N/A</v>
      </c>
      <c r="AC156" s="325" t="str">
        <f t="shared" si="147"/>
        <v>N/A</v>
      </c>
      <c r="AD156" s="324" t="str">
        <f t="shared" si="147"/>
        <v>N/A</v>
      </c>
      <c r="AE156" s="324" t="str">
        <f t="shared" si="147"/>
        <v>N/A</v>
      </c>
      <c r="AF156" s="324" t="str">
        <f t="shared" si="147"/>
        <v>N/A</v>
      </c>
      <c r="AG156" s="324" t="str">
        <f t="shared" si="147"/>
        <v>N/A</v>
      </c>
    </row>
    <row r="157" spans="3:33" ht="14.25" customHeight="1" outlineLevel="1">
      <c r="C157" s="12" t="str">
        <f t="shared" si="145"/>
        <v>Segment 3</v>
      </c>
      <c r="D157" s="12"/>
      <c r="E157" s="12"/>
      <c r="F157" s="323" t="str">
        <f t="shared" ref="F157:AG157" si="148">IFERROR(F36/F10,"N/A")</f>
        <v>N/A</v>
      </c>
      <c r="G157" s="323" t="str">
        <f t="shared" si="148"/>
        <v>N/A</v>
      </c>
      <c r="H157" s="323" t="str">
        <f t="shared" si="148"/>
        <v>N/A</v>
      </c>
      <c r="I157" s="323" t="str">
        <f t="shared" si="148"/>
        <v>N/A</v>
      </c>
      <c r="J157" s="324" t="str">
        <f t="shared" si="148"/>
        <v>N/A</v>
      </c>
      <c r="K157" s="323" t="str">
        <f t="shared" si="148"/>
        <v>N/A</v>
      </c>
      <c r="L157" s="323" t="str">
        <f t="shared" si="148"/>
        <v>N/A</v>
      </c>
      <c r="M157" s="323" t="str">
        <f t="shared" si="148"/>
        <v>N/A</v>
      </c>
      <c r="N157" s="323" t="str">
        <f t="shared" si="148"/>
        <v>N/A</v>
      </c>
      <c r="O157" s="324" t="str">
        <f t="shared" si="148"/>
        <v>N/A</v>
      </c>
      <c r="P157" s="323" t="str">
        <f t="shared" si="148"/>
        <v>N/A</v>
      </c>
      <c r="Q157" s="323" t="str">
        <f t="shared" si="148"/>
        <v>N/A</v>
      </c>
      <c r="R157" s="323" t="str">
        <f t="shared" si="148"/>
        <v>N/A</v>
      </c>
      <c r="S157" s="323" t="str">
        <f t="shared" si="148"/>
        <v>N/A</v>
      </c>
      <c r="T157" s="324" t="str">
        <f t="shared" si="148"/>
        <v>N/A</v>
      </c>
      <c r="U157" s="323" t="str">
        <f t="shared" si="148"/>
        <v>N/A</v>
      </c>
      <c r="V157" s="323" t="str">
        <f t="shared" si="148"/>
        <v>N/A</v>
      </c>
      <c r="W157" s="323" t="str">
        <f t="shared" si="148"/>
        <v>N/A</v>
      </c>
      <c r="X157" s="325" t="str">
        <f t="shared" si="148"/>
        <v>N/A</v>
      </c>
      <c r="Y157" s="324" t="str">
        <f t="shared" si="148"/>
        <v>N/A</v>
      </c>
      <c r="Z157" s="325" t="str">
        <f t="shared" si="148"/>
        <v>N/A</v>
      </c>
      <c r="AA157" s="325" t="str">
        <f t="shared" si="148"/>
        <v>N/A</v>
      </c>
      <c r="AB157" s="325" t="str">
        <f t="shared" si="148"/>
        <v>N/A</v>
      </c>
      <c r="AC157" s="325" t="str">
        <f t="shared" si="148"/>
        <v>N/A</v>
      </c>
      <c r="AD157" s="324" t="str">
        <f t="shared" si="148"/>
        <v>N/A</v>
      </c>
      <c r="AE157" s="324" t="str">
        <f t="shared" si="148"/>
        <v>N/A</v>
      </c>
      <c r="AF157" s="324" t="str">
        <f t="shared" si="148"/>
        <v>N/A</v>
      </c>
      <c r="AG157" s="324" t="str">
        <f t="shared" si="148"/>
        <v>N/A</v>
      </c>
    </row>
    <row r="158" spans="3:33" ht="14.25" customHeight="1" outlineLevel="1">
      <c r="C158" s="12" t="str">
        <f t="shared" si="145"/>
        <v>Segment 4</v>
      </c>
      <c r="D158" s="12"/>
      <c r="E158" s="12"/>
      <c r="F158" s="323" t="str">
        <f t="shared" ref="F158:AG158" si="149">IFERROR(F37/F11,"N/A")</f>
        <v>N/A</v>
      </c>
      <c r="G158" s="323" t="str">
        <f t="shared" si="149"/>
        <v>N/A</v>
      </c>
      <c r="H158" s="323" t="str">
        <f t="shared" si="149"/>
        <v>N/A</v>
      </c>
      <c r="I158" s="323" t="str">
        <f t="shared" si="149"/>
        <v>N/A</v>
      </c>
      <c r="J158" s="324" t="str">
        <f t="shared" si="149"/>
        <v>N/A</v>
      </c>
      <c r="K158" s="323" t="str">
        <f t="shared" si="149"/>
        <v>N/A</v>
      </c>
      <c r="L158" s="323" t="str">
        <f t="shared" si="149"/>
        <v>N/A</v>
      </c>
      <c r="M158" s="323" t="str">
        <f t="shared" si="149"/>
        <v>N/A</v>
      </c>
      <c r="N158" s="323" t="str">
        <f t="shared" si="149"/>
        <v>N/A</v>
      </c>
      <c r="O158" s="324" t="str">
        <f t="shared" si="149"/>
        <v>N/A</v>
      </c>
      <c r="P158" s="323" t="str">
        <f t="shared" si="149"/>
        <v>N/A</v>
      </c>
      <c r="Q158" s="323" t="str">
        <f t="shared" si="149"/>
        <v>N/A</v>
      </c>
      <c r="R158" s="323" t="str">
        <f t="shared" si="149"/>
        <v>N/A</v>
      </c>
      <c r="S158" s="323" t="str">
        <f t="shared" si="149"/>
        <v>N/A</v>
      </c>
      <c r="T158" s="324" t="str">
        <f t="shared" si="149"/>
        <v>N/A</v>
      </c>
      <c r="U158" s="323" t="str">
        <f t="shared" si="149"/>
        <v>N/A</v>
      </c>
      <c r="V158" s="323" t="str">
        <f t="shared" si="149"/>
        <v>N/A</v>
      </c>
      <c r="W158" s="323" t="str">
        <f t="shared" si="149"/>
        <v>N/A</v>
      </c>
      <c r="X158" s="325" t="str">
        <f t="shared" si="149"/>
        <v>N/A</v>
      </c>
      <c r="Y158" s="324" t="str">
        <f t="shared" si="149"/>
        <v>N/A</v>
      </c>
      <c r="Z158" s="325" t="str">
        <f t="shared" si="149"/>
        <v>N/A</v>
      </c>
      <c r="AA158" s="325" t="str">
        <f t="shared" si="149"/>
        <v>N/A</v>
      </c>
      <c r="AB158" s="325" t="str">
        <f t="shared" si="149"/>
        <v>N/A</v>
      </c>
      <c r="AC158" s="325" t="str">
        <f t="shared" si="149"/>
        <v>N/A</v>
      </c>
      <c r="AD158" s="324" t="str">
        <f t="shared" si="149"/>
        <v>N/A</v>
      </c>
      <c r="AE158" s="324" t="str">
        <f t="shared" si="149"/>
        <v>N/A</v>
      </c>
      <c r="AF158" s="324" t="str">
        <f t="shared" si="149"/>
        <v>N/A</v>
      </c>
      <c r="AG158" s="324" t="str">
        <f t="shared" si="149"/>
        <v>N/A</v>
      </c>
    </row>
    <row r="159" spans="3:33" ht="14.25" customHeight="1" outlineLevel="1">
      <c r="C159" s="12" t="str">
        <f t="shared" si="145"/>
        <v>Segment 5</v>
      </c>
      <c r="D159" s="12"/>
      <c r="E159" s="12"/>
      <c r="F159" s="323" t="str">
        <f t="shared" ref="F159:AG159" si="150">IFERROR(F38/F12,"N/A")</f>
        <v>N/A</v>
      </c>
      <c r="G159" s="323" t="str">
        <f t="shared" si="150"/>
        <v>N/A</v>
      </c>
      <c r="H159" s="323" t="str">
        <f t="shared" si="150"/>
        <v>N/A</v>
      </c>
      <c r="I159" s="323" t="str">
        <f t="shared" si="150"/>
        <v>N/A</v>
      </c>
      <c r="J159" s="324" t="str">
        <f t="shared" si="150"/>
        <v>N/A</v>
      </c>
      <c r="K159" s="323" t="str">
        <f t="shared" si="150"/>
        <v>N/A</v>
      </c>
      <c r="L159" s="323" t="str">
        <f t="shared" si="150"/>
        <v>N/A</v>
      </c>
      <c r="M159" s="323" t="str">
        <f t="shared" si="150"/>
        <v>N/A</v>
      </c>
      <c r="N159" s="323" t="str">
        <f t="shared" si="150"/>
        <v>N/A</v>
      </c>
      <c r="O159" s="324" t="str">
        <f t="shared" si="150"/>
        <v>N/A</v>
      </c>
      <c r="P159" s="323" t="str">
        <f t="shared" si="150"/>
        <v>N/A</v>
      </c>
      <c r="Q159" s="323" t="str">
        <f t="shared" si="150"/>
        <v>N/A</v>
      </c>
      <c r="R159" s="323" t="str">
        <f t="shared" si="150"/>
        <v>N/A</v>
      </c>
      <c r="S159" s="323" t="str">
        <f t="shared" si="150"/>
        <v>N/A</v>
      </c>
      <c r="T159" s="324" t="str">
        <f t="shared" si="150"/>
        <v>N/A</v>
      </c>
      <c r="U159" s="323" t="str">
        <f t="shared" si="150"/>
        <v>N/A</v>
      </c>
      <c r="V159" s="323" t="str">
        <f t="shared" si="150"/>
        <v>N/A</v>
      </c>
      <c r="W159" s="323" t="str">
        <f t="shared" si="150"/>
        <v>N/A</v>
      </c>
      <c r="X159" s="325" t="str">
        <f t="shared" si="150"/>
        <v>N/A</v>
      </c>
      <c r="Y159" s="324" t="str">
        <f t="shared" si="150"/>
        <v>N/A</v>
      </c>
      <c r="Z159" s="325" t="str">
        <f t="shared" si="150"/>
        <v>N/A</v>
      </c>
      <c r="AA159" s="325" t="str">
        <f t="shared" si="150"/>
        <v>N/A</v>
      </c>
      <c r="AB159" s="325" t="str">
        <f t="shared" si="150"/>
        <v>N/A</v>
      </c>
      <c r="AC159" s="325" t="str">
        <f t="shared" si="150"/>
        <v>N/A</v>
      </c>
      <c r="AD159" s="324" t="str">
        <f t="shared" si="150"/>
        <v>N/A</v>
      </c>
      <c r="AE159" s="324" t="str">
        <f t="shared" si="150"/>
        <v>N/A</v>
      </c>
      <c r="AF159" s="324" t="str">
        <f t="shared" si="150"/>
        <v>N/A</v>
      </c>
      <c r="AG159" s="324" t="str">
        <f t="shared" si="150"/>
        <v>N/A</v>
      </c>
    </row>
    <row r="160" spans="3:33" ht="14.25" customHeight="1" outlineLevel="1">
      <c r="C160" s="12" t="str">
        <f t="shared" si="145"/>
        <v>Segment 6</v>
      </c>
      <c r="D160" s="12"/>
      <c r="E160" s="12"/>
      <c r="F160" s="323" t="str">
        <f t="shared" ref="F160:AG160" si="151">IFERROR(F39/F13,"N/A")</f>
        <v>N/A</v>
      </c>
      <c r="G160" s="323" t="str">
        <f t="shared" si="151"/>
        <v>N/A</v>
      </c>
      <c r="H160" s="323" t="str">
        <f t="shared" si="151"/>
        <v>N/A</v>
      </c>
      <c r="I160" s="323" t="str">
        <f t="shared" si="151"/>
        <v>N/A</v>
      </c>
      <c r="J160" s="324" t="str">
        <f t="shared" si="151"/>
        <v>N/A</v>
      </c>
      <c r="K160" s="323" t="str">
        <f t="shared" si="151"/>
        <v>N/A</v>
      </c>
      <c r="L160" s="323" t="str">
        <f t="shared" si="151"/>
        <v>N/A</v>
      </c>
      <c r="M160" s="323" t="str">
        <f t="shared" si="151"/>
        <v>N/A</v>
      </c>
      <c r="N160" s="323" t="str">
        <f t="shared" si="151"/>
        <v>N/A</v>
      </c>
      <c r="O160" s="324" t="str">
        <f t="shared" si="151"/>
        <v>N/A</v>
      </c>
      <c r="P160" s="323" t="str">
        <f t="shared" si="151"/>
        <v>N/A</v>
      </c>
      <c r="Q160" s="323" t="str">
        <f t="shared" si="151"/>
        <v>N/A</v>
      </c>
      <c r="R160" s="323" t="str">
        <f t="shared" si="151"/>
        <v>N/A</v>
      </c>
      <c r="S160" s="323" t="str">
        <f t="shared" si="151"/>
        <v>N/A</v>
      </c>
      <c r="T160" s="324" t="str">
        <f t="shared" si="151"/>
        <v>N/A</v>
      </c>
      <c r="U160" s="323" t="str">
        <f t="shared" si="151"/>
        <v>N/A</v>
      </c>
      <c r="V160" s="323" t="str">
        <f t="shared" si="151"/>
        <v>N/A</v>
      </c>
      <c r="W160" s="323" t="str">
        <f t="shared" si="151"/>
        <v>N/A</v>
      </c>
      <c r="X160" s="325" t="str">
        <f t="shared" si="151"/>
        <v>N/A</v>
      </c>
      <c r="Y160" s="324" t="str">
        <f t="shared" si="151"/>
        <v>N/A</v>
      </c>
      <c r="Z160" s="325" t="str">
        <f t="shared" si="151"/>
        <v>N/A</v>
      </c>
      <c r="AA160" s="325" t="str">
        <f t="shared" si="151"/>
        <v>N/A</v>
      </c>
      <c r="AB160" s="325" t="str">
        <f t="shared" si="151"/>
        <v>N/A</v>
      </c>
      <c r="AC160" s="325" t="str">
        <f t="shared" si="151"/>
        <v>N/A</v>
      </c>
      <c r="AD160" s="324" t="str">
        <f t="shared" si="151"/>
        <v>N/A</v>
      </c>
      <c r="AE160" s="324" t="str">
        <f t="shared" si="151"/>
        <v>N/A</v>
      </c>
      <c r="AF160" s="324" t="str">
        <f t="shared" si="151"/>
        <v>N/A</v>
      </c>
      <c r="AG160" s="324" t="str">
        <f t="shared" si="151"/>
        <v>N/A</v>
      </c>
    </row>
    <row r="161" spans="3:33" ht="14.25" customHeight="1">
      <c r="C161" s="12"/>
      <c r="D161" s="12"/>
      <c r="E161" s="12"/>
      <c r="F161" s="265"/>
      <c r="G161" s="265"/>
      <c r="H161" s="265"/>
      <c r="I161" s="265"/>
      <c r="J161" s="137"/>
      <c r="K161" s="265"/>
      <c r="L161" s="265"/>
      <c r="M161" s="265"/>
      <c r="N161" s="265"/>
      <c r="O161" s="137"/>
      <c r="P161" s="265"/>
      <c r="Q161" s="265"/>
      <c r="R161" s="265"/>
      <c r="S161" s="265"/>
      <c r="T161" s="137"/>
      <c r="U161" s="265"/>
      <c r="V161" s="265"/>
      <c r="W161" s="265"/>
      <c r="X161" s="268"/>
      <c r="Y161" s="137"/>
      <c r="Z161" s="268"/>
      <c r="AA161" s="268"/>
      <c r="AB161" s="268"/>
      <c r="AC161" s="268"/>
      <c r="AD161" s="137"/>
      <c r="AE161" s="137"/>
      <c r="AF161" s="137"/>
      <c r="AG161" s="137"/>
    </row>
    <row r="162" spans="3:33" ht="14.25" hidden="1" customHeight="1" outlineLevel="1">
      <c r="C162" s="12" t="s">
        <v>471</v>
      </c>
      <c r="D162" s="12"/>
      <c r="E162" s="12"/>
      <c r="F162" s="265"/>
      <c r="G162" s="323">
        <f>IFERROR((Model!G36-Model!F36)/('Segment Analysis'!G7-'Segment Analysis'!F7),"N/A")</f>
        <v>4.3749903093261793</v>
      </c>
      <c r="H162" s="323">
        <f>IFERROR((Model!H36-Model!G36)/('Segment Analysis'!H7-'Segment Analysis'!G7),"N/A")</f>
        <v>0.25174748213010861</v>
      </c>
      <c r="I162" s="323">
        <f>IFERROR((Model!I36-Model!H36)/('Segment Analysis'!I7-'Segment Analysis'!H7),"N/A")</f>
        <v>-42.201485796322785</v>
      </c>
      <c r="J162" s="324"/>
      <c r="K162" s="323">
        <f>IFERROR((Model!K36-Model!I36)/('Segment Analysis'!K7-'Segment Analysis'!I7),"N/A")</f>
        <v>24.187193437683106</v>
      </c>
      <c r="L162" s="323">
        <f>IFERROR((Model!L36-Model!K36)/('Segment Analysis'!L7-'Segment Analysis'!K7),"N/A")</f>
        <v>-0.15723513527823518</v>
      </c>
      <c r="M162" s="323">
        <f>IFERROR((Model!M36-Model!L36)/('Segment Analysis'!M7-'Segment Analysis'!L7),"N/A")</f>
        <v>1.1554185679350994</v>
      </c>
      <c r="N162" s="323">
        <f>IFERROR((Model!N36-Model!M36)/('Segment Analysis'!N7-'Segment Analysis'!M7),"N/A")</f>
        <v>-1.5094734596145121</v>
      </c>
      <c r="O162" s="324"/>
      <c r="P162" s="323">
        <f>IFERROR((Model!P36-Model!N36)/('Segment Analysis'!P7-'Segment Analysis'!N7),"N/A")</f>
        <v>3.6256378928610142</v>
      </c>
      <c r="Q162" s="323">
        <f>IFERROR((Model!Q36-Model!P36)/('Segment Analysis'!Q7-'Segment Analysis'!P7),"N/A")</f>
        <v>0.79739543035060223</v>
      </c>
      <c r="R162" s="323">
        <f>IFERROR((Model!R36-Model!Q36)/('Segment Analysis'!R7-'Segment Analysis'!Q7),"N/A")</f>
        <v>-1.2210552928160354</v>
      </c>
      <c r="S162" s="323">
        <f>IFERROR((Model!S36-Model!R36)/('Segment Analysis'!S7-'Segment Analysis'!R7),"N/A")</f>
        <v>-0.53951577837192799</v>
      </c>
      <c r="T162" s="324"/>
      <c r="U162" s="323">
        <f>IFERROR((Model!U36-Model!S36)/('Segment Analysis'!U7-'Segment Analysis'!S7),"N/A")</f>
        <v>5.0269303248825619</v>
      </c>
      <c r="V162" s="323">
        <f>IFERROR((Model!V36-Model!U36)/('Segment Analysis'!V7-'Segment Analysis'!U7),"N/A")</f>
        <v>1.6514294192331004E-2</v>
      </c>
      <c r="W162" s="323">
        <f>IFERROR((Model!W36-Model!V36)/('Segment Analysis'!W7-'Segment Analysis'!V7),"N/A")</f>
        <v>0.30546001719690458</v>
      </c>
      <c r="X162" s="325">
        <f>IFERROR((Model!X36-Model!W36)/('Segment Analysis'!X7-'Segment Analysis'!W7),"N/A")</f>
        <v>4.4329143031678102</v>
      </c>
      <c r="Y162" s="324"/>
      <c r="Z162" s="325">
        <f>IFERROR((Model!Z36-Model!X36)/('Segment Analysis'!Z7-'Segment Analysis'!X7),"N/A")</f>
        <v>-5.7396098804331434E-2</v>
      </c>
      <c r="AA162" s="325">
        <f>IFERROR((Model!AA36-Model!Z36)/('Segment Analysis'!AA7-'Segment Analysis'!Z7),"N/A")</f>
        <v>-4.5671005287807993E-2</v>
      </c>
      <c r="AB162" s="325">
        <f>IFERROR((Model!AB36-Model!AA36)/('Segment Analysis'!AB7-'Segment Analysis'!AA7),"N/A")</f>
        <v>6.819771036065847E-2</v>
      </c>
      <c r="AC162" s="325">
        <f>IFERROR((Model!AC36-Model!AB36)/('Segment Analysis'!AC7-'Segment Analysis'!AB7),"N/A")</f>
        <v>-0.38369749882905257</v>
      </c>
      <c r="AD162" s="324"/>
      <c r="AE162" s="324">
        <f>IFERROR((Model!AE36-Model!AD36)/('Segment Analysis'!AE7-'Segment Analysis'!AD7),"N/A")</f>
        <v>0.45708340308210033</v>
      </c>
      <c r="AF162" s="324">
        <f>IFERROR((Model!AF36-Model!AE36)/('Segment Analysis'!AF7-'Segment Analysis'!AE7),"N/A")</f>
        <v>0.15462888375088399</v>
      </c>
      <c r="AG162" s="324">
        <f>IFERROR((Model!AG36-Model!AF36)/('Segment Analysis'!AG7-'Segment Analysis'!AF7),"N/A")</f>
        <v>0.26241529815767434</v>
      </c>
    </row>
    <row r="163" spans="3:33" ht="14.25" hidden="1" customHeight="1" outlineLevel="1">
      <c r="C163" s="12" t="str">
        <f t="shared" ref="C163:C168" si="152">C16</f>
        <v>Home Improvement Retail</v>
      </c>
      <c r="D163" s="12"/>
      <c r="E163" s="12"/>
      <c r="F163" s="265"/>
      <c r="G163" s="323"/>
      <c r="H163" s="323"/>
      <c r="I163" s="323"/>
      <c r="J163" s="324"/>
      <c r="K163" s="323"/>
      <c r="L163" s="323"/>
      <c r="M163" s="323"/>
      <c r="N163" s="323"/>
      <c r="O163" s="324"/>
      <c r="P163" s="323"/>
      <c r="Q163" s="323"/>
      <c r="R163" s="323"/>
      <c r="S163" s="323"/>
      <c r="T163" s="324"/>
      <c r="U163" s="323"/>
      <c r="V163" s="323"/>
      <c r="W163" s="323"/>
      <c r="X163" s="325"/>
      <c r="Y163" s="324"/>
      <c r="Z163" s="325"/>
      <c r="AA163" s="325"/>
      <c r="AB163" s="325"/>
      <c r="AC163" s="325"/>
      <c r="AD163" s="324"/>
      <c r="AE163" s="324"/>
      <c r="AF163" s="324"/>
      <c r="AG163" s="324"/>
    </row>
    <row r="164" spans="3:33" ht="14.25" hidden="1" customHeight="1" outlineLevel="1">
      <c r="C164" s="12" t="str">
        <f t="shared" si="152"/>
        <v>Segment 2</v>
      </c>
      <c r="D164" s="12"/>
      <c r="E164" s="12"/>
      <c r="F164" s="265"/>
      <c r="G164" s="323"/>
      <c r="H164" s="323"/>
      <c r="I164" s="323"/>
      <c r="J164" s="324"/>
      <c r="K164" s="323"/>
      <c r="L164" s="323"/>
      <c r="M164" s="323"/>
      <c r="N164" s="323"/>
      <c r="O164" s="324"/>
      <c r="P164" s="323"/>
      <c r="Q164" s="323"/>
      <c r="R164" s="323"/>
      <c r="S164" s="323"/>
      <c r="T164" s="324"/>
      <c r="U164" s="323"/>
      <c r="V164" s="323"/>
      <c r="W164" s="323"/>
      <c r="X164" s="325"/>
      <c r="Y164" s="324"/>
      <c r="Z164" s="325"/>
      <c r="AA164" s="325"/>
      <c r="AB164" s="325"/>
      <c r="AC164" s="325"/>
      <c r="AD164" s="324"/>
      <c r="AE164" s="324"/>
      <c r="AF164" s="324"/>
      <c r="AG164" s="324"/>
    </row>
    <row r="165" spans="3:33" ht="14.25" hidden="1" customHeight="1" outlineLevel="1">
      <c r="C165" s="12" t="str">
        <f t="shared" si="152"/>
        <v>Segment 3</v>
      </c>
      <c r="D165" s="12"/>
      <c r="E165" s="12"/>
      <c r="F165" s="265"/>
      <c r="G165" s="323"/>
      <c r="H165" s="323"/>
      <c r="I165" s="323"/>
      <c r="J165" s="324"/>
      <c r="K165" s="323"/>
      <c r="L165" s="323"/>
      <c r="M165" s="323"/>
      <c r="N165" s="323"/>
      <c r="O165" s="324"/>
      <c r="P165" s="323"/>
      <c r="Q165" s="323"/>
      <c r="R165" s="323"/>
      <c r="S165" s="323"/>
      <c r="T165" s="324"/>
      <c r="U165" s="323"/>
      <c r="V165" s="323"/>
      <c r="W165" s="323"/>
      <c r="X165" s="325"/>
      <c r="Y165" s="324"/>
      <c r="Z165" s="325"/>
      <c r="AA165" s="325"/>
      <c r="AB165" s="325"/>
      <c r="AC165" s="325"/>
      <c r="AD165" s="324"/>
      <c r="AE165" s="324"/>
      <c r="AF165" s="324"/>
      <c r="AG165" s="324"/>
    </row>
    <row r="166" spans="3:33" ht="14.25" hidden="1" customHeight="1" outlineLevel="1">
      <c r="C166" s="12" t="str">
        <f t="shared" si="152"/>
        <v>Segment 4</v>
      </c>
      <c r="D166" s="12"/>
      <c r="E166" s="12"/>
      <c r="F166" s="265"/>
      <c r="G166" s="323"/>
      <c r="H166" s="323"/>
      <c r="I166" s="323"/>
      <c r="J166" s="324"/>
      <c r="K166" s="323"/>
      <c r="L166" s="323"/>
      <c r="M166" s="323"/>
      <c r="N166" s="323"/>
      <c r="O166" s="324"/>
      <c r="P166" s="323"/>
      <c r="Q166" s="323"/>
      <c r="R166" s="323"/>
      <c r="S166" s="323"/>
      <c r="T166" s="324"/>
      <c r="U166" s="323"/>
      <c r="V166" s="323"/>
      <c r="W166" s="323"/>
      <c r="X166" s="325"/>
      <c r="Y166" s="324"/>
      <c r="Z166" s="325"/>
      <c r="AA166" s="325"/>
      <c r="AB166" s="325"/>
      <c r="AC166" s="325"/>
      <c r="AD166" s="324"/>
      <c r="AE166" s="324"/>
      <c r="AF166" s="324"/>
      <c r="AG166" s="324"/>
    </row>
    <row r="167" spans="3:33" ht="14.25" hidden="1" customHeight="1" outlineLevel="1">
      <c r="C167" s="12" t="str">
        <f t="shared" si="152"/>
        <v>Segment 5</v>
      </c>
      <c r="D167" s="12"/>
      <c r="E167" s="12"/>
      <c r="F167" s="265"/>
      <c r="G167" s="323"/>
      <c r="H167" s="323"/>
      <c r="I167" s="323"/>
      <c r="J167" s="324"/>
      <c r="K167" s="323"/>
      <c r="L167" s="323"/>
      <c r="M167" s="323"/>
      <c r="N167" s="323"/>
      <c r="O167" s="324"/>
      <c r="P167" s="323"/>
      <c r="Q167" s="323"/>
      <c r="R167" s="323"/>
      <c r="S167" s="323"/>
      <c r="T167" s="324"/>
      <c r="U167" s="323"/>
      <c r="V167" s="323"/>
      <c r="W167" s="323"/>
      <c r="X167" s="325"/>
      <c r="Y167" s="324"/>
      <c r="Z167" s="325"/>
      <c r="AA167" s="325"/>
      <c r="AB167" s="325"/>
      <c r="AC167" s="325"/>
      <c r="AD167" s="324"/>
      <c r="AE167" s="324"/>
      <c r="AF167" s="324"/>
      <c r="AG167" s="324"/>
    </row>
    <row r="168" spans="3:33" ht="14.25" hidden="1" customHeight="1" outlineLevel="1">
      <c r="C168" s="12" t="str">
        <f t="shared" si="152"/>
        <v>Segment 6</v>
      </c>
      <c r="D168" s="12"/>
      <c r="E168" s="12"/>
      <c r="F168" s="265"/>
      <c r="G168" s="323"/>
      <c r="H168" s="323"/>
      <c r="I168" s="323"/>
      <c r="J168" s="324"/>
      <c r="K168" s="323"/>
      <c r="L168" s="323"/>
      <c r="M168" s="323"/>
      <c r="N168" s="323"/>
      <c r="O168" s="324"/>
      <c r="P168" s="323"/>
      <c r="Q168" s="323"/>
      <c r="R168" s="323"/>
      <c r="S168" s="323"/>
      <c r="T168" s="324"/>
      <c r="U168" s="323"/>
      <c r="V168" s="323"/>
      <c r="W168" s="323"/>
      <c r="X168" s="325"/>
      <c r="Y168" s="324"/>
      <c r="Z168" s="325"/>
      <c r="AA168" s="325"/>
      <c r="AB168" s="325"/>
      <c r="AC168" s="325"/>
      <c r="AD168" s="324"/>
      <c r="AE168" s="324"/>
      <c r="AF168" s="324"/>
      <c r="AG168" s="324"/>
    </row>
    <row r="169" spans="3:33" ht="14.25" customHeight="1">
      <c r="C169" s="12"/>
      <c r="D169" s="12"/>
      <c r="E169" s="12"/>
      <c r="F169" s="265"/>
      <c r="G169" s="265"/>
      <c r="H169" s="265"/>
      <c r="I169" s="265"/>
      <c r="J169" s="137"/>
      <c r="K169" s="265"/>
      <c r="L169" s="265"/>
      <c r="M169" s="265"/>
      <c r="N169" s="265"/>
      <c r="O169" s="137"/>
      <c r="P169" s="265"/>
      <c r="Q169" s="265"/>
      <c r="R169" s="265"/>
      <c r="S169" s="265"/>
      <c r="T169" s="137"/>
      <c r="U169" s="265"/>
      <c r="V169" s="265"/>
      <c r="W169" s="265"/>
      <c r="X169" s="268"/>
      <c r="Y169" s="137"/>
      <c r="Z169" s="268"/>
      <c r="AA169" s="268"/>
      <c r="AB169" s="268"/>
      <c r="AC169" s="268"/>
      <c r="AD169" s="137"/>
      <c r="AE169" s="137"/>
      <c r="AF169" s="137"/>
      <c r="AG169" s="137"/>
    </row>
    <row r="170" spans="3:33" ht="14.25" customHeight="1">
      <c r="C170" s="36" t="s">
        <v>472</v>
      </c>
      <c r="D170" s="37"/>
      <c r="E170" s="37"/>
      <c r="F170" s="442"/>
      <c r="G170" s="442"/>
      <c r="H170" s="442"/>
      <c r="I170" s="442"/>
      <c r="J170" s="442"/>
      <c r="K170" s="442"/>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3"/>
    </row>
    <row r="171" spans="3:33" ht="14.25" customHeight="1">
      <c r="C171" s="12"/>
      <c r="D171" s="12"/>
      <c r="E171" s="12"/>
      <c r="F171" s="265"/>
      <c r="G171" s="265"/>
      <c r="H171" s="265"/>
      <c r="I171" s="265"/>
      <c r="J171" s="137"/>
      <c r="K171" s="265"/>
      <c r="L171" s="265"/>
      <c r="M171" s="265"/>
      <c r="N171" s="265"/>
      <c r="O171" s="137"/>
      <c r="P171" s="265"/>
      <c r="Q171" s="265"/>
      <c r="R171" s="265"/>
      <c r="S171" s="265"/>
      <c r="T171" s="137"/>
      <c r="U171" s="265"/>
      <c r="V171" s="265"/>
      <c r="W171" s="265"/>
      <c r="X171" s="268"/>
      <c r="Y171" s="137"/>
      <c r="Z171" s="268"/>
      <c r="AA171" s="268"/>
      <c r="AB171" s="268"/>
      <c r="AC171" s="268"/>
      <c r="AD171" s="137"/>
      <c r="AE171" s="137"/>
      <c r="AF171" s="137"/>
      <c r="AG171" s="137"/>
    </row>
    <row r="172" spans="3:33" ht="14.25" customHeight="1">
      <c r="C172" s="12" t="s">
        <v>473</v>
      </c>
      <c r="D172" s="12"/>
      <c r="E172" s="12"/>
      <c r="F172" s="420"/>
      <c r="G172" s="323"/>
      <c r="H172" s="323"/>
      <c r="I172" s="323"/>
      <c r="J172" s="324"/>
      <c r="K172" s="323">
        <f>IFERROR('Segment Analysis'!K7/'Segment Analysis'!F7-1,"N/A")</f>
        <v>0.14812676047536844</v>
      </c>
      <c r="L172" s="323">
        <f>IFERROR('Segment Analysis'!L7/'Segment Analysis'!G7-1,"N/A")</f>
        <v>0.16757769135396372</v>
      </c>
      <c r="M172" s="323">
        <f>IFERROR('Segment Analysis'!M7/'Segment Analysis'!H7-1,"N/A")</f>
        <v>0.15020895216250496</v>
      </c>
      <c r="N172" s="323">
        <f>IFERROR('Segment Analysis'!N7/'Segment Analysis'!I7-1,"N/A")</f>
        <v>0.16004936133117087</v>
      </c>
      <c r="O172" s="324">
        <f>IFERROR('Segment Analysis'!O7/'Segment Analysis'!J7-1,"N/A")</f>
        <v>0.15649919994477379</v>
      </c>
      <c r="P172" s="323">
        <f>IFERROR('Segment Analysis'!P7/'Segment Analysis'!K7-1,"N/A")</f>
        <v>0.12511269481475784</v>
      </c>
      <c r="Q172" s="323">
        <f>IFERROR('Segment Analysis'!Q7/'Segment Analysis'!L7-1,"N/A")</f>
        <v>0.15899222851858563</v>
      </c>
      <c r="R172" s="323">
        <f>IFERROR('Segment Analysis'!R7/'Segment Analysis'!M7-1,"N/A")</f>
        <v>0.17156793442000251</v>
      </c>
      <c r="S172" s="323">
        <f>IFERROR('Segment Analysis'!S7/'Segment Analysis'!N7-1,"N/A")</f>
        <v>0.17608419566734557</v>
      </c>
      <c r="T172" s="324">
        <f>IFERROR('Segment Analysis'!T7/'Segment Analysis'!O7-1,"N/A")</f>
        <v>0.15851068919677536</v>
      </c>
      <c r="U172" s="323">
        <f>IFERROR('Segment Analysis'!U7/'Segment Analysis'!P7-1,"N/A")</f>
        <v>0.16190725785301274</v>
      </c>
      <c r="V172" s="323">
        <f>IFERROR('Segment Analysis'!V7/'Segment Analysis'!Q7-1,"N/A")</f>
        <v>1.4884544558678878</v>
      </c>
      <c r="W172" s="323">
        <f>IFERROR('Segment Analysis'!W7/'Segment Analysis'!R7-1,"N/A")</f>
        <v>0.99108503361378619</v>
      </c>
      <c r="X172" s="325">
        <f>IFERROR('Segment Analysis'!X7/'Segment Analysis'!S7-1,"N/A")</f>
        <v>0.80669902865893439</v>
      </c>
      <c r="Y172" s="324">
        <f>IFERROR('Segment Analysis'!Y7/'Segment Analysis'!T7-1,"N/A")</f>
        <v>0.87038907699783574</v>
      </c>
      <c r="Z172" s="325">
        <f>IFERROR('Segment Analysis'!Z7/'Segment Analysis'!U7-1,"N/A")</f>
        <v>1.0972724601802306</v>
      </c>
      <c r="AA172" s="325">
        <f>IFERROR('Segment Analysis'!AA7/'Segment Analysis'!V7-1,"N/A")</f>
        <v>6.2307904243743106E-2</v>
      </c>
      <c r="AB172" s="325">
        <f>IFERROR('Segment Analysis'!AB7/'Segment Analysis'!W7-1,"N/A")</f>
        <v>0.12458720000000012</v>
      </c>
      <c r="AC172" s="325">
        <f>IFERROR('Segment Analysis'!AC7/'Segment Analysis'!X7-1,"N/A")</f>
        <v>0.1245871999999999</v>
      </c>
      <c r="AD172" s="324">
        <f>IFERROR('Segment Analysis'!AD7/'Segment Analysis'!Y7-1,"N/A")</f>
        <v>0.24526090899337327</v>
      </c>
      <c r="AE172" s="324">
        <f>IFERROR('Segment Analysis'!AE7/'Segment Analysis'!Z7-1,"N/A")</f>
        <v>3.1781647999999993</v>
      </c>
      <c r="AF172" s="324">
        <f>IFERROR('Segment Analysis'!AF7/'Segment Analysis'!AA7-1,"N/A")</f>
        <v>2.7383579789473678</v>
      </c>
      <c r="AG172" s="324">
        <f>IFERROR('Segment Analysis'!AG7/'Segment Analysis'!AB7-1,"N/A")</f>
        <v>3.3330967483253584</v>
      </c>
    </row>
    <row r="173" spans="3:33" ht="14.25" customHeight="1">
      <c r="C173" s="108" t="str">
        <f>'Segment Analysis'!C16</f>
        <v>Home Improvement Retail</v>
      </c>
      <c r="D173" s="12"/>
      <c r="E173" s="12"/>
      <c r="F173" s="420"/>
      <c r="G173" s="323"/>
      <c r="H173" s="323"/>
      <c r="I173" s="323"/>
      <c r="J173" s="324"/>
      <c r="K173" s="323">
        <f>IFERROR('Segment Analysis'!K8/'Segment Analysis'!F8-1,"N/A")</f>
        <v>0.14812676047536844</v>
      </c>
      <c r="L173" s="323">
        <f>IFERROR('Segment Analysis'!L8/'Segment Analysis'!G8-1,"N/A")</f>
        <v>0.16757769135396372</v>
      </c>
      <c r="M173" s="323">
        <f>IFERROR('Segment Analysis'!M8/'Segment Analysis'!H8-1,"N/A")</f>
        <v>0.15020895216250496</v>
      </c>
      <c r="N173" s="323">
        <f>IFERROR('Segment Analysis'!N8/'Segment Analysis'!I8-1,"N/A")</f>
        <v>0.16004936133117087</v>
      </c>
      <c r="O173" s="324">
        <f>IFERROR('Segment Analysis'!O8/'Segment Analysis'!J8-1,"N/A")</f>
        <v>0.15649919994477379</v>
      </c>
      <c r="P173" s="323">
        <f>IFERROR('Segment Analysis'!P8/'Segment Analysis'!K8-1,"N/A")</f>
        <v>0.12511269481475784</v>
      </c>
      <c r="Q173" s="323">
        <f>IFERROR('Segment Analysis'!Q8/'Segment Analysis'!L8-1,"N/A")</f>
        <v>0.15899222851858563</v>
      </c>
      <c r="R173" s="323">
        <f>IFERROR('Segment Analysis'!R8/'Segment Analysis'!M8-1,"N/A")</f>
        <v>0.17156793442000251</v>
      </c>
      <c r="S173" s="323">
        <f>IFERROR('Segment Analysis'!S8/'Segment Analysis'!N8-1,"N/A")</f>
        <v>0.17608419566734557</v>
      </c>
      <c r="T173" s="324">
        <f>IFERROR('Segment Analysis'!T8/'Segment Analysis'!O8-1,"N/A")</f>
        <v>0.15851068919677536</v>
      </c>
      <c r="U173" s="323">
        <f>IFERROR('Segment Analysis'!U8/'Segment Analysis'!P8-1,"N/A")</f>
        <v>0.16190725785301274</v>
      </c>
      <c r="V173" s="323">
        <f>IFERROR('Segment Analysis'!V8/'Segment Analysis'!Q8-1,"N/A")</f>
        <v>1.4884544558678878</v>
      </c>
      <c r="W173" s="323">
        <f>IFERROR('Segment Analysis'!W8/'Segment Analysis'!R8-1,"N/A")</f>
        <v>0.99108503361378619</v>
      </c>
      <c r="X173" s="325">
        <f>IFERROR('Segment Analysis'!X8/'Segment Analysis'!S8-1,"N/A")</f>
        <v>0.80669902865893439</v>
      </c>
      <c r="Y173" s="324">
        <f>IFERROR('Segment Analysis'!Y8/'Segment Analysis'!T8-1,"N/A")</f>
        <v>0.87038907699783574</v>
      </c>
      <c r="Z173" s="325">
        <f>IFERROR('Segment Analysis'!Z8/'Segment Analysis'!U8-1,"N/A")</f>
        <v>1.0972724601802306</v>
      </c>
      <c r="AA173" s="325">
        <f>IFERROR('Segment Analysis'!AA8/'Segment Analysis'!V8-1,"N/A")</f>
        <v>6.2307904243743106E-2</v>
      </c>
      <c r="AB173" s="325">
        <f>IFERROR('Segment Analysis'!AB8/'Segment Analysis'!W8-1,"N/A")</f>
        <v>0.12458720000000012</v>
      </c>
      <c r="AC173" s="325">
        <f>IFERROR('Segment Analysis'!AC8/'Segment Analysis'!X8-1,"N/A")</f>
        <v>0.1245871999999999</v>
      </c>
      <c r="AD173" s="324">
        <f>IFERROR('Segment Analysis'!AD8/'Segment Analysis'!Y8-1,"N/A")</f>
        <v>0.24526090899337327</v>
      </c>
      <c r="AE173" s="324">
        <f>IFERROR('Segment Analysis'!AE8/'Segment Analysis'!Z8-1,"N/A")</f>
        <v>3.1781647999999993</v>
      </c>
      <c r="AF173" s="324">
        <f>IFERROR('Segment Analysis'!AF8/'Segment Analysis'!AA8-1,"N/A")</f>
        <v>2.7383579789473678</v>
      </c>
      <c r="AG173" s="324">
        <f>IFERROR('Segment Analysis'!AG8/'Segment Analysis'!AB8-1,"N/A")</f>
        <v>3.3330967483253584</v>
      </c>
    </row>
    <row r="174" spans="3:33" ht="14.25" customHeight="1">
      <c r="C174" s="108" t="str">
        <f>'Segment Analysis'!C17</f>
        <v>Segment 2</v>
      </c>
      <c r="D174" s="12"/>
      <c r="E174" s="12"/>
      <c r="F174" s="420"/>
      <c r="G174" s="323"/>
      <c r="H174" s="323"/>
      <c r="I174" s="323"/>
      <c r="J174" s="324"/>
      <c r="K174" s="323" t="str">
        <f>IFERROR('Segment Analysis'!K9/'Segment Analysis'!F9-1,"N/A")</f>
        <v>N/A</v>
      </c>
      <c r="L174" s="323" t="str">
        <f>IFERROR('Segment Analysis'!L9/'Segment Analysis'!G9-1,"N/A")</f>
        <v>N/A</v>
      </c>
      <c r="M174" s="323" t="str">
        <f>IFERROR('Segment Analysis'!M9/'Segment Analysis'!H9-1,"N/A")</f>
        <v>N/A</v>
      </c>
      <c r="N174" s="323" t="str">
        <f>IFERROR('Segment Analysis'!N9/'Segment Analysis'!I9-1,"N/A")</f>
        <v>N/A</v>
      </c>
      <c r="O174" s="324" t="str">
        <f>IFERROR('Segment Analysis'!O9/'Segment Analysis'!J9-1,"N/A")</f>
        <v>N/A</v>
      </c>
      <c r="P174" s="323" t="str">
        <f>IFERROR('Segment Analysis'!P9/'Segment Analysis'!K9-1,"N/A")</f>
        <v>N/A</v>
      </c>
      <c r="Q174" s="323" t="str">
        <f>IFERROR('Segment Analysis'!Q9/'Segment Analysis'!L9-1,"N/A")</f>
        <v>N/A</v>
      </c>
      <c r="R174" s="323" t="str">
        <f>IFERROR('Segment Analysis'!R9/'Segment Analysis'!M9-1,"N/A")</f>
        <v>N/A</v>
      </c>
      <c r="S174" s="323" t="str">
        <f>IFERROR('Segment Analysis'!S9/'Segment Analysis'!N9-1,"N/A")</f>
        <v>N/A</v>
      </c>
      <c r="T174" s="324" t="str">
        <f>IFERROR('Segment Analysis'!T9/'Segment Analysis'!O9-1,"N/A")</f>
        <v>N/A</v>
      </c>
      <c r="U174" s="323" t="str">
        <f>IFERROR('Segment Analysis'!U9/'Segment Analysis'!P9-1,"N/A")</f>
        <v>N/A</v>
      </c>
      <c r="V174" s="323" t="str">
        <f>IFERROR('Segment Analysis'!V9/'Segment Analysis'!Q9-1,"N/A")</f>
        <v>N/A</v>
      </c>
      <c r="W174" s="323" t="str">
        <f>IFERROR('Segment Analysis'!W9/'Segment Analysis'!R9-1,"N/A")</f>
        <v>N/A</v>
      </c>
      <c r="X174" s="325" t="str">
        <f>IFERROR('Segment Analysis'!X9/'Segment Analysis'!S9-1,"N/A")</f>
        <v>N/A</v>
      </c>
      <c r="Y174" s="324" t="str">
        <f>IFERROR('Segment Analysis'!Y9/'Segment Analysis'!T9-1,"N/A")</f>
        <v>N/A</v>
      </c>
      <c r="Z174" s="325" t="str">
        <f>IFERROR('Segment Analysis'!Z9/'Segment Analysis'!U9-1,"N/A")</f>
        <v>N/A</v>
      </c>
      <c r="AA174" s="325" t="str">
        <f>IFERROR('Segment Analysis'!AA9/'Segment Analysis'!V9-1,"N/A")</f>
        <v>N/A</v>
      </c>
      <c r="AB174" s="325" t="str">
        <f>IFERROR('Segment Analysis'!AB9/'Segment Analysis'!W9-1,"N/A")</f>
        <v>N/A</v>
      </c>
      <c r="AC174" s="325" t="str">
        <f>IFERROR('Segment Analysis'!AC9/'Segment Analysis'!X9-1,"N/A")</f>
        <v>N/A</v>
      </c>
      <c r="AD174" s="324" t="str">
        <f>IFERROR('Segment Analysis'!AD9/'Segment Analysis'!Y9-1,"N/A")</f>
        <v>N/A</v>
      </c>
      <c r="AE174" s="324" t="str">
        <f>IFERROR('Segment Analysis'!AE9/'Segment Analysis'!Z9-1,"N/A")</f>
        <v>N/A</v>
      </c>
      <c r="AF174" s="324" t="str">
        <f>IFERROR('Segment Analysis'!AF9/'Segment Analysis'!AA9-1,"N/A")</f>
        <v>N/A</v>
      </c>
      <c r="AG174" s="324" t="str">
        <f>IFERROR('Segment Analysis'!AG9/'Segment Analysis'!AB9-1,"N/A")</f>
        <v>N/A</v>
      </c>
    </row>
    <row r="175" spans="3:33" ht="14.25" customHeight="1">
      <c r="C175" s="108" t="str">
        <f>'Segment Analysis'!C18</f>
        <v>Segment 3</v>
      </c>
      <c r="D175" s="12"/>
      <c r="E175" s="12"/>
      <c r="F175" s="420"/>
      <c r="G175" s="323"/>
      <c r="H175" s="323"/>
      <c r="I175" s="323"/>
      <c r="J175" s="324"/>
      <c r="K175" s="323" t="str">
        <f>IFERROR('Segment Analysis'!K10/'Segment Analysis'!F10-1,"N/A")</f>
        <v>N/A</v>
      </c>
      <c r="L175" s="323" t="str">
        <f>IFERROR('Segment Analysis'!L10/'Segment Analysis'!G10-1,"N/A")</f>
        <v>N/A</v>
      </c>
      <c r="M175" s="323" t="str">
        <f>IFERROR('Segment Analysis'!M10/'Segment Analysis'!H10-1,"N/A")</f>
        <v>N/A</v>
      </c>
      <c r="N175" s="323" t="str">
        <f>IFERROR('Segment Analysis'!N10/'Segment Analysis'!I10-1,"N/A")</f>
        <v>N/A</v>
      </c>
      <c r="O175" s="324" t="str">
        <f>IFERROR('Segment Analysis'!O10/'Segment Analysis'!J10-1,"N/A")</f>
        <v>N/A</v>
      </c>
      <c r="P175" s="323" t="str">
        <f>IFERROR('Segment Analysis'!P10/'Segment Analysis'!K10-1,"N/A")</f>
        <v>N/A</v>
      </c>
      <c r="Q175" s="323" t="str">
        <f>IFERROR('Segment Analysis'!Q10/'Segment Analysis'!L10-1,"N/A")</f>
        <v>N/A</v>
      </c>
      <c r="R175" s="323" t="str">
        <f>IFERROR('Segment Analysis'!R10/'Segment Analysis'!M10-1,"N/A")</f>
        <v>N/A</v>
      </c>
      <c r="S175" s="323" t="str">
        <f>IFERROR('Segment Analysis'!S10/'Segment Analysis'!N10-1,"N/A")</f>
        <v>N/A</v>
      </c>
      <c r="T175" s="324" t="str">
        <f>IFERROR('Segment Analysis'!T10/'Segment Analysis'!O10-1,"N/A")</f>
        <v>N/A</v>
      </c>
      <c r="U175" s="323" t="str">
        <f>IFERROR('Segment Analysis'!U10/'Segment Analysis'!P10-1,"N/A")</f>
        <v>N/A</v>
      </c>
      <c r="V175" s="323" t="str">
        <f>IFERROR('Segment Analysis'!V10/'Segment Analysis'!Q10-1,"N/A")</f>
        <v>N/A</v>
      </c>
      <c r="W175" s="323" t="str">
        <f>IFERROR('Segment Analysis'!W10/'Segment Analysis'!R10-1,"N/A")</f>
        <v>N/A</v>
      </c>
      <c r="X175" s="325" t="str">
        <f>IFERROR('Segment Analysis'!X10/'Segment Analysis'!S10-1,"N/A")</f>
        <v>N/A</v>
      </c>
      <c r="Y175" s="324" t="str">
        <f>IFERROR('Segment Analysis'!Y10/'Segment Analysis'!T10-1,"N/A")</f>
        <v>N/A</v>
      </c>
      <c r="Z175" s="325" t="str">
        <f>IFERROR('Segment Analysis'!Z10/'Segment Analysis'!U10-1,"N/A")</f>
        <v>N/A</v>
      </c>
      <c r="AA175" s="325" t="str">
        <f>IFERROR('Segment Analysis'!AA10/'Segment Analysis'!V10-1,"N/A")</f>
        <v>N/A</v>
      </c>
      <c r="AB175" s="325" t="str">
        <f>IFERROR('Segment Analysis'!AB10/'Segment Analysis'!W10-1,"N/A")</f>
        <v>N/A</v>
      </c>
      <c r="AC175" s="325" t="str">
        <f>IFERROR('Segment Analysis'!AC10/'Segment Analysis'!X10-1,"N/A")</f>
        <v>N/A</v>
      </c>
      <c r="AD175" s="324" t="str">
        <f>IFERROR('Segment Analysis'!AD10/'Segment Analysis'!Y10-1,"N/A")</f>
        <v>N/A</v>
      </c>
      <c r="AE175" s="324" t="str">
        <f>IFERROR('Segment Analysis'!AE10/'Segment Analysis'!Z10-1,"N/A")</f>
        <v>N/A</v>
      </c>
      <c r="AF175" s="324" t="str">
        <f>IFERROR('Segment Analysis'!AF10/'Segment Analysis'!AA10-1,"N/A")</f>
        <v>N/A</v>
      </c>
      <c r="AG175" s="324" t="str">
        <f>IFERROR('Segment Analysis'!AG10/'Segment Analysis'!AB10-1,"N/A")</f>
        <v>N/A</v>
      </c>
    </row>
    <row r="176" spans="3:33" ht="14.25" customHeight="1">
      <c r="C176" s="108" t="str">
        <f>'Segment Analysis'!C19</f>
        <v>Segment 4</v>
      </c>
      <c r="D176" s="12"/>
      <c r="E176" s="12"/>
      <c r="F176" s="420"/>
      <c r="G176" s="323"/>
      <c r="H176" s="323"/>
      <c r="I176" s="323"/>
      <c r="J176" s="324"/>
      <c r="K176" s="323" t="str">
        <f>IFERROR('Segment Analysis'!K11/'Segment Analysis'!F11-1,"N/A")</f>
        <v>N/A</v>
      </c>
      <c r="L176" s="323" t="str">
        <f>IFERROR('Segment Analysis'!L11/'Segment Analysis'!G11-1,"N/A")</f>
        <v>N/A</v>
      </c>
      <c r="M176" s="323" t="str">
        <f>IFERROR('Segment Analysis'!M11/'Segment Analysis'!H11-1,"N/A")</f>
        <v>N/A</v>
      </c>
      <c r="N176" s="323" t="str">
        <f>IFERROR('Segment Analysis'!N11/'Segment Analysis'!I11-1,"N/A")</f>
        <v>N/A</v>
      </c>
      <c r="O176" s="324" t="str">
        <f>IFERROR('Segment Analysis'!O11/'Segment Analysis'!J11-1,"N/A")</f>
        <v>N/A</v>
      </c>
      <c r="P176" s="323" t="str">
        <f>IFERROR('Segment Analysis'!P11/'Segment Analysis'!K11-1,"N/A")</f>
        <v>N/A</v>
      </c>
      <c r="Q176" s="323" t="str">
        <f>IFERROR('Segment Analysis'!Q11/'Segment Analysis'!L11-1,"N/A")</f>
        <v>N/A</v>
      </c>
      <c r="R176" s="323" t="str">
        <f>IFERROR('Segment Analysis'!R11/'Segment Analysis'!M11-1,"N/A")</f>
        <v>N/A</v>
      </c>
      <c r="S176" s="323" t="str">
        <f>IFERROR('Segment Analysis'!S11/'Segment Analysis'!N11-1,"N/A")</f>
        <v>N/A</v>
      </c>
      <c r="T176" s="324" t="str">
        <f>IFERROR('Segment Analysis'!T11/'Segment Analysis'!O11-1,"N/A")</f>
        <v>N/A</v>
      </c>
      <c r="U176" s="323" t="str">
        <f>IFERROR('Segment Analysis'!U11/'Segment Analysis'!P11-1,"N/A")</f>
        <v>N/A</v>
      </c>
      <c r="V176" s="323" t="str">
        <f>IFERROR('Segment Analysis'!V11/'Segment Analysis'!Q11-1,"N/A")</f>
        <v>N/A</v>
      </c>
      <c r="W176" s="323" t="str">
        <f>IFERROR('Segment Analysis'!W11/'Segment Analysis'!R11-1,"N/A")</f>
        <v>N/A</v>
      </c>
      <c r="X176" s="325" t="str">
        <f>IFERROR('Segment Analysis'!X11/'Segment Analysis'!S11-1,"N/A")</f>
        <v>N/A</v>
      </c>
      <c r="Y176" s="324" t="str">
        <f>IFERROR('Segment Analysis'!Y11/'Segment Analysis'!T11-1,"N/A")</f>
        <v>N/A</v>
      </c>
      <c r="Z176" s="325" t="str">
        <f>IFERROR('Segment Analysis'!Z11/'Segment Analysis'!U11-1,"N/A")</f>
        <v>N/A</v>
      </c>
      <c r="AA176" s="325" t="str">
        <f>IFERROR('Segment Analysis'!AA11/'Segment Analysis'!V11-1,"N/A")</f>
        <v>N/A</v>
      </c>
      <c r="AB176" s="325" t="str">
        <f>IFERROR('Segment Analysis'!AB11/'Segment Analysis'!W11-1,"N/A")</f>
        <v>N/A</v>
      </c>
      <c r="AC176" s="325" t="str">
        <f>IFERROR('Segment Analysis'!AC11/'Segment Analysis'!X11-1,"N/A")</f>
        <v>N/A</v>
      </c>
      <c r="AD176" s="324" t="str">
        <f>IFERROR('Segment Analysis'!AD11/'Segment Analysis'!Y11-1,"N/A")</f>
        <v>N/A</v>
      </c>
      <c r="AE176" s="324" t="str">
        <f>IFERROR('Segment Analysis'!AE11/'Segment Analysis'!Z11-1,"N/A")</f>
        <v>N/A</v>
      </c>
      <c r="AF176" s="324" t="str">
        <f>IFERROR('Segment Analysis'!AF11/'Segment Analysis'!AA11-1,"N/A")</f>
        <v>N/A</v>
      </c>
      <c r="AG176" s="324" t="str">
        <f>IFERROR('Segment Analysis'!AG11/'Segment Analysis'!AB11-1,"N/A")</f>
        <v>N/A</v>
      </c>
    </row>
    <row r="177" spans="3:33" ht="14.25" customHeight="1">
      <c r="C177" s="108" t="str">
        <f>'Segment Analysis'!C20</f>
        <v>Segment 5</v>
      </c>
      <c r="D177" s="12"/>
      <c r="E177" s="12"/>
      <c r="F177" s="420"/>
      <c r="G177" s="323"/>
      <c r="H177" s="323"/>
      <c r="I177" s="323"/>
      <c r="J177" s="324"/>
      <c r="K177" s="323" t="str">
        <f>IFERROR('Segment Analysis'!K12/'Segment Analysis'!F12-1,"N/A")</f>
        <v>N/A</v>
      </c>
      <c r="L177" s="323" t="str">
        <f>IFERROR('Segment Analysis'!L12/'Segment Analysis'!G12-1,"N/A")</f>
        <v>N/A</v>
      </c>
      <c r="M177" s="323" t="str">
        <f>IFERROR('Segment Analysis'!M12/'Segment Analysis'!H12-1,"N/A")</f>
        <v>N/A</v>
      </c>
      <c r="N177" s="323" t="str">
        <f>IFERROR('Segment Analysis'!N12/'Segment Analysis'!I12-1,"N/A")</f>
        <v>N/A</v>
      </c>
      <c r="O177" s="324" t="str">
        <f>IFERROR('Segment Analysis'!O12/'Segment Analysis'!J12-1,"N/A")</f>
        <v>N/A</v>
      </c>
      <c r="P177" s="323" t="str">
        <f>IFERROR('Segment Analysis'!P12/'Segment Analysis'!K12-1,"N/A")</f>
        <v>N/A</v>
      </c>
      <c r="Q177" s="323" t="str">
        <f>IFERROR('Segment Analysis'!Q12/'Segment Analysis'!L12-1,"N/A")</f>
        <v>N/A</v>
      </c>
      <c r="R177" s="323" t="str">
        <f>IFERROR('Segment Analysis'!R12/'Segment Analysis'!M12-1,"N/A")</f>
        <v>N/A</v>
      </c>
      <c r="S177" s="323" t="str">
        <f>IFERROR('Segment Analysis'!S12/'Segment Analysis'!N12-1,"N/A")</f>
        <v>N/A</v>
      </c>
      <c r="T177" s="324" t="str">
        <f>IFERROR('Segment Analysis'!T12/'Segment Analysis'!O12-1,"N/A")</f>
        <v>N/A</v>
      </c>
      <c r="U177" s="323" t="str">
        <f>IFERROR('Segment Analysis'!U12/'Segment Analysis'!P12-1,"N/A")</f>
        <v>N/A</v>
      </c>
      <c r="V177" s="323" t="str">
        <f>IFERROR('Segment Analysis'!V12/'Segment Analysis'!Q12-1,"N/A")</f>
        <v>N/A</v>
      </c>
      <c r="W177" s="323" t="str">
        <f>IFERROR('Segment Analysis'!W12/'Segment Analysis'!R12-1,"N/A")</f>
        <v>N/A</v>
      </c>
      <c r="X177" s="325" t="str">
        <f>IFERROR('Segment Analysis'!X12/'Segment Analysis'!S12-1,"N/A")</f>
        <v>N/A</v>
      </c>
      <c r="Y177" s="324" t="str">
        <f>IFERROR('Segment Analysis'!Y12/'Segment Analysis'!T12-1,"N/A")</f>
        <v>N/A</v>
      </c>
      <c r="Z177" s="325" t="str">
        <f>IFERROR('Segment Analysis'!Z12/'Segment Analysis'!U12-1,"N/A")</f>
        <v>N/A</v>
      </c>
      <c r="AA177" s="325" t="str">
        <f>IFERROR('Segment Analysis'!AA12/'Segment Analysis'!V12-1,"N/A")</f>
        <v>N/A</v>
      </c>
      <c r="AB177" s="325" t="str">
        <f>IFERROR('Segment Analysis'!AB12/'Segment Analysis'!W12-1,"N/A")</f>
        <v>N/A</v>
      </c>
      <c r="AC177" s="325" t="str">
        <f>IFERROR('Segment Analysis'!AC12/'Segment Analysis'!X12-1,"N/A")</f>
        <v>N/A</v>
      </c>
      <c r="AD177" s="324" t="str">
        <f>IFERROR('Segment Analysis'!AD12/'Segment Analysis'!Y12-1,"N/A")</f>
        <v>N/A</v>
      </c>
      <c r="AE177" s="324" t="str">
        <f>IFERROR('Segment Analysis'!AE12/'Segment Analysis'!Z12-1,"N/A")</f>
        <v>N/A</v>
      </c>
      <c r="AF177" s="324" t="str">
        <f>IFERROR('Segment Analysis'!AF12/'Segment Analysis'!AA12-1,"N/A")</f>
        <v>N/A</v>
      </c>
      <c r="AG177" s="324" t="str">
        <f>IFERROR('Segment Analysis'!AG12/'Segment Analysis'!AB12-1,"N/A")</f>
        <v>N/A</v>
      </c>
    </row>
    <row r="178" spans="3:33" ht="14.25" customHeight="1">
      <c r="C178" s="108" t="str">
        <f>'Segment Analysis'!C21</f>
        <v>Segment 6</v>
      </c>
      <c r="D178" s="12"/>
      <c r="E178" s="12"/>
      <c r="F178" s="420"/>
      <c r="G178" s="323"/>
      <c r="H178" s="323"/>
      <c r="I178" s="323"/>
      <c r="J178" s="324"/>
      <c r="K178" s="323" t="str">
        <f>IFERROR('Segment Analysis'!K13/'Segment Analysis'!F13-1,"N/A")</f>
        <v>N/A</v>
      </c>
      <c r="L178" s="323" t="str">
        <f>IFERROR('Segment Analysis'!L13/'Segment Analysis'!G13-1,"N/A")</f>
        <v>N/A</v>
      </c>
      <c r="M178" s="323" t="str">
        <f>IFERROR('Segment Analysis'!M13/'Segment Analysis'!H13-1,"N/A")</f>
        <v>N/A</v>
      </c>
      <c r="N178" s="323" t="str">
        <f>IFERROR('Segment Analysis'!N13/'Segment Analysis'!I13-1,"N/A")</f>
        <v>N/A</v>
      </c>
      <c r="O178" s="324" t="str">
        <f>IFERROR('Segment Analysis'!O13/'Segment Analysis'!J13-1,"N/A")</f>
        <v>N/A</v>
      </c>
      <c r="P178" s="323" t="str">
        <f>IFERROR('Segment Analysis'!P13/'Segment Analysis'!K13-1,"N/A")</f>
        <v>N/A</v>
      </c>
      <c r="Q178" s="323" t="str">
        <f>IFERROR('Segment Analysis'!Q13/'Segment Analysis'!L13-1,"N/A")</f>
        <v>N/A</v>
      </c>
      <c r="R178" s="323" t="str">
        <f>IFERROR('Segment Analysis'!R13/'Segment Analysis'!M13-1,"N/A")</f>
        <v>N/A</v>
      </c>
      <c r="S178" s="323" t="str">
        <f>IFERROR('Segment Analysis'!S13/'Segment Analysis'!N13-1,"N/A")</f>
        <v>N/A</v>
      </c>
      <c r="T178" s="324" t="str">
        <f>IFERROR('Segment Analysis'!T13/'Segment Analysis'!O13-1,"N/A")</f>
        <v>N/A</v>
      </c>
      <c r="U178" s="323" t="str">
        <f>IFERROR('Segment Analysis'!U13/'Segment Analysis'!P13-1,"N/A")</f>
        <v>N/A</v>
      </c>
      <c r="V178" s="323" t="str">
        <f>IFERROR('Segment Analysis'!V13/'Segment Analysis'!Q13-1,"N/A")</f>
        <v>N/A</v>
      </c>
      <c r="W178" s="323" t="str">
        <f>IFERROR('Segment Analysis'!W13/'Segment Analysis'!R13-1,"N/A")</f>
        <v>N/A</v>
      </c>
      <c r="X178" s="325" t="str">
        <f>IFERROR('Segment Analysis'!X13/'Segment Analysis'!S13-1,"N/A")</f>
        <v>N/A</v>
      </c>
      <c r="Y178" s="324" t="str">
        <f>IFERROR('Segment Analysis'!Y13/'Segment Analysis'!T13-1,"N/A")</f>
        <v>N/A</v>
      </c>
      <c r="Z178" s="325" t="str">
        <f>IFERROR('Segment Analysis'!Z13/'Segment Analysis'!U13-1,"N/A")</f>
        <v>N/A</v>
      </c>
      <c r="AA178" s="325" t="str">
        <f>IFERROR('Segment Analysis'!AA13/'Segment Analysis'!V13-1,"N/A")</f>
        <v>N/A</v>
      </c>
      <c r="AB178" s="325" t="str">
        <f>IFERROR('Segment Analysis'!AB13/'Segment Analysis'!W13-1,"N/A")</f>
        <v>N/A</v>
      </c>
      <c r="AC178" s="325" t="str">
        <f>IFERROR('Segment Analysis'!AC13/'Segment Analysis'!X13-1,"N/A")</f>
        <v>N/A</v>
      </c>
      <c r="AD178" s="324" t="str">
        <f>IFERROR('Segment Analysis'!AD13/'Segment Analysis'!Y13-1,"N/A")</f>
        <v>N/A</v>
      </c>
      <c r="AE178" s="324" t="str">
        <f>IFERROR('Segment Analysis'!AE13/'Segment Analysis'!Z13-1,"N/A")</f>
        <v>N/A</v>
      </c>
      <c r="AF178" s="324" t="str">
        <f>IFERROR('Segment Analysis'!AF13/'Segment Analysis'!AA13-1,"N/A")</f>
        <v>N/A</v>
      </c>
      <c r="AG178" s="324" t="str">
        <f>IFERROR('Segment Analysis'!AG13/'Segment Analysis'!AB13-1,"N/A")</f>
        <v>N/A</v>
      </c>
    </row>
    <row r="179" spans="3:33" ht="14.25" customHeight="1">
      <c r="C179" s="12"/>
      <c r="D179" s="12"/>
      <c r="E179" s="12"/>
      <c r="F179" s="265"/>
      <c r="G179" s="265"/>
      <c r="H179" s="265"/>
      <c r="I179" s="265"/>
      <c r="J179" s="137"/>
      <c r="K179" s="265"/>
      <c r="L179" s="265"/>
      <c r="M179" s="265"/>
      <c r="N179" s="265"/>
      <c r="O179" s="137"/>
      <c r="P179" s="265"/>
      <c r="Q179" s="265"/>
      <c r="R179" s="265"/>
      <c r="S179" s="265"/>
      <c r="T179" s="137"/>
      <c r="U179" s="265"/>
      <c r="V179" s="265"/>
      <c r="W179" s="265"/>
      <c r="X179" s="268"/>
      <c r="Y179" s="137"/>
      <c r="Z179" s="268"/>
      <c r="AA179" s="268"/>
      <c r="AB179" s="268"/>
      <c r="AC179" s="268"/>
      <c r="AD179" s="137"/>
      <c r="AE179" s="137"/>
      <c r="AF179" s="137"/>
      <c r="AG179" s="137"/>
    </row>
    <row r="180" spans="3:33" ht="14.25" customHeight="1">
      <c r="C180" s="108" t="str">
        <f t="shared" ref="C180:C184" si="153">C89</f>
        <v>North America</v>
      </c>
      <c r="D180" s="12"/>
      <c r="E180" s="12"/>
      <c r="F180" s="420"/>
      <c r="G180" s="420"/>
      <c r="H180" s="420"/>
      <c r="I180" s="420"/>
      <c r="J180" s="137"/>
      <c r="K180" s="323" t="str">
        <f t="shared" ref="K180:AG180" si="154">IFERROR(K89/F89-1,"N/A")</f>
        <v>N/A</v>
      </c>
      <c r="L180" s="323" t="str">
        <f t="shared" si="154"/>
        <v>N/A</v>
      </c>
      <c r="M180" s="323" t="str">
        <f t="shared" si="154"/>
        <v>N/A</v>
      </c>
      <c r="N180" s="323" t="str">
        <f t="shared" si="154"/>
        <v>N/A</v>
      </c>
      <c r="O180" s="324" t="str">
        <f t="shared" si="154"/>
        <v>N/A</v>
      </c>
      <c r="P180" s="323" t="str">
        <f t="shared" si="154"/>
        <v>N/A</v>
      </c>
      <c r="Q180" s="323" t="str">
        <f t="shared" si="154"/>
        <v>N/A</v>
      </c>
      <c r="R180" s="323" t="str">
        <f t="shared" si="154"/>
        <v>N/A</v>
      </c>
      <c r="S180" s="323" t="str">
        <f t="shared" si="154"/>
        <v>N/A</v>
      </c>
      <c r="T180" s="324" t="str">
        <f t="shared" si="154"/>
        <v>N/A</v>
      </c>
      <c r="U180" s="323" t="str">
        <f t="shared" si="154"/>
        <v>N/A</v>
      </c>
      <c r="V180" s="323" t="str">
        <f t="shared" si="154"/>
        <v>N/A</v>
      </c>
      <c r="W180" s="323" t="str">
        <f t="shared" si="154"/>
        <v>N/A</v>
      </c>
      <c r="X180" s="325" t="str">
        <f t="shared" si="154"/>
        <v>N/A</v>
      </c>
      <c r="Y180" s="324" t="str">
        <f t="shared" si="154"/>
        <v>N/A</v>
      </c>
      <c r="Z180" s="325" t="str">
        <f t="shared" si="154"/>
        <v>N/A</v>
      </c>
      <c r="AA180" s="325" t="str">
        <f t="shared" si="154"/>
        <v>N/A</v>
      </c>
      <c r="AB180" s="325" t="str">
        <f t="shared" si="154"/>
        <v>N/A</v>
      </c>
      <c r="AC180" s="325" t="str">
        <f t="shared" si="154"/>
        <v>N/A</v>
      </c>
      <c r="AD180" s="324" t="str">
        <f t="shared" si="154"/>
        <v>N/A</v>
      </c>
      <c r="AE180" s="324" t="str">
        <f t="shared" si="154"/>
        <v>N/A</v>
      </c>
      <c r="AF180" s="324" t="str">
        <f t="shared" si="154"/>
        <v>N/A</v>
      </c>
      <c r="AG180" s="324" t="str">
        <f t="shared" si="154"/>
        <v>N/A</v>
      </c>
    </row>
    <row r="181" spans="3:33" ht="14.25" customHeight="1">
      <c r="C181" s="108" t="str">
        <f t="shared" si="153"/>
        <v>Europe</v>
      </c>
      <c r="D181" s="12"/>
      <c r="E181" s="12"/>
      <c r="F181" s="420"/>
      <c r="G181" s="420"/>
      <c r="H181" s="420"/>
      <c r="I181" s="420"/>
      <c r="J181" s="137"/>
      <c r="K181" s="323" t="str">
        <f t="shared" ref="K181:AG181" si="155">IFERROR(K90/F90-1,"N/A")</f>
        <v>N/A</v>
      </c>
      <c r="L181" s="323" t="str">
        <f t="shared" si="155"/>
        <v>N/A</v>
      </c>
      <c r="M181" s="323" t="str">
        <f t="shared" si="155"/>
        <v>N/A</v>
      </c>
      <c r="N181" s="323" t="str">
        <f t="shared" si="155"/>
        <v>N/A</v>
      </c>
      <c r="O181" s="324" t="str">
        <f t="shared" si="155"/>
        <v>N/A</v>
      </c>
      <c r="P181" s="323" t="str">
        <f t="shared" si="155"/>
        <v>N/A</v>
      </c>
      <c r="Q181" s="323" t="str">
        <f t="shared" si="155"/>
        <v>N/A</v>
      </c>
      <c r="R181" s="323" t="str">
        <f t="shared" si="155"/>
        <v>N/A</v>
      </c>
      <c r="S181" s="323" t="str">
        <f t="shared" si="155"/>
        <v>N/A</v>
      </c>
      <c r="T181" s="324" t="str">
        <f t="shared" si="155"/>
        <v>N/A</v>
      </c>
      <c r="U181" s="323" t="str">
        <f t="shared" si="155"/>
        <v>N/A</v>
      </c>
      <c r="V181" s="323" t="str">
        <f t="shared" si="155"/>
        <v>N/A</v>
      </c>
      <c r="W181" s="323" t="str">
        <f t="shared" si="155"/>
        <v>N/A</v>
      </c>
      <c r="X181" s="325" t="str">
        <f t="shared" si="155"/>
        <v>N/A</v>
      </c>
      <c r="Y181" s="324" t="str">
        <f t="shared" si="155"/>
        <v>N/A</v>
      </c>
      <c r="Z181" s="325" t="str">
        <f t="shared" si="155"/>
        <v>N/A</v>
      </c>
      <c r="AA181" s="325" t="str">
        <f t="shared" si="155"/>
        <v>N/A</v>
      </c>
      <c r="AB181" s="325" t="str">
        <f t="shared" si="155"/>
        <v>N/A</v>
      </c>
      <c r="AC181" s="325" t="str">
        <f t="shared" si="155"/>
        <v>N/A</v>
      </c>
      <c r="AD181" s="324" t="str">
        <f t="shared" si="155"/>
        <v>N/A</v>
      </c>
      <c r="AE181" s="324" t="str">
        <f t="shared" si="155"/>
        <v>N/A</v>
      </c>
      <c r="AF181" s="324" t="str">
        <f t="shared" si="155"/>
        <v>N/A</v>
      </c>
      <c r="AG181" s="324" t="str">
        <f t="shared" si="155"/>
        <v>N/A</v>
      </c>
    </row>
    <row r="182" spans="3:33" ht="14.25" hidden="1" customHeight="1" outlineLevel="1">
      <c r="C182" s="108" t="str">
        <f t="shared" si="153"/>
        <v>South America</v>
      </c>
      <c r="D182" s="12"/>
      <c r="E182" s="12"/>
      <c r="F182" s="420"/>
      <c r="G182" s="420"/>
      <c r="H182" s="420"/>
      <c r="I182" s="420"/>
      <c r="J182" s="137"/>
      <c r="K182" s="323" t="str">
        <f t="shared" ref="K182:AG182" si="156">IFERROR(K91/F91-1,"N/A")</f>
        <v>N/A</v>
      </c>
      <c r="L182" s="323" t="str">
        <f t="shared" si="156"/>
        <v>N/A</v>
      </c>
      <c r="M182" s="323" t="str">
        <f t="shared" si="156"/>
        <v>N/A</v>
      </c>
      <c r="N182" s="323" t="str">
        <f t="shared" si="156"/>
        <v>N/A</v>
      </c>
      <c r="O182" s="324" t="str">
        <f t="shared" si="156"/>
        <v>N/A</v>
      </c>
      <c r="P182" s="323" t="str">
        <f t="shared" si="156"/>
        <v>N/A</v>
      </c>
      <c r="Q182" s="323" t="str">
        <f t="shared" si="156"/>
        <v>N/A</v>
      </c>
      <c r="R182" s="323" t="str">
        <f t="shared" si="156"/>
        <v>N/A</v>
      </c>
      <c r="S182" s="323" t="str">
        <f t="shared" si="156"/>
        <v>N/A</v>
      </c>
      <c r="T182" s="324" t="str">
        <f t="shared" si="156"/>
        <v>N/A</v>
      </c>
      <c r="U182" s="323" t="str">
        <f t="shared" si="156"/>
        <v>N/A</v>
      </c>
      <c r="V182" s="323" t="str">
        <f t="shared" si="156"/>
        <v>N/A</v>
      </c>
      <c r="W182" s="323" t="str">
        <f t="shared" si="156"/>
        <v>N/A</v>
      </c>
      <c r="X182" s="325" t="str">
        <f t="shared" si="156"/>
        <v>N/A</v>
      </c>
      <c r="Y182" s="324" t="str">
        <f t="shared" si="156"/>
        <v>N/A</v>
      </c>
      <c r="Z182" s="325" t="str">
        <f t="shared" si="156"/>
        <v>N/A</v>
      </c>
      <c r="AA182" s="325" t="str">
        <f t="shared" si="156"/>
        <v>N/A</v>
      </c>
      <c r="AB182" s="325" t="str">
        <f t="shared" si="156"/>
        <v>N/A</v>
      </c>
      <c r="AC182" s="325" t="str">
        <f t="shared" si="156"/>
        <v>N/A</v>
      </c>
      <c r="AD182" s="324" t="str">
        <f t="shared" si="156"/>
        <v>N/A</v>
      </c>
      <c r="AE182" s="324" t="str">
        <f t="shared" si="156"/>
        <v>N/A</v>
      </c>
      <c r="AF182" s="324" t="str">
        <f t="shared" si="156"/>
        <v>N/A</v>
      </c>
      <c r="AG182" s="324" t="str">
        <f t="shared" si="156"/>
        <v>N/A</v>
      </c>
    </row>
    <row r="183" spans="3:33" ht="14.25" hidden="1" customHeight="1" outlineLevel="1">
      <c r="C183" s="108" t="str">
        <f t="shared" si="153"/>
        <v>Middle East &amp; Africa</v>
      </c>
      <c r="D183" s="12"/>
      <c r="E183" s="12"/>
      <c r="F183" s="420"/>
      <c r="G183" s="420"/>
      <c r="H183" s="420"/>
      <c r="I183" s="420"/>
      <c r="J183" s="137"/>
      <c r="K183" s="323" t="str">
        <f t="shared" ref="K183:AG183" si="157">IFERROR(K92/F92-1,"N/A")</f>
        <v>N/A</v>
      </c>
      <c r="L183" s="323" t="str">
        <f t="shared" si="157"/>
        <v>N/A</v>
      </c>
      <c r="M183" s="323" t="str">
        <f t="shared" si="157"/>
        <v>N/A</v>
      </c>
      <c r="N183" s="323" t="str">
        <f t="shared" si="157"/>
        <v>N/A</v>
      </c>
      <c r="O183" s="324" t="str">
        <f t="shared" si="157"/>
        <v>N/A</v>
      </c>
      <c r="P183" s="323" t="str">
        <f t="shared" si="157"/>
        <v>N/A</v>
      </c>
      <c r="Q183" s="323" t="str">
        <f t="shared" si="157"/>
        <v>N/A</v>
      </c>
      <c r="R183" s="323" t="str">
        <f t="shared" si="157"/>
        <v>N/A</v>
      </c>
      <c r="S183" s="323" t="str">
        <f t="shared" si="157"/>
        <v>N/A</v>
      </c>
      <c r="T183" s="324" t="str">
        <f t="shared" si="157"/>
        <v>N/A</v>
      </c>
      <c r="U183" s="323" t="str">
        <f t="shared" si="157"/>
        <v>N/A</v>
      </c>
      <c r="V183" s="323" t="str">
        <f t="shared" si="157"/>
        <v>N/A</v>
      </c>
      <c r="W183" s="323" t="str">
        <f t="shared" si="157"/>
        <v>N/A</v>
      </c>
      <c r="X183" s="325" t="str">
        <f t="shared" si="157"/>
        <v>N/A</v>
      </c>
      <c r="Y183" s="324" t="str">
        <f t="shared" si="157"/>
        <v>N/A</v>
      </c>
      <c r="Z183" s="325" t="str">
        <f t="shared" si="157"/>
        <v>N/A</v>
      </c>
      <c r="AA183" s="325" t="str">
        <f t="shared" si="157"/>
        <v>N/A</v>
      </c>
      <c r="AB183" s="325" t="str">
        <f t="shared" si="157"/>
        <v>N/A</v>
      </c>
      <c r="AC183" s="325" t="str">
        <f t="shared" si="157"/>
        <v>N/A</v>
      </c>
      <c r="AD183" s="324" t="str">
        <f t="shared" si="157"/>
        <v>N/A</v>
      </c>
      <c r="AE183" s="324" t="str">
        <f t="shared" si="157"/>
        <v>N/A</v>
      </c>
      <c r="AF183" s="324" t="str">
        <f t="shared" si="157"/>
        <v>N/A</v>
      </c>
      <c r="AG183" s="324" t="str">
        <f t="shared" si="157"/>
        <v>N/A</v>
      </c>
    </row>
    <row r="184" spans="3:33" ht="14.25" hidden="1" customHeight="1" outlineLevel="1">
      <c r="C184" s="108" t="str">
        <f t="shared" si="153"/>
        <v>Asia Pacific</v>
      </c>
      <c r="D184" s="12"/>
      <c r="E184" s="12"/>
      <c r="F184" s="420"/>
      <c r="G184" s="420"/>
      <c r="H184" s="420"/>
      <c r="I184" s="420"/>
      <c r="J184" s="137"/>
      <c r="K184" s="323" t="str">
        <f t="shared" ref="K184:AG184" si="158">IFERROR(K93/F93-1,"N/A")</f>
        <v>N/A</v>
      </c>
      <c r="L184" s="323" t="str">
        <f t="shared" si="158"/>
        <v>N/A</v>
      </c>
      <c r="M184" s="323" t="str">
        <f t="shared" si="158"/>
        <v>N/A</v>
      </c>
      <c r="N184" s="323" t="str">
        <f t="shared" si="158"/>
        <v>N/A</v>
      </c>
      <c r="O184" s="324" t="str">
        <f t="shared" si="158"/>
        <v>N/A</v>
      </c>
      <c r="P184" s="323" t="str">
        <f t="shared" si="158"/>
        <v>N/A</v>
      </c>
      <c r="Q184" s="323" t="str">
        <f t="shared" si="158"/>
        <v>N/A</v>
      </c>
      <c r="R184" s="323" t="str">
        <f t="shared" si="158"/>
        <v>N/A</v>
      </c>
      <c r="S184" s="323" t="str">
        <f t="shared" si="158"/>
        <v>N/A</v>
      </c>
      <c r="T184" s="324" t="str">
        <f t="shared" si="158"/>
        <v>N/A</v>
      </c>
      <c r="U184" s="323" t="str">
        <f t="shared" si="158"/>
        <v>N/A</v>
      </c>
      <c r="V184" s="323" t="str">
        <f t="shared" si="158"/>
        <v>N/A</v>
      </c>
      <c r="W184" s="323" t="str">
        <f t="shared" si="158"/>
        <v>N/A</v>
      </c>
      <c r="X184" s="325" t="str">
        <f t="shared" si="158"/>
        <v>N/A</v>
      </c>
      <c r="Y184" s="324" t="str">
        <f t="shared" si="158"/>
        <v>N/A</v>
      </c>
      <c r="Z184" s="325" t="str">
        <f t="shared" si="158"/>
        <v>N/A</v>
      </c>
      <c r="AA184" s="325" t="str">
        <f t="shared" si="158"/>
        <v>N/A</v>
      </c>
      <c r="AB184" s="325" t="str">
        <f t="shared" si="158"/>
        <v>N/A</v>
      </c>
      <c r="AC184" s="325" t="str">
        <f t="shared" si="158"/>
        <v>N/A</v>
      </c>
      <c r="AD184" s="324" t="str">
        <f t="shared" si="158"/>
        <v>N/A</v>
      </c>
      <c r="AE184" s="324" t="str">
        <f t="shared" si="158"/>
        <v>N/A</v>
      </c>
      <c r="AF184" s="324" t="str">
        <f t="shared" si="158"/>
        <v>N/A</v>
      </c>
      <c r="AG184" s="324" t="str">
        <f t="shared" si="158"/>
        <v>N/A</v>
      </c>
    </row>
    <row r="185" spans="3:33" ht="14.25" hidden="1" customHeight="1" outlineLevel="1">
      <c r="C185" s="12"/>
      <c r="D185" s="12"/>
      <c r="E185" s="12"/>
      <c r="F185" s="265"/>
      <c r="G185" s="265"/>
      <c r="H185" s="265"/>
      <c r="I185" s="265"/>
      <c r="J185" s="137"/>
      <c r="K185" s="265"/>
      <c r="L185" s="265"/>
      <c r="M185" s="265"/>
      <c r="N185" s="265"/>
      <c r="O185" s="137"/>
      <c r="P185" s="265"/>
      <c r="Q185" s="265"/>
      <c r="R185" s="265"/>
      <c r="S185" s="265"/>
      <c r="T185" s="137"/>
      <c r="U185" s="265"/>
      <c r="V185" s="265"/>
      <c r="W185" s="265"/>
      <c r="X185" s="268"/>
      <c r="Y185" s="137"/>
      <c r="Z185" s="268"/>
      <c r="AA185" s="268"/>
      <c r="AB185" s="268"/>
      <c r="AC185" s="268"/>
      <c r="AD185" s="137"/>
      <c r="AE185" s="137"/>
      <c r="AF185" s="137"/>
      <c r="AG185" s="137"/>
    </row>
    <row r="186" spans="3:33" ht="14.25" hidden="1" customHeight="1" outlineLevel="1">
      <c r="C186" s="12" t="s">
        <v>474</v>
      </c>
      <c r="D186" s="12"/>
      <c r="E186" s="12"/>
      <c r="F186" s="420"/>
      <c r="G186" s="323"/>
      <c r="H186" s="323"/>
      <c r="I186" s="323"/>
      <c r="J186" s="324"/>
      <c r="K186" s="323">
        <f>IFERROR(Model!K36/Model!F36-1,"N/A")</f>
        <v>0.53561680832658132</v>
      </c>
      <c r="L186" s="323">
        <f>IFERROR(Model!L36/Model!G36-1,"N/A")</f>
        <v>0.42450810893052315</v>
      </c>
      <c r="M186" s="323">
        <f>IFERROR(Model!M36/Model!H36-1,"N/A")</f>
        <v>0.51820398101851706</v>
      </c>
      <c r="N186" s="323">
        <f>IFERROR(Model!N36/Model!I36-1,"N/A")</f>
        <v>-1.2191491470720281</v>
      </c>
      <c r="O186" s="324">
        <f>IFERROR(Model!O36/Model!J36-1,"N/A")</f>
        <v>-3.1204310223754685</v>
      </c>
      <c r="P186" s="323">
        <f>IFERROR(Model!P36/Model!K36-1,"N/A")</f>
        <v>0.27139820416374483</v>
      </c>
      <c r="Q186" s="323">
        <f>IFERROR(Model!Q36/Model!L36-1,"N/A")</f>
        <v>0.45022296824580277</v>
      </c>
      <c r="R186" s="323">
        <f>IFERROR(Model!R36/Model!M36-1,"N/A")</f>
        <v>0.11643673416218814</v>
      </c>
      <c r="S186" s="323">
        <f>IFERROR(Model!S36/Model!N36-1,"N/A")</f>
        <v>0.30090955250122509</v>
      </c>
      <c r="T186" s="324">
        <f>IFERROR(Model!T36/Model!O36-1,"N/A")</f>
        <v>0.27923754902034181</v>
      </c>
      <c r="U186" s="323">
        <f>IFERROR(Model!U36/Model!P36-1,"N/A")</f>
        <v>0.18225222057132395</v>
      </c>
      <c r="V186" s="323">
        <f>IFERROR(Model!V36/Model!Q36-1,"N/A")</f>
        <v>0.11532219565347535</v>
      </c>
      <c r="W186" s="323">
        <f>IFERROR(Model!W36/Model!R36-1,"N/A")</f>
        <v>-0.14138302906152156</v>
      </c>
      <c r="X186" s="325">
        <f>IFERROR(Model!X36/Model!S36-1,"N/A")</f>
        <v>-1.7747506225768714</v>
      </c>
      <c r="Y186" s="324">
        <f>IFERROR(Model!Y36/Model!T36-1,"N/A")</f>
        <v>-0.34977274403687142</v>
      </c>
      <c r="Z186" s="325">
        <f>IFERROR(Model!Z36/Model!U36-1,"N/A")</f>
        <v>-1.6357372897932452</v>
      </c>
      <c r="AA186" s="325">
        <f>IFERROR(Model!AA36/Model!V36-1,"N/A")</f>
        <v>-1.6365505412793944</v>
      </c>
      <c r="AB186" s="325">
        <f>IFERROR(Model!AB36/Model!W36-1,"N/A")</f>
        <v>-2.0468129521834677</v>
      </c>
      <c r="AC186" s="325">
        <f>IFERROR(Model!AC36/Model!X36-1,"N/A")</f>
        <v>5.8684623830232319E-2</v>
      </c>
      <c r="AD186" s="324">
        <f>IFERROR(Model!AD36/Model!Y36-1,"N/A")</f>
        <v>-2.2163605073401724</v>
      </c>
      <c r="AE186" s="324">
        <f>IFERROR(Model!AE36/Model!Z36-1,"N/A")</f>
        <v>2.8074707377667667</v>
      </c>
      <c r="AF186" s="324">
        <f>IFERROR(Model!AF36/Model!AA36-1,"N/A")</f>
        <v>2.4502138564119273</v>
      </c>
      <c r="AG186" s="324">
        <f>IFERROR(Model!AG36/Model!AB36-1,"N/A")</f>
        <v>1.9701458267489018</v>
      </c>
    </row>
    <row r="187" spans="3:33" ht="14.25" customHeight="1">
      <c r="C187" s="12"/>
      <c r="D187" s="12"/>
      <c r="E187" s="12"/>
      <c r="F187" s="265"/>
      <c r="G187" s="265"/>
      <c r="H187" s="265"/>
      <c r="I187" s="265"/>
      <c r="J187" s="137"/>
      <c r="K187" s="265"/>
      <c r="L187" s="265"/>
      <c r="M187" s="265"/>
      <c r="N187" s="265"/>
      <c r="O187" s="137"/>
      <c r="P187" s="265"/>
      <c r="Q187" s="265"/>
      <c r="R187" s="265"/>
      <c r="S187" s="265"/>
      <c r="T187" s="137"/>
      <c r="U187" s="265"/>
      <c r="V187" s="265"/>
      <c r="W187" s="265"/>
      <c r="X187" s="268"/>
      <c r="Y187" s="137"/>
      <c r="Z187" s="268"/>
      <c r="AA187" s="268"/>
      <c r="AB187" s="268"/>
      <c r="AC187" s="268"/>
      <c r="AD187" s="137"/>
      <c r="AE187" s="137"/>
      <c r="AF187" s="137"/>
      <c r="AG187" s="137"/>
    </row>
    <row r="188" spans="3:33" ht="14.25" customHeight="1">
      <c r="C188" s="12" t="s">
        <v>475</v>
      </c>
      <c r="D188" s="12"/>
      <c r="E188" s="12"/>
      <c r="F188" s="420"/>
      <c r="G188" s="323"/>
      <c r="H188" s="323"/>
      <c r="I188" s="323"/>
      <c r="J188" s="324"/>
      <c r="K188" s="323">
        <f>IFERROR(Model!K61/Model!F61-1,"N/A")</f>
        <v>0.46733996360517138</v>
      </c>
      <c r="L188" s="323">
        <f>IFERROR(Model!L61/Model!G61-1,"N/A")</f>
        <v>0.28951553718596479</v>
      </c>
      <c r="M188" s="323">
        <f>IFERROR(Model!M61/Model!H61-1,"N/A")</f>
        <v>0.36628919821334027</v>
      </c>
      <c r="N188" s="323">
        <f>IFERROR(Model!N61/Model!I61-1,"N/A")</f>
        <v>-1.2910042440256944</v>
      </c>
      <c r="O188" s="324">
        <f>IFERROR(Model!O61/Model!J61-1,"N/A")</f>
        <v>-5.0358400873968483</v>
      </c>
      <c r="P188" s="323">
        <f>IFERROR(Model!P61/Model!K61-1,"N/A")</f>
        <v>0.29704558620382326</v>
      </c>
      <c r="Q188" s="323">
        <f>IFERROR(Model!Q61/Model!L61-1,"N/A")</f>
        <v>0.43477629339263335</v>
      </c>
      <c r="R188" s="323">
        <f>IFERROR(Model!R61/Model!M61-1,"N/A")</f>
        <v>0.367613756982341</v>
      </c>
      <c r="S188" s="323">
        <f>IFERROR(Model!S61/Model!N61-1,"N/A")</f>
        <v>0.18565051778390429</v>
      </c>
      <c r="T188" s="324">
        <f>IFERROR(Model!T61/Model!O61-1,"N/A")</f>
        <v>0.32435527371306239</v>
      </c>
      <c r="U188" s="323">
        <f>IFERROR(Model!U61/Model!P61-1,"N/A")</f>
        <v>0.1807899899435923</v>
      </c>
      <c r="V188" s="323">
        <f>IFERROR(Model!V61/Model!Q61-1,"N/A")</f>
        <v>0.19593903740241725</v>
      </c>
      <c r="W188" s="323">
        <f>IFERROR(Model!W61/Model!R61-1,"N/A")</f>
        <v>-0.22580233987784237</v>
      </c>
      <c r="X188" s="325" t="str">
        <f ca="1">IFERROR(Model!X61/Model!S61-1,"N/A")</f>
        <v>N/A</v>
      </c>
      <c r="Y188" s="324" t="str">
        <f ca="1">IFERROR(Model!Y61/Model!T61-1,"N/A")</f>
        <v>N/A</v>
      </c>
      <c r="Z188" s="325" t="str">
        <f ca="1">IFERROR(Model!Z61/Model!U61-1,"N/A")</f>
        <v>N/A</v>
      </c>
      <c r="AA188" s="325" t="str">
        <f ca="1">IFERROR(Model!AA61/Model!V61-1,"N/A")</f>
        <v>N/A</v>
      </c>
      <c r="AB188" s="325" t="str">
        <f ca="1">IFERROR(Model!AB61/Model!W61-1,"N/A")</f>
        <v>N/A</v>
      </c>
      <c r="AC188" s="325" t="str">
        <f ca="1">IFERROR(Model!AC61/Model!X61-1,"N/A")</f>
        <v>N/A</v>
      </c>
      <c r="AD188" s="324" t="str">
        <f ca="1">IFERROR(Model!AD61/Model!Y61-1,"N/A")</f>
        <v>N/A</v>
      </c>
      <c r="AE188" s="324" t="str">
        <f ca="1">IFERROR(Model!AE61/Model!Z61-1,"N/A")</f>
        <v>N/A</v>
      </c>
      <c r="AF188" s="324" t="str">
        <f ca="1">IFERROR(Model!AF61/Model!AA61-1,"N/A")</f>
        <v>N/A</v>
      </c>
      <c r="AG188" s="324" t="str">
        <f ca="1">IFERROR(Model!AG61/Model!AB61-1,"N/A")</f>
        <v>N/A</v>
      </c>
    </row>
    <row r="189" spans="3:33" ht="14.25" customHeight="1">
      <c r="C189" s="12"/>
      <c r="D189" s="12"/>
      <c r="E189" s="12"/>
      <c r="F189" s="265"/>
      <c r="G189" s="265"/>
      <c r="H189" s="265"/>
      <c r="I189" s="265"/>
      <c r="J189" s="137"/>
      <c r="K189" s="265"/>
      <c r="L189" s="265"/>
      <c r="M189" s="265"/>
      <c r="N189" s="265"/>
      <c r="O189" s="137"/>
      <c r="P189" s="265"/>
      <c r="Q189" s="265"/>
      <c r="R189" s="265"/>
      <c r="S189" s="265"/>
      <c r="T189" s="137"/>
      <c r="U189" s="265"/>
      <c r="V189" s="265"/>
      <c r="W189" s="265"/>
      <c r="X189" s="268"/>
      <c r="Y189" s="137"/>
      <c r="Z189" s="268"/>
      <c r="AA189" s="268"/>
      <c r="AB189" s="268"/>
      <c r="AC189" s="268"/>
      <c r="AD189" s="137"/>
      <c r="AE189" s="137"/>
      <c r="AF189" s="137"/>
      <c r="AG189" s="137"/>
    </row>
    <row r="190" spans="3:33" ht="14.25" customHeight="1">
      <c r="C190" s="36" t="s">
        <v>476</v>
      </c>
      <c r="D190" s="37"/>
      <c r="E190" s="37"/>
      <c r="F190" s="442"/>
      <c r="G190" s="442"/>
      <c r="H190" s="442"/>
      <c r="I190" s="442"/>
      <c r="J190" s="442"/>
      <c r="K190" s="442"/>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3"/>
    </row>
    <row r="191" spans="3:33" ht="14.25" customHeight="1">
      <c r="C191" s="12"/>
      <c r="D191" s="12"/>
      <c r="E191" s="12"/>
      <c r="F191" s="265"/>
      <c r="G191" s="265"/>
      <c r="H191" s="265"/>
      <c r="I191" s="265"/>
      <c r="J191" s="137"/>
      <c r="K191" s="265"/>
      <c r="L191" s="265"/>
      <c r="M191" s="265"/>
      <c r="N191" s="265"/>
      <c r="O191" s="137"/>
      <c r="P191" s="265"/>
      <c r="Q191" s="265"/>
      <c r="R191" s="265"/>
      <c r="S191" s="265"/>
      <c r="T191" s="137"/>
      <c r="U191" s="265"/>
      <c r="V191" s="265"/>
      <c r="W191" s="265"/>
      <c r="X191" s="268"/>
      <c r="Y191" s="137"/>
      <c r="Z191" s="268"/>
      <c r="AA191" s="268"/>
      <c r="AB191" s="268"/>
      <c r="AC191" s="268"/>
      <c r="AD191" s="137"/>
      <c r="AE191" s="137"/>
      <c r="AF191" s="137"/>
      <c r="AG191" s="137"/>
    </row>
    <row r="192" spans="3:33" ht="14.25" customHeight="1">
      <c r="C192" s="12" t="s">
        <v>473</v>
      </c>
      <c r="D192" s="12"/>
      <c r="E192" s="12"/>
      <c r="F192" s="420"/>
      <c r="G192" s="323">
        <f>IFERROR('Segment Analysis'!G7/'Segment Analysis'!F7-1,"N/A")</f>
        <v>3.1609373910663763E-3</v>
      </c>
      <c r="H192" s="323">
        <f>IFERROR('Segment Analysis'!H7/'Segment Analysis'!G7-1,"N/A")</f>
        <v>4.3282517645314211E-2</v>
      </c>
      <c r="I192" s="323">
        <f>IFERROR('Segment Analysis'!I7/'Segment Analysis'!H7-1,"N/A")</f>
        <v>3.4086667849886121E-2</v>
      </c>
      <c r="J192" s="324"/>
      <c r="K192" s="323">
        <f>IFERROR('Segment Analysis'!K7/'Segment Analysis'!I7-1,"N/A")</f>
        <v>6.0865578113457497E-2</v>
      </c>
      <c r="L192" s="323">
        <f>IFERROR('Segment Analysis'!L7/'Segment Analysis'!K7-1,"N/A")</f>
        <v>2.0155937181178141E-2</v>
      </c>
      <c r="M192" s="323">
        <f>IFERROR('Segment Analysis'!M7/'Segment Analysis'!L7-1,"N/A")</f>
        <v>2.7762777857397669E-2</v>
      </c>
      <c r="N192" s="323">
        <f>IFERROR('Segment Analysis'!N7/'Segment Analysis'!M7-1,"N/A")</f>
        <v>4.2933613362154732E-2</v>
      </c>
      <c r="O192" s="324"/>
      <c r="P192" s="323">
        <f>IFERROR('Segment Analysis'!P7/'Segment Analysis'!N7-1,"N/A")</f>
        <v>2.8915983417968416E-2</v>
      </c>
      <c r="Q192" s="323">
        <f>IFERROR('Segment Analysis'!Q7/'Segment Analysis'!P7-1,"N/A")</f>
        <v>5.0874999917005059E-2</v>
      </c>
      <c r="R192" s="323">
        <f>IFERROR('Segment Analysis'!R7/'Segment Analysis'!Q7-1,"N/A")</f>
        <v>3.8914571728594138E-2</v>
      </c>
      <c r="S192" s="323">
        <f>IFERROR('Segment Analysis'!S7/'Segment Analysis'!R7-1,"N/A")</f>
        <v>4.6954003920138598E-2</v>
      </c>
      <c r="T192" s="324"/>
      <c r="U192" s="323">
        <f>IFERROR('Segment Analysis'!U7/'Segment Analysis'!S7-1,"N/A")</f>
        <v>1.6513063655227755E-2</v>
      </c>
      <c r="V192" s="323">
        <f>IFERROR('Segment Analysis'!V7/'Segment Analysis'!U7-1,"N/A")</f>
        <v>1.2506568905815847</v>
      </c>
      <c r="W192" s="323">
        <f>IFERROR('Segment Analysis'!W7/'Segment Analysis'!V7-1,"N/A")</f>
        <v>-0.16873413130213999</v>
      </c>
      <c r="X192" s="325">
        <f>IFERROR('Segment Analysis'!X7/'Segment Analysis'!W7-1,"N/A")</f>
        <v>-5.0000000000000044E-2</v>
      </c>
      <c r="Y192" s="324"/>
      <c r="Z192" s="325">
        <f>IFERROR('Segment Analysis'!Z7/'Segment Analysis'!X7-1,"N/A")</f>
        <v>0.17999999999999994</v>
      </c>
      <c r="AA192" s="325">
        <f>IFERROR('Segment Analysis'!AA7/'Segment Analysis'!Z7-1,"N/A")</f>
        <v>0.14000000000000012</v>
      </c>
      <c r="AB192" s="325">
        <f>IFERROR('Segment Analysis'!AB7/'Segment Analysis'!AA7-1,"N/A")</f>
        <v>-0.12</v>
      </c>
      <c r="AC192" s="325">
        <f>IFERROR('Segment Analysis'!AC7/'Segment Analysis'!AB7-1,"N/A")</f>
        <v>-5.0000000000000044E-2</v>
      </c>
      <c r="AD192" s="324"/>
      <c r="AE192" s="324">
        <f>IFERROR('Segment Analysis'!AE7/'Segment Analysis'!AD7-1,"N/A")</f>
        <v>2.0000000000000018E-2</v>
      </c>
      <c r="AF192" s="324">
        <f>IFERROR('Segment Analysis'!AF7/'Segment Analysis'!AE7-1,"N/A")</f>
        <v>2.0000000000000018E-2</v>
      </c>
      <c r="AG192" s="324">
        <f>IFERROR('Segment Analysis'!AG7/'Segment Analysis'!AF7-1,"N/A")</f>
        <v>2.0000000000000018E-2</v>
      </c>
    </row>
    <row r="193" spans="3:33" ht="14.25" customHeight="1">
      <c r="C193" s="108" t="str">
        <f>'Segment Analysis'!C16</f>
        <v>Home Improvement Retail</v>
      </c>
      <c r="D193" s="12"/>
      <c r="E193" s="12"/>
      <c r="F193" s="420"/>
      <c r="G193" s="323">
        <f>IFERROR('Segment Analysis'!G8/'Segment Analysis'!F8-1,"N/A")</f>
        <v>3.1609373910663763E-3</v>
      </c>
      <c r="H193" s="323">
        <f>IFERROR('Segment Analysis'!H8/'Segment Analysis'!G8-1,"N/A")</f>
        <v>4.3282517645314211E-2</v>
      </c>
      <c r="I193" s="323">
        <f>IFERROR('Segment Analysis'!I8/'Segment Analysis'!H8-1,"N/A")</f>
        <v>3.4086667849886121E-2</v>
      </c>
      <c r="J193" s="324"/>
      <c r="K193" s="323">
        <f>IFERROR('Segment Analysis'!K8/'Segment Analysis'!I8-1,"N/A")</f>
        <v>6.0865578113457497E-2</v>
      </c>
      <c r="L193" s="323">
        <f>IFERROR('Segment Analysis'!L8/'Segment Analysis'!K8-1,"N/A")</f>
        <v>2.0155937181178141E-2</v>
      </c>
      <c r="M193" s="323">
        <f>IFERROR('Segment Analysis'!M8/'Segment Analysis'!L8-1,"N/A")</f>
        <v>2.7762777857397669E-2</v>
      </c>
      <c r="N193" s="323">
        <f>IFERROR('Segment Analysis'!N8/'Segment Analysis'!M8-1,"N/A")</f>
        <v>4.2933613362154732E-2</v>
      </c>
      <c r="O193" s="324"/>
      <c r="P193" s="323">
        <f>IFERROR('Segment Analysis'!P8/'Segment Analysis'!N8-1,"N/A")</f>
        <v>2.8915983417968416E-2</v>
      </c>
      <c r="Q193" s="323">
        <f>IFERROR('Segment Analysis'!Q8/'Segment Analysis'!P8-1,"N/A")</f>
        <v>5.0874999917005059E-2</v>
      </c>
      <c r="R193" s="323">
        <f>IFERROR('Segment Analysis'!R8/'Segment Analysis'!Q8-1,"N/A")</f>
        <v>3.8914571728594138E-2</v>
      </c>
      <c r="S193" s="323">
        <f>IFERROR('Segment Analysis'!S8/'Segment Analysis'!R8-1,"N/A")</f>
        <v>4.6954003920138598E-2</v>
      </c>
      <c r="T193" s="324"/>
      <c r="U193" s="323">
        <f>IFERROR('Segment Analysis'!U8/'Segment Analysis'!S8-1,"N/A")</f>
        <v>1.6513063655227755E-2</v>
      </c>
      <c r="V193" s="323">
        <f>IFERROR('Segment Analysis'!V8/'Segment Analysis'!U8-1,"N/A")</f>
        <v>1.2506568905815847</v>
      </c>
      <c r="W193" s="323">
        <f>IFERROR('Segment Analysis'!W8/'Segment Analysis'!V8-1,"N/A")</f>
        <v>-0.16873413130213999</v>
      </c>
      <c r="X193" s="325">
        <f>IFERROR('Segment Analysis'!X8/'Segment Analysis'!W8-1,"N/A")</f>
        <v>-5.0000000000000044E-2</v>
      </c>
      <c r="Y193" s="324"/>
      <c r="Z193" s="325">
        <f>IFERROR('Segment Analysis'!Z8/'Segment Analysis'!X8-1,"N/A")</f>
        <v>0.17999999999999994</v>
      </c>
      <c r="AA193" s="325">
        <f>IFERROR('Segment Analysis'!AA8/'Segment Analysis'!Z8-1,"N/A")</f>
        <v>0.14000000000000012</v>
      </c>
      <c r="AB193" s="325">
        <f>IFERROR('Segment Analysis'!AB8/'Segment Analysis'!AA8-1,"N/A")</f>
        <v>-0.12</v>
      </c>
      <c r="AC193" s="325">
        <f>IFERROR('Segment Analysis'!AC8/'Segment Analysis'!AB8-1,"N/A")</f>
        <v>-5.0000000000000044E-2</v>
      </c>
      <c r="AD193" s="324"/>
      <c r="AE193" s="324">
        <f>IFERROR('Segment Analysis'!AE8/'Segment Analysis'!AD8-1,"N/A")</f>
        <v>2.0000000000000018E-2</v>
      </c>
      <c r="AF193" s="324">
        <f>IFERROR('Segment Analysis'!AF8/'Segment Analysis'!AE8-1,"N/A")</f>
        <v>2.0000000000000018E-2</v>
      </c>
      <c r="AG193" s="324">
        <f>IFERROR('Segment Analysis'!AG8/'Segment Analysis'!AF8-1,"N/A")</f>
        <v>2.0000000000000018E-2</v>
      </c>
    </row>
    <row r="194" spans="3:33" ht="14.25" customHeight="1">
      <c r="C194" s="108" t="str">
        <f>'Segment Analysis'!C17</f>
        <v>Segment 2</v>
      </c>
      <c r="D194" s="12"/>
      <c r="E194" s="12"/>
      <c r="F194" s="420"/>
      <c r="G194" s="323" t="str">
        <f>IFERROR('Segment Analysis'!G9/'Segment Analysis'!F9-1,"N/A")</f>
        <v>N/A</v>
      </c>
      <c r="H194" s="323" t="str">
        <f>IFERROR('Segment Analysis'!H9/'Segment Analysis'!G9-1,"N/A")</f>
        <v>N/A</v>
      </c>
      <c r="I194" s="323" t="str">
        <f>IFERROR('Segment Analysis'!I9/'Segment Analysis'!H9-1,"N/A")</f>
        <v>N/A</v>
      </c>
      <c r="J194" s="324"/>
      <c r="K194" s="323" t="str">
        <f>IFERROR('Segment Analysis'!K9/'Segment Analysis'!I9-1,"N/A")</f>
        <v>N/A</v>
      </c>
      <c r="L194" s="323" t="str">
        <f>IFERROR('Segment Analysis'!L9/'Segment Analysis'!K9-1,"N/A")</f>
        <v>N/A</v>
      </c>
      <c r="M194" s="323" t="str">
        <f>IFERROR('Segment Analysis'!M9/'Segment Analysis'!L9-1,"N/A")</f>
        <v>N/A</v>
      </c>
      <c r="N194" s="323" t="str">
        <f>IFERROR('Segment Analysis'!N9/'Segment Analysis'!M9-1,"N/A")</f>
        <v>N/A</v>
      </c>
      <c r="O194" s="324"/>
      <c r="P194" s="323" t="str">
        <f>IFERROR('Segment Analysis'!P9/'Segment Analysis'!N9-1,"N/A")</f>
        <v>N/A</v>
      </c>
      <c r="Q194" s="323" t="str">
        <f>IFERROR('Segment Analysis'!Q9/'Segment Analysis'!P9-1,"N/A")</f>
        <v>N/A</v>
      </c>
      <c r="R194" s="323" t="str">
        <f>IFERROR('Segment Analysis'!R9/'Segment Analysis'!Q9-1,"N/A")</f>
        <v>N/A</v>
      </c>
      <c r="S194" s="323" t="str">
        <f>IFERROR('Segment Analysis'!S9/'Segment Analysis'!R9-1,"N/A")</f>
        <v>N/A</v>
      </c>
      <c r="T194" s="324"/>
      <c r="U194" s="323" t="str">
        <f>IFERROR('Segment Analysis'!U9/'Segment Analysis'!S9-1,"N/A")</f>
        <v>N/A</v>
      </c>
      <c r="V194" s="323" t="str">
        <f>IFERROR('Segment Analysis'!V9/'Segment Analysis'!U9-1,"N/A")</f>
        <v>N/A</v>
      </c>
      <c r="W194" s="323" t="str">
        <f>IFERROR('Segment Analysis'!W9/'Segment Analysis'!V9-1,"N/A")</f>
        <v>N/A</v>
      </c>
      <c r="X194" s="325" t="str">
        <f>IFERROR('Segment Analysis'!X9/'Segment Analysis'!W9-1,"N/A")</f>
        <v>N/A</v>
      </c>
      <c r="Y194" s="324"/>
      <c r="Z194" s="325" t="str">
        <f>IFERROR('Segment Analysis'!Z9/'Segment Analysis'!X9-1,"N/A")</f>
        <v>N/A</v>
      </c>
      <c r="AA194" s="325" t="str">
        <f>IFERROR('Segment Analysis'!AA9/'Segment Analysis'!Z9-1,"N/A")</f>
        <v>N/A</v>
      </c>
      <c r="AB194" s="325" t="str">
        <f>IFERROR('Segment Analysis'!AB9/'Segment Analysis'!AA9-1,"N/A")</f>
        <v>N/A</v>
      </c>
      <c r="AC194" s="325" t="str">
        <f>IFERROR('Segment Analysis'!AC9/'Segment Analysis'!AB9-1,"N/A")</f>
        <v>N/A</v>
      </c>
      <c r="AD194" s="324"/>
      <c r="AE194" s="324" t="str">
        <f>IFERROR('Segment Analysis'!AE9/'Segment Analysis'!AD9-1,"N/A")</f>
        <v>N/A</v>
      </c>
      <c r="AF194" s="324" t="str">
        <f>IFERROR('Segment Analysis'!AF9/'Segment Analysis'!AE9-1,"N/A")</f>
        <v>N/A</v>
      </c>
      <c r="AG194" s="324" t="str">
        <f>IFERROR('Segment Analysis'!AG9/'Segment Analysis'!AF9-1,"N/A")</f>
        <v>N/A</v>
      </c>
    </row>
    <row r="195" spans="3:33" ht="14.25" customHeight="1">
      <c r="C195" s="108" t="str">
        <f>'Segment Analysis'!C18</f>
        <v>Segment 3</v>
      </c>
      <c r="D195" s="12"/>
      <c r="E195" s="12"/>
      <c r="F195" s="420"/>
      <c r="G195" s="323" t="str">
        <f>IFERROR('Segment Analysis'!G10/'Segment Analysis'!F10-1,"N/A")</f>
        <v>N/A</v>
      </c>
      <c r="H195" s="323" t="str">
        <f>IFERROR('Segment Analysis'!H10/'Segment Analysis'!G10-1,"N/A")</f>
        <v>N/A</v>
      </c>
      <c r="I195" s="323" t="str">
        <f>IFERROR('Segment Analysis'!I10/'Segment Analysis'!H10-1,"N/A")</f>
        <v>N/A</v>
      </c>
      <c r="J195" s="324"/>
      <c r="K195" s="323" t="str">
        <f>IFERROR('Segment Analysis'!K10/'Segment Analysis'!I10-1,"N/A")</f>
        <v>N/A</v>
      </c>
      <c r="L195" s="323" t="str">
        <f>IFERROR('Segment Analysis'!L10/'Segment Analysis'!K10-1,"N/A")</f>
        <v>N/A</v>
      </c>
      <c r="M195" s="323" t="str">
        <f>IFERROR('Segment Analysis'!M10/'Segment Analysis'!L10-1,"N/A")</f>
        <v>N/A</v>
      </c>
      <c r="N195" s="323" t="str">
        <f>IFERROR('Segment Analysis'!N10/'Segment Analysis'!M10-1,"N/A")</f>
        <v>N/A</v>
      </c>
      <c r="O195" s="324"/>
      <c r="P195" s="323" t="str">
        <f>IFERROR('Segment Analysis'!P10/'Segment Analysis'!N10-1,"N/A")</f>
        <v>N/A</v>
      </c>
      <c r="Q195" s="323" t="str">
        <f>IFERROR('Segment Analysis'!Q10/'Segment Analysis'!P10-1,"N/A")</f>
        <v>N/A</v>
      </c>
      <c r="R195" s="323" t="str">
        <f>IFERROR('Segment Analysis'!R10/'Segment Analysis'!Q10-1,"N/A")</f>
        <v>N/A</v>
      </c>
      <c r="S195" s="323" t="str">
        <f>IFERROR('Segment Analysis'!S10/'Segment Analysis'!R10-1,"N/A")</f>
        <v>N/A</v>
      </c>
      <c r="T195" s="324"/>
      <c r="U195" s="323" t="str">
        <f>IFERROR('Segment Analysis'!U10/'Segment Analysis'!S10-1,"N/A")</f>
        <v>N/A</v>
      </c>
      <c r="V195" s="323" t="str">
        <f>IFERROR('Segment Analysis'!V10/'Segment Analysis'!U10-1,"N/A")</f>
        <v>N/A</v>
      </c>
      <c r="W195" s="323" t="str">
        <f>IFERROR('Segment Analysis'!W10/'Segment Analysis'!V10-1,"N/A")</f>
        <v>N/A</v>
      </c>
      <c r="X195" s="325" t="str">
        <f>IFERROR('Segment Analysis'!X10/'Segment Analysis'!W10-1,"N/A")</f>
        <v>N/A</v>
      </c>
      <c r="Y195" s="324"/>
      <c r="Z195" s="325" t="str">
        <f>IFERROR('Segment Analysis'!Z10/'Segment Analysis'!X10-1,"N/A")</f>
        <v>N/A</v>
      </c>
      <c r="AA195" s="325" t="str">
        <f>IFERROR('Segment Analysis'!AA10/'Segment Analysis'!Z10-1,"N/A")</f>
        <v>N/A</v>
      </c>
      <c r="AB195" s="325" t="str">
        <f>IFERROR('Segment Analysis'!AB10/'Segment Analysis'!AA10-1,"N/A")</f>
        <v>N/A</v>
      </c>
      <c r="AC195" s="325" t="str">
        <f>IFERROR('Segment Analysis'!AC10/'Segment Analysis'!AB10-1,"N/A")</f>
        <v>N/A</v>
      </c>
      <c r="AD195" s="324"/>
      <c r="AE195" s="324" t="str">
        <f>IFERROR('Segment Analysis'!AE10/'Segment Analysis'!AD10-1,"N/A")</f>
        <v>N/A</v>
      </c>
      <c r="AF195" s="324" t="str">
        <f>IFERROR('Segment Analysis'!AF10/'Segment Analysis'!AE10-1,"N/A")</f>
        <v>N/A</v>
      </c>
      <c r="AG195" s="324" t="str">
        <f>IFERROR('Segment Analysis'!AG10/'Segment Analysis'!AF10-1,"N/A")</f>
        <v>N/A</v>
      </c>
    </row>
    <row r="196" spans="3:33" ht="14.25" customHeight="1">
      <c r="C196" s="108" t="str">
        <f>'Segment Analysis'!C19</f>
        <v>Segment 4</v>
      </c>
      <c r="D196" s="12"/>
      <c r="E196" s="12"/>
      <c r="F196" s="420"/>
      <c r="G196" s="323" t="str">
        <f>IFERROR('Segment Analysis'!G11/'Segment Analysis'!F11-1,"N/A")</f>
        <v>N/A</v>
      </c>
      <c r="H196" s="323" t="str">
        <f>IFERROR('Segment Analysis'!H11/'Segment Analysis'!G11-1,"N/A")</f>
        <v>N/A</v>
      </c>
      <c r="I196" s="323" t="str">
        <f>IFERROR('Segment Analysis'!I11/'Segment Analysis'!H11-1,"N/A")</f>
        <v>N/A</v>
      </c>
      <c r="J196" s="324"/>
      <c r="K196" s="323" t="str">
        <f>IFERROR('Segment Analysis'!K11/'Segment Analysis'!I11-1,"N/A")</f>
        <v>N/A</v>
      </c>
      <c r="L196" s="323" t="str">
        <f>IFERROR('Segment Analysis'!L11/'Segment Analysis'!K11-1,"N/A")</f>
        <v>N/A</v>
      </c>
      <c r="M196" s="323" t="str">
        <f>IFERROR('Segment Analysis'!M11/'Segment Analysis'!L11-1,"N/A")</f>
        <v>N/A</v>
      </c>
      <c r="N196" s="323" t="str">
        <f>IFERROR('Segment Analysis'!N11/'Segment Analysis'!M11-1,"N/A")</f>
        <v>N/A</v>
      </c>
      <c r="O196" s="324"/>
      <c r="P196" s="323" t="str">
        <f>IFERROR('Segment Analysis'!P11/'Segment Analysis'!N11-1,"N/A")</f>
        <v>N/A</v>
      </c>
      <c r="Q196" s="323" t="str">
        <f>IFERROR('Segment Analysis'!Q11/'Segment Analysis'!P11-1,"N/A")</f>
        <v>N/A</v>
      </c>
      <c r="R196" s="323" t="str">
        <f>IFERROR('Segment Analysis'!R11/'Segment Analysis'!Q11-1,"N/A")</f>
        <v>N/A</v>
      </c>
      <c r="S196" s="323" t="str">
        <f>IFERROR('Segment Analysis'!S11/'Segment Analysis'!R11-1,"N/A")</f>
        <v>N/A</v>
      </c>
      <c r="T196" s="324"/>
      <c r="U196" s="323" t="str">
        <f>IFERROR('Segment Analysis'!U11/'Segment Analysis'!S11-1,"N/A")</f>
        <v>N/A</v>
      </c>
      <c r="V196" s="323" t="str">
        <f>IFERROR('Segment Analysis'!V11/'Segment Analysis'!U11-1,"N/A")</f>
        <v>N/A</v>
      </c>
      <c r="W196" s="323" t="str">
        <f>IFERROR('Segment Analysis'!W11/'Segment Analysis'!V11-1,"N/A")</f>
        <v>N/A</v>
      </c>
      <c r="X196" s="325" t="str">
        <f>IFERROR('Segment Analysis'!X11/'Segment Analysis'!W11-1,"N/A")</f>
        <v>N/A</v>
      </c>
      <c r="Y196" s="324"/>
      <c r="Z196" s="325" t="str">
        <f>IFERROR('Segment Analysis'!Z11/'Segment Analysis'!X11-1,"N/A")</f>
        <v>N/A</v>
      </c>
      <c r="AA196" s="325" t="str">
        <f>IFERROR('Segment Analysis'!AA11/'Segment Analysis'!Z11-1,"N/A")</f>
        <v>N/A</v>
      </c>
      <c r="AB196" s="325" t="str">
        <f>IFERROR('Segment Analysis'!AB11/'Segment Analysis'!AA11-1,"N/A")</f>
        <v>N/A</v>
      </c>
      <c r="AC196" s="325" t="str">
        <f>IFERROR('Segment Analysis'!AC11/'Segment Analysis'!AB11-1,"N/A")</f>
        <v>N/A</v>
      </c>
      <c r="AD196" s="324"/>
      <c r="AE196" s="324" t="str">
        <f>IFERROR('Segment Analysis'!AE11/'Segment Analysis'!AD11-1,"N/A")</f>
        <v>N/A</v>
      </c>
      <c r="AF196" s="324" t="str">
        <f>IFERROR('Segment Analysis'!AF11/'Segment Analysis'!AE11-1,"N/A")</f>
        <v>N/A</v>
      </c>
      <c r="AG196" s="324" t="str">
        <f>IFERROR('Segment Analysis'!AG11/'Segment Analysis'!AF11-1,"N/A")</f>
        <v>N/A</v>
      </c>
    </row>
    <row r="197" spans="3:33" ht="14.25" customHeight="1">
      <c r="C197" s="108" t="str">
        <f>'Segment Analysis'!C20</f>
        <v>Segment 5</v>
      </c>
      <c r="D197" s="12"/>
      <c r="E197" s="12"/>
      <c r="F197" s="420"/>
      <c r="G197" s="323" t="str">
        <f>IFERROR('Segment Analysis'!G12/'Segment Analysis'!F12-1,"N/A")</f>
        <v>N/A</v>
      </c>
      <c r="H197" s="323" t="str">
        <f>IFERROR('Segment Analysis'!H12/'Segment Analysis'!G12-1,"N/A")</f>
        <v>N/A</v>
      </c>
      <c r="I197" s="323" t="str">
        <f>IFERROR('Segment Analysis'!I12/'Segment Analysis'!H12-1,"N/A")</f>
        <v>N/A</v>
      </c>
      <c r="J197" s="324"/>
      <c r="K197" s="323" t="str">
        <f>IFERROR('Segment Analysis'!K12/'Segment Analysis'!I12-1,"N/A")</f>
        <v>N/A</v>
      </c>
      <c r="L197" s="323" t="str">
        <f>IFERROR('Segment Analysis'!L12/'Segment Analysis'!K12-1,"N/A")</f>
        <v>N/A</v>
      </c>
      <c r="M197" s="323" t="str">
        <f>IFERROR('Segment Analysis'!M12/'Segment Analysis'!L12-1,"N/A")</f>
        <v>N/A</v>
      </c>
      <c r="N197" s="323" t="str">
        <f>IFERROR('Segment Analysis'!N12/'Segment Analysis'!M12-1,"N/A")</f>
        <v>N/A</v>
      </c>
      <c r="O197" s="324"/>
      <c r="P197" s="323" t="str">
        <f>IFERROR('Segment Analysis'!P12/'Segment Analysis'!N12-1,"N/A")</f>
        <v>N/A</v>
      </c>
      <c r="Q197" s="323" t="str">
        <f>IFERROR('Segment Analysis'!Q12/'Segment Analysis'!P12-1,"N/A")</f>
        <v>N/A</v>
      </c>
      <c r="R197" s="323" t="str">
        <f>IFERROR('Segment Analysis'!R12/'Segment Analysis'!Q12-1,"N/A")</f>
        <v>N/A</v>
      </c>
      <c r="S197" s="323" t="str">
        <f>IFERROR('Segment Analysis'!S12/'Segment Analysis'!R12-1,"N/A")</f>
        <v>N/A</v>
      </c>
      <c r="T197" s="324"/>
      <c r="U197" s="323" t="str">
        <f>IFERROR('Segment Analysis'!U12/'Segment Analysis'!S12-1,"N/A")</f>
        <v>N/A</v>
      </c>
      <c r="V197" s="323" t="str">
        <f>IFERROR('Segment Analysis'!V12/'Segment Analysis'!U12-1,"N/A")</f>
        <v>N/A</v>
      </c>
      <c r="W197" s="323" t="str">
        <f>IFERROR('Segment Analysis'!W12/'Segment Analysis'!V12-1,"N/A")</f>
        <v>N/A</v>
      </c>
      <c r="X197" s="325" t="str">
        <f>IFERROR('Segment Analysis'!X12/'Segment Analysis'!W12-1,"N/A")</f>
        <v>N/A</v>
      </c>
      <c r="Y197" s="324"/>
      <c r="Z197" s="325" t="str">
        <f>IFERROR('Segment Analysis'!Z12/'Segment Analysis'!X12-1,"N/A")</f>
        <v>N/A</v>
      </c>
      <c r="AA197" s="325" t="str">
        <f>IFERROR('Segment Analysis'!AA12/'Segment Analysis'!Z12-1,"N/A")</f>
        <v>N/A</v>
      </c>
      <c r="AB197" s="325" t="str">
        <f>IFERROR('Segment Analysis'!AB12/'Segment Analysis'!AA12-1,"N/A")</f>
        <v>N/A</v>
      </c>
      <c r="AC197" s="325" t="str">
        <f>IFERROR('Segment Analysis'!AC12/'Segment Analysis'!AB12-1,"N/A")</f>
        <v>N/A</v>
      </c>
      <c r="AD197" s="324"/>
      <c r="AE197" s="324" t="str">
        <f>IFERROR('Segment Analysis'!AE12/'Segment Analysis'!AD12-1,"N/A")</f>
        <v>N/A</v>
      </c>
      <c r="AF197" s="324" t="str">
        <f>IFERROR('Segment Analysis'!AF12/'Segment Analysis'!AE12-1,"N/A")</f>
        <v>N/A</v>
      </c>
      <c r="AG197" s="324" t="str">
        <f>IFERROR('Segment Analysis'!AG12/'Segment Analysis'!AF12-1,"N/A")</f>
        <v>N/A</v>
      </c>
    </row>
    <row r="198" spans="3:33" ht="14.25" customHeight="1">
      <c r="C198" s="108" t="str">
        <f>'Segment Analysis'!C21</f>
        <v>Segment 6</v>
      </c>
      <c r="D198" s="12"/>
      <c r="E198" s="12"/>
      <c r="F198" s="420"/>
      <c r="G198" s="323" t="str">
        <f>IFERROR('Segment Analysis'!G13/'Segment Analysis'!F13-1,"N/A")</f>
        <v>N/A</v>
      </c>
      <c r="H198" s="323" t="str">
        <f>IFERROR('Segment Analysis'!H13/'Segment Analysis'!G13-1,"N/A")</f>
        <v>N/A</v>
      </c>
      <c r="I198" s="323" t="str">
        <f>IFERROR('Segment Analysis'!I13/'Segment Analysis'!H13-1,"N/A")</f>
        <v>N/A</v>
      </c>
      <c r="J198" s="324"/>
      <c r="K198" s="323" t="str">
        <f>IFERROR('Segment Analysis'!K13/'Segment Analysis'!I13-1,"N/A")</f>
        <v>N/A</v>
      </c>
      <c r="L198" s="323" t="str">
        <f>IFERROR('Segment Analysis'!L13/'Segment Analysis'!K13-1,"N/A")</f>
        <v>N/A</v>
      </c>
      <c r="M198" s="323" t="str">
        <f>IFERROR('Segment Analysis'!M13/'Segment Analysis'!L13-1,"N/A")</f>
        <v>N/A</v>
      </c>
      <c r="N198" s="323" t="str">
        <f>IFERROR('Segment Analysis'!N13/'Segment Analysis'!M13-1,"N/A")</f>
        <v>N/A</v>
      </c>
      <c r="O198" s="324"/>
      <c r="P198" s="323" t="str">
        <f>IFERROR('Segment Analysis'!P13/'Segment Analysis'!N13-1,"N/A")</f>
        <v>N/A</v>
      </c>
      <c r="Q198" s="323" t="str">
        <f>IFERROR('Segment Analysis'!Q13/'Segment Analysis'!P13-1,"N/A")</f>
        <v>N/A</v>
      </c>
      <c r="R198" s="323" t="str">
        <f>IFERROR('Segment Analysis'!R13/'Segment Analysis'!Q13-1,"N/A")</f>
        <v>N/A</v>
      </c>
      <c r="S198" s="323" t="str">
        <f>IFERROR('Segment Analysis'!S13/'Segment Analysis'!R13-1,"N/A")</f>
        <v>N/A</v>
      </c>
      <c r="T198" s="324"/>
      <c r="U198" s="323" t="str">
        <f>IFERROR('Segment Analysis'!U13/'Segment Analysis'!S13-1,"N/A")</f>
        <v>N/A</v>
      </c>
      <c r="V198" s="323" t="str">
        <f>IFERROR('Segment Analysis'!V13/'Segment Analysis'!U13-1,"N/A")</f>
        <v>N/A</v>
      </c>
      <c r="W198" s="323" t="str">
        <f>IFERROR('Segment Analysis'!W13/'Segment Analysis'!V13-1,"N/A")</f>
        <v>N/A</v>
      </c>
      <c r="X198" s="325" t="str">
        <f>IFERROR('Segment Analysis'!X13/'Segment Analysis'!W13-1,"N/A")</f>
        <v>N/A</v>
      </c>
      <c r="Y198" s="324"/>
      <c r="Z198" s="325" t="str">
        <f>IFERROR('Segment Analysis'!Z13/'Segment Analysis'!X13-1,"N/A")</f>
        <v>N/A</v>
      </c>
      <c r="AA198" s="325" t="str">
        <f>IFERROR('Segment Analysis'!AA13/'Segment Analysis'!Z13-1,"N/A")</f>
        <v>N/A</v>
      </c>
      <c r="AB198" s="325" t="str">
        <f>IFERROR('Segment Analysis'!AB13/'Segment Analysis'!AA13-1,"N/A")</f>
        <v>N/A</v>
      </c>
      <c r="AC198" s="325" t="str">
        <f>IFERROR('Segment Analysis'!AC13/'Segment Analysis'!AB13-1,"N/A")</f>
        <v>N/A</v>
      </c>
      <c r="AD198" s="324"/>
      <c r="AE198" s="324" t="str">
        <f>IFERROR('Segment Analysis'!AE13/'Segment Analysis'!AD13-1,"N/A")</f>
        <v>N/A</v>
      </c>
      <c r="AF198" s="324" t="str">
        <f>IFERROR('Segment Analysis'!AF13/'Segment Analysis'!AE13-1,"N/A")</f>
        <v>N/A</v>
      </c>
      <c r="AG198" s="324" t="str">
        <f>IFERROR('Segment Analysis'!AG13/'Segment Analysis'!AF13-1,"N/A")</f>
        <v>N/A</v>
      </c>
    </row>
    <row r="199" spans="3:33" ht="14.25" customHeight="1">
      <c r="C199" s="12"/>
      <c r="D199" s="12"/>
      <c r="E199" s="12"/>
      <c r="F199" s="265"/>
      <c r="G199" s="265"/>
      <c r="H199" s="265"/>
      <c r="I199" s="265"/>
      <c r="J199" s="137"/>
      <c r="K199" s="265"/>
      <c r="L199" s="265"/>
      <c r="M199" s="265"/>
      <c r="N199" s="265"/>
      <c r="O199" s="137"/>
      <c r="P199" s="265"/>
      <c r="Q199" s="265"/>
      <c r="R199" s="265"/>
      <c r="S199" s="265"/>
      <c r="T199" s="137"/>
      <c r="U199" s="265"/>
      <c r="V199" s="265"/>
      <c r="W199" s="265"/>
      <c r="X199" s="268"/>
      <c r="Y199" s="137"/>
      <c r="Z199" s="268"/>
      <c r="AA199" s="268"/>
      <c r="AB199" s="268"/>
      <c r="AC199" s="268"/>
      <c r="AD199" s="137"/>
      <c r="AE199" s="137"/>
      <c r="AF199" s="137"/>
      <c r="AG199" s="137"/>
    </row>
    <row r="200" spans="3:33" ht="14.25" customHeight="1">
      <c r="C200" s="108" t="str">
        <f t="shared" ref="C200:C204" si="159">C89</f>
        <v>North America</v>
      </c>
      <c r="D200" s="12"/>
      <c r="E200" s="12"/>
      <c r="F200" s="420"/>
      <c r="G200" s="323" t="str">
        <f t="shared" ref="G200:I200" si="160">IFERROR(G88/F88-1,"N/A")</f>
        <v>N/A</v>
      </c>
      <c r="H200" s="323" t="str">
        <f t="shared" si="160"/>
        <v>N/A</v>
      </c>
      <c r="I200" s="323" t="str">
        <f t="shared" si="160"/>
        <v>N/A</v>
      </c>
      <c r="J200" s="137"/>
      <c r="K200" s="323" t="str">
        <f t="shared" ref="K200:K204" si="161">IFERROR(K88/I88-1,"N/A")</f>
        <v>N/A</v>
      </c>
      <c r="L200" s="323" t="str">
        <f t="shared" ref="L200:N200" si="162">IFERROR(L88/K88-1,"N/A")</f>
        <v>N/A</v>
      </c>
      <c r="M200" s="323" t="str">
        <f t="shared" si="162"/>
        <v>N/A</v>
      </c>
      <c r="N200" s="323" t="str">
        <f t="shared" si="162"/>
        <v>N/A</v>
      </c>
      <c r="O200" s="324"/>
      <c r="P200" s="323" t="str">
        <f t="shared" ref="P200:P204" si="163">IFERROR(P88/N88-1,"N/A")</f>
        <v>N/A</v>
      </c>
      <c r="Q200" s="323" t="str">
        <f t="shared" ref="Q200:S200" si="164">IFERROR(Q88/P88-1,"N/A")</f>
        <v>N/A</v>
      </c>
      <c r="R200" s="323" t="str">
        <f t="shared" si="164"/>
        <v>N/A</v>
      </c>
      <c r="S200" s="323" t="str">
        <f t="shared" si="164"/>
        <v>N/A</v>
      </c>
      <c r="T200" s="324"/>
      <c r="U200" s="323" t="str">
        <f t="shared" ref="U200:U204" si="165">IFERROR(U88/S88-1,"N/A")</f>
        <v>N/A</v>
      </c>
      <c r="V200" s="323" t="str">
        <f t="shared" ref="V200:X200" si="166">IFERROR(V88/U88-1,"N/A")</f>
        <v>N/A</v>
      </c>
      <c r="W200" s="323" t="str">
        <f t="shared" si="166"/>
        <v>N/A</v>
      </c>
      <c r="X200" s="325" t="str">
        <f t="shared" si="166"/>
        <v>N/A</v>
      </c>
      <c r="Y200" s="324"/>
      <c r="Z200" s="325" t="str">
        <f t="shared" ref="Z200:Z204" si="167">IFERROR(Z88/X88-1,"N/A")</f>
        <v>N/A</v>
      </c>
      <c r="AA200" s="325" t="str">
        <f t="shared" ref="AA200:AC200" si="168">IFERROR(AA88/Z88-1,"N/A")</f>
        <v>N/A</v>
      </c>
      <c r="AB200" s="325" t="str">
        <f t="shared" si="168"/>
        <v>N/A</v>
      </c>
      <c r="AC200" s="325" t="str">
        <f t="shared" si="168"/>
        <v>N/A</v>
      </c>
      <c r="AD200" s="324"/>
      <c r="AE200" s="324" t="str">
        <f t="shared" ref="AE200:AG200" si="169">IFERROR(AE88/AD88-1,"N/A")</f>
        <v>N/A</v>
      </c>
      <c r="AF200" s="324" t="str">
        <f t="shared" si="169"/>
        <v>N/A</v>
      </c>
      <c r="AG200" s="324" t="str">
        <f t="shared" si="169"/>
        <v>N/A</v>
      </c>
    </row>
    <row r="201" spans="3:33" ht="14.25" customHeight="1">
      <c r="C201" s="108" t="str">
        <f t="shared" si="159"/>
        <v>Europe</v>
      </c>
      <c r="D201" s="12"/>
      <c r="E201" s="12"/>
      <c r="F201" s="420"/>
      <c r="G201" s="323" t="str">
        <f t="shared" ref="G201:I201" si="170">IFERROR(G89/F89-1,"N/A")</f>
        <v>N/A</v>
      </c>
      <c r="H201" s="323" t="str">
        <f t="shared" si="170"/>
        <v>N/A</v>
      </c>
      <c r="I201" s="323" t="str">
        <f t="shared" si="170"/>
        <v>N/A</v>
      </c>
      <c r="J201" s="137"/>
      <c r="K201" s="323" t="str">
        <f t="shared" si="161"/>
        <v>N/A</v>
      </c>
      <c r="L201" s="323" t="str">
        <f t="shared" ref="L201:N201" si="171">IFERROR(L89/K89-1,"N/A")</f>
        <v>N/A</v>
      </c>
      <c r="M201" s="323" t="str">
        <f t="shared" si="171"/>
        <v>N/A</v>
      </c>
      <c r="N201" s="323" t="str">
        <f t="shared" si="171"/>
        <v>N/A</v>
      </c>
      <c r="O201" s="324"/>
      <c r="P201" s="323" t="str">
        <f t="shared" si="163"/>
        <v>N/A</v>
      </c>
      <c r="Q201" s="323" t="str">
        <f t="shared" ref="Q201:S201" si="172">IFERROR(Q89/P89-1,"N/A")</f>
        <v>N/A</v>
      </c>
      <c r="R201" s="323" t="str">
        <f t="shared" si="172"/>
        <v>N/A</v>
      </c>
      <c r="S201" s="323" t="str">
        <f t="shared" si="172"/>
        <v>N/A</v>
      </c>
      <c r="T201" s="324"/>
      <c r="U201" s="323" t="str">
        <f t="shared" si="165"/>
        <v>N/A</v>
      </c>
      <c r="V201" s="323" t="str">
        <f t="shared" ref="V201:X201" si="173">IFERROR(V89/U89-1,"N/A")</f>
        <v>N/A</v>
      </c>
      <c r="W201" s="323" t="str">
        <f t="shared" si="173"/>
        <v>N/A</v>
      </c>
      <c r="X201" s="325" t="str">
        <f t="shared" si="173"/>
        <v>N/A</v>
      </c>
      <c r="Y201" s="324"/>
      <c r="Z201" s="325" t="str">
        <f t="shared" si="167"/>
        <v>N/A</v>
      </c>
      <c r="AA201" s="325" t="str">
        <f t="shared" ref="AA201:AC201" si="174">IFERROR(AA89/Z89-1,"N/A")</f>
        <v>N/A</v>
      </c>
      <c r="AB201" s="325" t="str">
        <f t="shared" si="174"/>
        <v>N/A</v>
      </c>
      <c r="AC201" s="325" t="str">
        <f t="shared" si="174"/>
        <v>N/A</v>
      </c>
      <c r="AD201" s="324"/>
      <c r="AE201" s="324" t="str">
        <f t="shared" ref="AE201:AG201" si="175">IFERROR(AE89/AD89-1,"N/A")</f>
        <v>N/A</v>
      </c>
      <c r="AF201" s="324" t="str">
        <f t="shared" si="175"/>
        <v>N/A</v>
      </c>
      <c r="AG201" s="324" t="str">
        <f t="shared" si="175"/>
        <v>N/A</v>
      </c>
    </row>
    <row r="202" spans="3:33" ht="14.25" customHeight="1">
      <c r="C202" s="108" t="str">
        <f t="shared" si="159"/>
        <v>South America</v>
      </c>
      <c r="D202" s="12"/>
      <c r="E202" s="12"/>
      <c r="F202" s="420"/>
      <c r="G202" s="323" t="str">
        <f t="shared" ref="G202:I202" si="176">IFERROR(G90/F90-1,"N/A")</f>
        <v>N/A</v>
      </c>
      <c r="H202" s="323" t="str">
        <f t="shared" si="176"/>
        <v>N/A</v>
      </c>
      <c r="I202" s="323" t="str">
        <f t="shared" si="176"/>
        <v>N/A</v>
      </c>
      <c r="J202" s="137"/>
      <c r="K202" s="323" t="str">
        <f t="shared" si="161"/>
        <v>N/A</v>
      </c>
      <c r="L202" s="323" t="str">
        <f t="shared" ref="L202:N202" si="177">IFERROR(L90/K90-1,"N/A")</f>
        <v>N/A</v>
      </c>
      <c r="M202" s="323" t="str">
        <f t="shared" si="177"/>
        <v>N/A</v>
      </c>
      <c r="N202" s="323" t="str">
        <f t="shared" si="177"/>
        <v>N/A</v>
      </c>
      <c r="O202" s="324"/>
      <c r="P202" s="323" t="str">
        <f t="shared" si="163"/>
        <v>N/A</v>
      </c>
      <c r="Q202" s="323" t="str">
        <f t="shared" ref="Q202:S202" si="178">IFERROR(Q90/P90-1,"N/A")</f>
        <v>N/A</v>
      </c>
      <c r="R202" s="323" t="str">
        <f t="shared" si="178"/>
        <v>N/A</v>
      </c>
      <c r="S202" s="323" t="str">
        <f t="shared" si="178"/>
        <v>N/A</v>
      </c>
      <c r="T202" s="324"/>
      <c r="U202" s="323" t="str">
        <f t="shared" si="165"/>
        <v>N/A</v>
      </c>
      <c r="V202" s="323" t="str">
        <f t="shared" ref="V202:X202" si="179">IFERROR(V90/U90-1,"N/A")</f>
        <v>N/A</v>
      </c>
      <c r="W202" s="323" t="str">
        <f t="shared" si="179"/>
        <v>N/A</v>
      </c>
      <c r="X202" s="325" t="str">
        <f t="shared" si="179"/>
        <v>N/A</v>
      </c>
      <c r="Y202" s="324"/>
      <c r="Z202" s="325" t="str">
        <f t="shared" si="167"/>
        <v>N/A</v>
      </c>
      <c r="AA202" s="325" t="str">
        <f t="shared" ref="AA202:AC202" si="180">IFERROR(AA90/Z90-1,"N/A")</f>
        <v>N/A</v>
      </c>
      <c r="AB202" s="325" t="str">
        <f t="shared" si="180"/>
        <v>N/A</v>
      </c>
      <c r="AC202" s="325" t="str">
        <f t="shared" si="180"/>
        <v>N/A</v>
      </c>
      <c r="AD202" s="324"/>
      <c r="AE202" s="324" t="str">
        <f t="shared" ref="AE202:AG202" si="181">IFERROR(AE90/AD90-1,"N/A")</f>
        <v>N/A</v>
      </c>
      <c r="AF202" s="324" t="str">
        <f t="shared" si="181"/>
        <v>N/A</v>
      </c>
      <c r="AG202" s="324" t="str">
        <f t="shared" si="181"/>
        <v>N/A</v>
      </c>
    </row>
    <row r="203" spans="3:33" ht="14.25" customHeight="1">
      <c r="C203" s="108" t="str">
        <f t="shared" si="159"/>
        <v>Middle East &amp; Africa</v>
      </c>
      <c r="D203" s="12"/>
      <c r="E203" s="12"/>
      <c r="F203" s="420"/>
      <c r="G203" s="323" t="str">
        <f t="shared" ref="G203:I203" si="182">IFERROR(G91/F91-1,"N/A")</f>
        <v>N/A</v>
      </c>
      <c r="H203" s="323" t="str">
        <f t="shared" si="182"/>
        <v>N/A</v>
      </c>
      <c r="I203" s="323" t="str">
        <f t="shared" si="182"/>
        <v>N/A</v>
      </c>
      <c r="J203" s="137"/>
      <c r="K203" s="323" t="str">
        <f t="shared" si="161"/>
        <v>N/A</v>
      </c>
      <c r="L203" s="323" t="str">
        <f t="shared" ref="L203:N203" si="183">IFERROR(L91/K91-1,"N/A")</f>
        <v>N/A</v>
      </c>
      <c r="M203" s="323" t="str">
        <f t="shared" si="183"/>
        <v>N/A</v>
      </c>
      <c r="N203" s="323" t="str">
        <f t="shared" si="183"/>
        <v>N/A</v>
      </c>
      <c r="O203" s="324"/>
      <c r="P203" s="323" t="str">
        <f t="shared" si="163"/>
        <v>N/A</v>
      </c>
      <c r="Q203" s="323" t="str">
        <f t="shared" ref="Q203:S203" si="184">IFERROR(Q91/P91-1,"N/A")</f>
        <v>N/A</v>
      </c>
      <c r="R203" s="323" t="str">
        <f t="shared" si="184"/>
        <v>N/A</v>
      </c>
      <c r="S203" s="323" t="str">
        <f t="shared" si="184"/>
        <v>N/A</v>
      </c>
      <c r="T203" s="324"/>
      <c r="U203" s="323" t="str">
        <f t="shared" si="165"/>
        <v>N/A</v>
      </c>
      <c r="V203" s="323" t="str">
        <f t="shared" ref="V203:X203" si="185">IFERROR(V91/U91-1,"N/A")</f>
        <v>N/A</v>
      </c>
      <c r="W203" s="323" t="str">
        <f t="shared" si="185"/>
        <v>N/A</v>
      </c>
      <c r="X203" s="325" t="str">
        <f t="shared" si="185"/>
        <v>N/A</v>
      </c>
      <c r="Y203" s="324"/>
      <c r="Z203" s="325" t="str">
        <f t="shared" si="167"/>
        <v>N/A</v>
      </c>
      <c r="AA203" s="325" t="str">
        <f t="shared" ref="AA203:AC203" si="186">IFERROR(AA91/Z91-1,"N/A")</f>
        <v>N/A</v>
      </c>
      <c r="AB203" s="325" t="str">
        <f t="shared" si="186"/>
        <v>N/A</v>
      </c>
      <c r="AC203" s="325" t="str">
        <f t="shared" si="186"/>
        <v>N/A</v>
      </c>
      <c r="AD203" s="324"/>
      <c r="AE203" s="324" t="str">
        <f t="shared" ref="AE203:AG203" si="187">IFERROR(AE91/AD91-1,"N/A")</f>
        <v>N/A</v>
      </c>
      <c r="AF203" s="324" t="str">
        <f t="shared" si="187"/>
        <v>N/A</v>
      </c>
      <c r="AG203" s="324" t="str">
        <f t="shared" si="187"/>
        <v>N/A</v>
      </c>
    </row>
    <row r="204" spans="3:33" ht="14.25" customHeight="1">
      <c r="C204" s="108" t="str">
        <f t="shared" si="159"/>
        <v>Asia Pacific</v>
      </c>
      <c r="D204" s="12"/>
      <c r="E204" s="12"/>
      <c r="F204" s="420"/>
      <c r="G204" s="323" t="str">
        <f t="shared" ref="G204:I204" si="188">IFERROR(G92/F92-1,"N/A")</f>
        <v>N/A</v>
      </c>
      <c r="H204" s="323" t="str">
        <f t="shared" si="188"/>
        <v>N/A</v>
      </c>
      <c r="I204" s="323" t="str">
        <f t="shared" si="188"/>
        <v>N/A</v>
      </c>
      <c r="J204" s="137"/>
      <c r="K204" s="323" t="str">
        <f t="shared" si="161"/>
        <v>N/A</v>
      </c>
      <c r="L204" s="323" t="str">
        <f t="shared" ref="L204:N204" si="189">IFERROR(L92/K92-1,"N/A")</f>
        <v>N/A</v>
      </c>
      <c r="M204" s="323" t="str">
        <f t="shared" si="189"/>
        <v>N/A</v>
      </c>
      <c r="N204" s="323" t="str">
        <f t="shared" si="189"/>
        <v>N/A</v>
      </c>
      <c r="O204" s="324"/>
      <c r="P204" s="323" t="str">
        <f t="shared" si="163"/>
        <v>N/A</v>
      </c>
      <c r="Q204" s="323" t="str">
        <f t="shared" ref="Q204:S204" si="190">IFERROR(Q92/P92-1,"N/A")</f>
        <v>N/A</v>
      </c>
      <c r="R204" s="323" t="str">
        <f t="shared" si="190"/>
        <v>N/A</v>
      </c>
      <c r="S204" s="323" t="str">
        <f t="shared" si="190"/>
        <v>N/A</v>
      </c>
      <c r="T204" s="324"/>
      <c r="U204" s="323" t="str">
        <f t="shared" si="165"/>
        <v>N/A</v>
      </c>
      <c r="V204" s="323" t="str">
        <f t="shared" ref="V204:X204" si="191">IFERROR(V92/U92-1,"N/A")</f>
        <v>N/A</v>
      </c>
      <c r="W204" s="323" t="str">
        <f t="shared" si="191"/>
        <v>N/A</v>
      </c>
      <c r="X204" s="325" t="str">
        <f t="shared" si="191"/>
        <v>N/A</v>
      </c>
      <c r="Y204" s="324"/>
      <c r="Z204" s="325" t="str">
        <f t="shared" si="167"/>
        <v>N/A</v>
      </c>
      <c r="AA204" s="325" t="str">
        <f t="shared" ref="AA204:AC204" si="192">IFERROR(AA92/Z92-1,"N/A")</f>
        <v>N/A</v>
      </c>
      <c r="AB204" s="325" t="str">
        <f t="shared" si="192"/>
        <v>N/A</v>
      </c>
      <c r="AC204" s="325" t="str">
        <f t="shared" si="192"/>
        <v>N/A</v>
      </c>
      <c r="AD204" s="324"/>
      <c r="AE204" s="324" t="str">
        <f t="shared" ref="AE204:AG204" si="193">IFERROR(AE92/AD92-1,"N/A")</f>
        <v>N/A</v>
      </c>
      <c r="AF204" s="324" t="str">
        <f t="shared" si="193"/>
        <v>N/A</v>
      </c>
      <c r="AG204" s="324" t="str">
        <f t="shared" si="193"/>
        <v>N/A</v>
      </c>
    </row>
    <row r="205" spans="3:33" ht="14.25" customHeight="1">
      <c r="C205" s="12"/>
      <c r="D205" s="12"/>
      <c r="E205" s="12"/>
      <c r="F205" s="265"/>
      <c r="G205" s="265"/>
      <c r="H205" s="265"/>
      <c r="I205" s="265"/>
      <c r="J205" s="137"/>
      <c r="K205" s="265"/>
      <c r="L205" s="265"/>
      <c r="M205" s="265"/>
      <c r="N205" s="265"/>
      <c r="O205" s="137"/>
      <c r="P205" s="265"/>
      <c r="Q205" s="265"/>
      <c r="R205" s="265"/>
      <c r="S205" s="265"/>
      <c r="T205" s="137"/>
      <c r="U205" s="265"/>
      <c r="V205" s="265"/>
      <c r="W205" s="265"/>
      <c r="X205" s="268"/>
      <c r="Y205" s="137"/>
      <c r="Z205" s="268"/>
      <c r="AA205" s="268"/>
      <c r="AB205" s="268"/>
      <c r="AC205" s="268"/>
      <c r="AD205" s="137"/>
      <c r="AE205" s="137"/>
      <c r="AF205" s="137"/>
      <c r="AG205" s="137"/>
    </row>
    <row r="206" spans="3:33" ht="14.25" customHeight="1">
      <c r="C206" s="12" t="s">
        <v>474</v>
      </c>
      <c r="D206" s="12"/>
      <c r="E206" s="12"/>
      <c r="F206" s="420"/>
      <c r="G206" s="323">
        <f>IFERROR(Model!G36/Model!F36-1,"N/A")</f>
        <v>6.5837298469302752E-2</v>
      </c>
      <c r="H206" s="323">
        <f>IFERROR(Model!H36/Model!G36-1,"N/A")</f>
        <v>4.8824337792109596E-2</v>
      </c>
      <c r="I206" s="323">
        <f>IFERROR(Model!I36/Model!H36-1,"N/A")</f>
        <v>-6.4116554320249373</v>
      </c>
      <c r="J206" s="324"/>
      <c r="K206" s="323">
        <f>IFERROR(Model!K36/Model!J36-1,"N/A")</f>
        <v>-1.5358335182181047</v>
      </c>
      <c r="L206" s="323">
        <f>IFERROR(Model!L36/Model!K36-1,"N/A")</f>
        <v>-1.1280765984408969E-2</v>
      </c>
      <c r="M206" s="323">
        <f>IFERROR(Model!M36/Model!L36-1,"N/A")</f>
        <v>0.11780991279899578</v>
      </c>
      <c r="N206" s="323">
        <f>IFERROR(Model!N36/Model!M36-1,"N/A")</f>
        <v>-0.21884036203070156</v>
      </c>
      <c r="O206" s="324"/>
      <c r="P206" s="323">
        <f>IFERROR(Model!P36/Model!O36-1,"N/A")</f>
        <v>-0.67871731473252905</v>
      </c>
      <c r="Q206" s="323">
        <f>IFERROR(Model!Q36/Model!P36-1,"N/A")</f>
        <v>0.12778462138769697</v>
      </c>
      <c r="R206" s="323">
        <f>IFERROR(Model!R36/Model!Q36-1,"N/A")</f>
        <v>-0.13946746411762123</v>
      </c>
      <c r="S206" s="323">
        <f>IFERROR(Model!S36/Model!R36-1,"N/A")</f>
        <v>-8.9766572554365598E-2</v>
      </c>
      <c r="T206" s="324"/>
      <c r="U206" s="323">
        <f>IFERROR(Model!U36/Model!T36-1,"N/A")</f>
        <v>-0.70307534485720025</v>
      </c>
      <c r="V206" s="323">
        <f>IFERROR(Model!V36/Model!U36-1,"N/A")</f>
        <v>6.3938132882082055E-2</v>
      </c>
      <c r="W206" s="323">
        <f>IFERROR(Model!W36/Model!V36-1,"N/A")</f>
        <v>-0.33752969121140142</v>
      </c>
      <c r="X206" s="325">
        <f>IFERROR(Model!X36/Model!W36-1,"N/A")</f>
        <v>-1.8213253854428113</v>
      </c>
      <c r="Y206" s="324"/>
      <c r="Z206" s="325">
        <f>IFERROR(Model!Z36/Model!Y36-1,"N/A")</f>
        <v>-1.2903078482209633</v>
      </c>
      <c r="AA206" s="325">
        <f>IFERROR(Model!AA36/Model!Z36-1,"N/A")</f>
        <v>6.5299149895915676E-2</v>
      </c>
      <c r="AB206" s="325">
        <f>IFERROR(Model!AB36/Model!AA36-1,"N/A")</f>
        <v>8.9438237352002181E-2</v>
      </c>
      <c r="AC206" s="325">
        <f>IFERROR(Model!AC36/Model!AB36-1,"N/A")</f>
        <v>-0.16936014699085644</v>
      </c>
      <c r="AD206" s="324"/>
      <c r="AE206" s="324">
        <f>IFERROR(Model!AE36/Model!AD36-1,"N/A")</f>
        <v>-9.1273820240671433E-2</v>
      </c>
      <c r="AF206" s="324">
        <f>IFERROR(Model!AF36/Model!AE36-1,"N/A")</f>
        <v>-3.4658401511296177E-2</v>
      </c>
      <c r="AG206" s="324">
        <f>IFERROR(Model!AG36/Model!AF36-1,"N/A")</f>
        <v>-6.2147864208970893E-2</v>
      </c>
    </row>
    <row r="207" spans="3:33" ht="14.25" customHeight="1">
      <c r="C207" s="12"/>
      <c r="D207" s="12"/>
      <c r="E207" s="12"/>
      <c r="F207" s="265"/>
      <c r="G207" s="265"/>
      <c r="H207" s="265"/>
      <c r="I207" s="265"/>
      <c r="J207" s="137"/>
      <c r="K207" s="265"/>
      <c r="L207" s="265"/>
      <c r="M207" s="265"/>
      <c r="N207" s="265"/>
      <c r="O207" s="137"/>
      <c r="P207" s="265"/>
      <c r="Q207" s="265"/>
      <c r="R207" s="265"/>
      <c r="S207" s="265"/>
      <c r="T207" s="137"/>
      <c r="U207" s="265"/>
      <c r="V207" s="265"/>
      <c r="W207" s="265"/>
      <c r="X207" s="268"/>
      <c r="Y207" s="137"/>
      <c r="Z207" s="268"/>
      <c r="AA207" s="268"/>
      <c r="AB207" s="268"/>
      <c r="AC207" s="268"/>
      <c r="AD207" s="137"/>
      <c r="AE207" s="137"/>
      <c r="AF207" s="137"/>
      <c r="AG207" s="137"/>
    </row>
    <row r="208" spans="3:33" ht="14.25" customHeight="1">
      <c r="C208" s="12" t="s">
        <v>475</v>
      </c>
      <c r="D208" s="12"/>
      <c r="E208" s="12"/>
      <c r="F208" s="420"/>
      <c r="G208" s="323">
        <f>IFERROR(Model!G61/Model!F61-1,"N/A")</f>
        <v>0.15673714378173731</v>
      </c>
      <c r="H208" s="323">
        <f>IFERROR(Model!H61/Model!G61-1,"N/A")</f>
        <v>6.1971499031380661E-2</v>
      </c>
      <c r="I208" s="323">
        <f>IFERROR(Model!I61/Model!H61-1,"N/A")</f>
        <v>-4.977904923780061</v>
      </c>
      <c r="J208" s="324"/>
      <c r="K208" s="323">
        <f>IFERROR(Model!K61/Model!I61-1,"N/A")</f>
        <v>-1.3002816574311726</v>
      </c>
      <c r="L208" s="323">
        <f>IFERROR(Model!L61/Model!K61-1,"N/A")</f>
        <v>1.6554143105196983E-2</v>
      </c>
      <c r="M208" s="323">
        <f>IFERROR(Model!M61/Model!L61-1,"N/A")</f>
        <v>0.12519791045197537</v>
      </c>
      <c r="N208" s="323">
        <f>IFERROR(Model!N61/Model!M61-1,"N/A")</f>
        <v>-0.15275095736360245</v>
      </c>
      <c r="O208" s="324"/>
      <c r="P208" s="323">
        <f>IFERROR(Model!P61/Model!N61-1,"N/A")</f>
        <v>0.3383962824771789</v>
      </c>
      <c r="Q208" s="323">
        <f>IFERROR(Model!Q61/Model!P61-1,"N/A")</f>
        <v>0.12450001834260882</v>
      </c>
      <c r="R208" s="323">
        <f>IFERROR(Model!R61/Model!Q61-1,"N/A")</f>
        <v>7.2526880147437689E-2</v>
      </c>
      <c r="S208" s="323">
        <f>IFERROR(Model!S61/Model!R61-1,"N/A")</f>
        <v>-0.26547882326783823</v>
      </c>
      <c r="T208" s="324"/>
      <c r="U208" s="323">
        <f>IFERROR(Model!U61/Model!S61-1,"N/A")</f>
        <v>0.33290957935954402</v>
      </c>
      <c r="V208" s="323">
        <f>IFERROR(Model!V61/Model!U61-1,"N/A")</f>
        <v>0.13892688873480719</v>
      </c>
      <c r="W208" s="323">
        <f>IFERROR(Model!W61/Model!V61-1,"N/A")</f>
        <v>-0.30569387313271268</v>
      </c>
      <c r="X208" s="325" t="str">
        <f ca="1">IFERROR(Model!X61/Model!W61-1,"N/A")</f>
        <v>N/A</v>
      </c>
      <c r="Y208" s="324"/>
      <c r="Z208" s="325" t="str">
        <f ca="1">IFERROR(Model!Z61/Model!X61-1,"N/A")</f>
        <v>N/A</v>
      </c>
      <c r="AA208" s="325" t="str">
        <f ca="1">IFERROR(Model!AA61/Model!Z61-1,"N/A")</f>
        <v>N/A</v>
      </c>
      <c r="AB208" s="325" t="str">
        <f ca="1">IFERROR(Model!AB61/Model!AA61-1,"N/A")</f>
        <v>N/A</v>
      </c>
      <c r="AC208" s="325" t="str">
        <f ca="1">IFERROR(Model!AC61/Model!AB61-1,"N/A")</f>
        <v>N/A</v>
      </c>
      <c r="AD208" s="324"/>
      <c r="AE208" s="324" t="str">
        <f ca="1">IFERROR(Model!AE61/Model!AD61-1,"N/A")</f>
        <v>N/A</v>
      </c>
      <c r="AF208" s="324" t="str">
        <f ca="1">IFERROR(Model!AF61/Model!AE61-1,"N/A")</f>
        <v>N/A</v>
      </c>
      <c r="AG208" s="324" t="str">
        <f ca="1">IFERROR(Model!AG61/Model!AF61-1,"N/A")</f>
        <v>N/A</v>
      </c>
    </row>
    <row r="209" spans="3:33" ht="14.25" customHeight="1">
      <c r="C209" s="12"/>
      <c r="D209" s="40"/>
      <c r="E209" s="40"/>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3:33" ht="14.25" customHeight="1">
      <c r="C210" s="55" t="s">
        <v>262</v>
      </c>
      <c r="D210" s="15"/>
      <c r="E210" s="15"/>
      <c r="F210" s="259"/>
      <c r="G210" s="259"/>
      <c r="H210" s="259"/>
      <c r="I210" s="259"/>
      <c r="J210" s="259"/>
      <c r="K210" s="259"/>
      <c r="L210" s="259"/>
      <c r="M210" s="259"/>
      <c r="N210" s="259"/>
      <c r="O210" s="259"/>
      <c r="P210" s="259"/>
      <c r="Q210" s="259"/>
      <c r="R210" s="259"/>
      <c r="S210" s="259"/>
      <c r="T210" s="259"/>
      <c r="U210" s="259"/>
      <c r="V210" s="259"/>
      <c r="W210" s="259"/>
      <c r="X210" s="259"/>
      <c r="Y210" s="259"/>
      <c r="Z210" s="259"/>
      <c r="AA210" s="259"/>
      <c r="AB210" s="259"/>
      <c r="AC210" s="259"/>
      <c r="AD210" s="259"/>
      <c r="AE210" s="259"/>
      <c r="AF210" s="259"/>
      <c r="AG210" s="260"/>
    </row>
    <row r="211" spans="3:33" ht="14.25" customHeight="1"/>
    <row r="212" spans="3:33" ht="14.25" customHeight="1"/>
    <row r="213" spans="3:33" ht="14.25" customHeight="1"/>
    <row r="214" spans="3:33" ht="14.25" customHeight="1"/>
    <row r="215" spans="3:33" ht="14.25" customHeight="1"/>
    <row r="216" spans="3:33" ht="14.25" customHeight="1"/>
    <row r="217" spans="3:33" ht="14.25" customHeight="1"/>
    <row r="218" spans="3:33" ht="14.25" customHeight="1"/>
    <row r="219" spans="3:33" ht="14.25" customHeight="1"/>
    <row r="220" spans="3:33" ht="14.25" customHeight="1"/>
    <row r="221" spans="3:33" ht="14.25" customHeight="1"/>
    <row r="222" spans="3:33" ht="14.25" customHeight="1"/>
    <row r="223" spans="3:33" ht="14.25" customHeight="1"/>
    <row r="224" spans="3:33"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0"/>
  <sheetViews>
    <sheetView showGridLines="0" zoomScaleNormal="100" workbookViewId="0">
      <pane xSplit="4" ySplit="2" topLeftCell="E3" activePane="bottomRight" state="frozen"/>
      <selection pane="topRight"/>
      <selection pane="bottomLeft"/>
      <selection pane="bottomRight" activeCell="E3" sqref="E3"/>
    </sheetView>
  </sheetViews>
  <sheetFormatPr baseColWidth="10" defaultColWidth="14.5" defaultRowHeight="15" outlineLevelCol="1"/>
  <cols>
    <col min="1" max="2" width="1.6640625" customWidth="1"/>
    <col min="3" max="3" width="51.33203125" customWidth="1"/>
    <col min="4" max="5" width="1.6640625" customWidth="1"/>
    <col min="6" max="9" width="12.6640625" customWidth="1" outlineLevel="1" collapsed="1"/>
    <col min="10" max="10" width="12.6640625" customWidth="1"/>
    <col min="11" max="14" width="12.6640625" customWidth="1" outlineLevel="1" collapsed="1"/>
    <col min="15" max="15" width="12.6640625" customWidth="1"/>
    <col min="16" max="19" width="12.6640625" customWidth="1" outlineLevel="1" collapsed="1"/>
    <col min="20" max="20" width="12.6640625" customWidth="1"/>
    <col min="21" max="23" width="12.6640625" customWidth="1" outlineLevel="1" collapsed="1"/>
    <col min="24" max="24" width="10.33203125" customWidth="1" outlineLevel="1" collapsed="1"/>
    <col min="25" max="25" width="12.6640625" customWidth="1"/>
    <col min="26" max="26" width="10.33203125" customWidth="1" outlineLevel="1" collapsed="1"/>
    <col min="27" max="27" width="11.5" customWidth="1" outlineLevel="1" collapsed="1"/>
    <col min="28" max="28" width="9.5" customWidth="1" outlineLevel="1" collapsed="1"/>
    <col min="29" max="29" width="10.33203125" customWidth="1" outlineLevel="1" collapsed="1"/>
    <col min="30" max="33" width="12.6640625" customWidth="1"/>
    <col min="34" max="35" width="1.6640625" customWidth="1"/>
  </cols>
  <sheetData>
    <row r="1" spans="1:35" ht="12.75" customHeight="1">
      <c r="A1" s="7"/>
      <c r="B1" s="7"/>
      <c r="C1" s="8" t="str">
        <f ca="1">Company_Name&amp;" - "&amp;MID(CELL("filename",A1),FIND("]",CELL("filename",A1))+1,255)&amp;": "&amp;Case_Scenario&amp;" Case"</f>
        <v>NETFLIX INC - Drivers: Base Case</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5" ht="12.7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c r="A4" s="211" t="s">
        <v>1</v>
      </c>
      <c r="B4" s="12"/>
      <c r="C4" s="296" t="s">
        <v>477</v>
      </c>
      <c r="D4" s="319"/>
      <c r="E4" s="319"/>
      <c r="F4" s="297" t="str">
        <f>Model!F$25</f>
        <v>1Q23</v>
      </c>
      <c r="G4" s="147" t="str">
        <f>Model!G$25</f>
        <v>2Q23</v>
      </c>
      <c r="H4" s="147" t="str">
        <f>Model!H$25</f>
        <v>3Q23</v>
      </c>
      <c r="I4" s="147" t="str">
        <f>Model!I$25</f>
        <v>4Q23</v>
      </c>
      <c r="J4" s="147">
        <f>Model!J$25</f>
        <v>2023</v>
      </c>
      <c r="K4" s="147" t="str">
        <f>Model!K$25</f>
        <v>1Q24</v>
      </c>
      <c r="L4" s="147" t="str">
        <f>Model!L$25</f>
        <v>2Q24</v>
      </c>
      <c r="M4" s="147" t="str">
        <f>Model!M$25</f>
        <v>3Q24</v>
      </c>
      <c r="N4" s="147" t="str">
        <f>Model!N$25</f>
        <v>4Q24</v>
      </c>
      <c r="O4" s="147">
        <f>Model!O$25</f>
        <v>2024</v>
      </c>
      <c r="P4" s="147" t="str">
        <f>Model!P$25</f>
        <v>1Q25</v>
      </c>
      <c r="Q4" s="147" t="str">
        <f>Model!Q$25</f>
        <v>2Q25</v>
      </c>
      <c r="R4" s="147" t="str">
        <f>Model!R$25</f>
        <v>3Q25</v>
      </c>
      <c r="S4" s="147" t="str">
        <f>Model!S$25</f>
        <v>4Q25</v>
      </c>
      <c r="T4" s="147">
        <f>Model!T$25</f>
        <v>2025</v>
      </c>
      <c r="U4" s="147" t="str">
        <f>Model!U$25</f>
        <v>1Q26</v>
      </c>
      <c r="V4" s="147" t="str">
        <f>Model!V$25</f>
        <v>2Q26</v>
      </c>
      <c r="W4" s="147" t="str">
        <f>Model!W$25</f>
        <v>3Q26e</v>
      </c>
      <c r="X4" s="147" t="str">
        <f>Model!X$25</f>
        <v>4Q26e</v>
      </c>
      <c r="Y4" s="147" t="str">
        <f>Model!Y$25</f>
        <v>2026e</v>
      </c>
      <c r="Z4" s="147" t="str">
        <f>Model!Z$25</f>
        <v>1Q27e</v>
      </c>
      <c r="AA4" s="147" t="str">
        <f>Model!AA$25</f>
        <v>2Q27e</v>
      </c>
      <c r="AB4" s="147" t="str">
        <f>Model!AB$25</f>
        <v>3Q27e</v>
      </c>
      <c r="AC4" s="147" t="str">
        <f>Model!AC$25</f>
        <v>4Q27e</v>
      </c>
      <c r="AD4" s="147" t="str">
        <f>Model!AD$25</f>
        <v>2027e</v>
      </c>
      <c r="AE4" s="147" t="str">
        <f>Model!AE$25</f>
        <v>2028e</v>
      </c>
      <c r="AF4" s="147" t="str">
        <f>Model!AF$25</f>
        <v>2029e</v>
      </c>
      <c r="AG4" s="298" t="str">
        <f>Model!AG$25</f>
        <v>2030e</v>
      </c>
      <c r="AH4" s="211" t="s">
        <v>1</v>
      </c>
      <c r="AI4" s="211"/>
    </row>
    <row r="5" spans="1:35" ht="12.75" customHeight="1">
      <c r="A5" s="211"/>
      <c r="B5" s="12"/>
      <c r="C5" s="453" t="str">
        <f>IF(Cover!$F$37="Bottom Up","Operating Margins","Gross Margin")</f>
        <v>Gross Margin</v>
      </c>
      <c r="D5" s="454"/>
      <c r="E5" s="454"/>
      <c r="F5" s="455"/>
      <c r="G5" s="456"/>
      <c r="H5" s="456"/>
      <c r="I5" s="456"/>
      <c r="J5" s="456"/>
      <c r="K5" s="456"/>
      <c r="L5" s="456"/>
      <c r="M5" s="456"/>
      <c r="N5" s="456"/>
      <c r="O5" s="456"/>
      <c r="P5" s="456"/>
      <c r="Q5" s="456"/>
      <c r="R5" s="456"/>
      <c r="S5" s="456"/>
      <c r="T5" s="456"/>
      <c r="U5" s="456"/>
      <c r="V5" s="456"/>
      <c r="W5" s="456"/>
      <c r="X5" s="456"/>
      <c r="Y5" s="456"/>
      <c r="Z5" s="456"/>
      <c r="AA5" s="456"/>
      <c r="AB5" s="456"/>
      <c r="AC5" s="456"/>
      <c r="AD5" s="456"/>
      <c r="AE5" s="456"/>
      <c r="AF5" s="456"/>
      <c r="AG5" s="457"/>
      <c r="AH5" s="12"/>
      <c r="AI5" s="12"/>
    </row>
    <row r="6" spans="1:35" ht="12.75" customHeight="1">
      <c r="A6" s="12"/>
      <c r="B6" s="12"/>
      <c r="C6" s="12"/>
      <c r="D6" s="12"/>
      <c r="E6" s="12"/>
      <c r="F6" s="343"/>
      <c r="G6" s="343"/>
      <c r="H6" s="343"/>
      <c r="I6" s="343"/>
      <c r="J6" s="344"/>
      <c r="K6" s="343"/>
      <c r="L6" s="343"/>
      <c r="M6" s="343"/>
      <c r="N6" s="343"/>
      <c r="O6" s="344"/>
      <c r="P6" s="343"/>
      <c r="Q6" s="343"/>
      <c r="R6" s="343"/>
      <c r="S6" s="343"/>
      <c r="T6" s="344"/>
      <c r="U6" s="343"/>
      <c r="V6" s="343"/>
      <c r="W6" s="343"/>
      <c r="X6" s="345"/>
      <c r="Y6" s="344"/>
      <c r="Z6" s="345"/>
      <c r="AA6" s="345"/>
      <c r="AB6" s="345"/>
      <c r="AC6" s="345"/>
      <c r="AD6" s="344"/>
      <c r="AE6" s="344"/>
      <c r="AF6" s="344"/>
      <c r="AG6" s="344"/>
      <c r="AH6" s="12"/>
      <c r="AI6" s="12"/>
    </row>
    <row r="7" spans="1:35" ht="12.75" customHeight="1">
      <c r="A7" s="12"/>
      <c r="B7" s="12"/>
      <c r="C7" s="12" t="str">
        <f>IF($C$5="Operating Margins",'Segment Analysis'!C16,"Total Company")</f>
        <v>Total Company</v>
      </c>
      <c r="D7" s="12"/>
      <c r="E7" s="12"/>
      <c r="F7" s="323">
        <f>IF($C$5="Operating Margins",'Segment Analysis'!F155,Model!F66)</f>
        <v>0.41142887529417066</v>
      </c>
      <c r="G7" s="323">
        <f>IF($C$5="Operating Margins",'Segment Analysis'!G155,Model!G66)</f>
        <v>0.42918062985591954</v>
      </c>
      <c r="H7" s="323">
        <f>IF($C$5="Operating Margins",'Segment Analysis'!H155,Model!H66)</f>
        <v>0.42273710474347637</v>
      </c>
      <c r="I7" s="323">
        <f>IF($C$5="Operating Margins",'Segment Analysis'!I155,Model!I66)</f>
        <v>0.39911443960454335</v>
      </c>
      <c r="J7" s="324">
        <f>IF($C$5="Operating Margins",'Segment Analysis'!J155,Model!J66)</f>
        <v>0.41537744663577819</v>
      </c>
      <c r="K7" s="323">
        <f>IF($C$5="Operating Margins",'Segment Analysis'!K155,Model!K66)</f>
        <v>0.46885386385271127</v>
      </c>
      <c r="L7" s="323">
        <f>IF($C$5="Operating Margins",'Segment Analysis'!L155,Model!L66)</f>
        <v>0.45873258634775937</v>
      </c>
      <c r="M7" s="323">
        <f>IF($C$5="Operating Margins",'Segment Analysis'!M155,Model!M66)</f>
        <v>0.47887646069301021</v>
      </c>
      <c r="N7" s="323">
        <f>IF($C$5="Operating Margins",'Segment Analysis'!N155,Model!N66)</f>
        <v>0.43713885884885922</v>
      </c>
      <c r="O7" s="324">
        <f>IF($C$5="Operating Margins",'Segment Analysis'!O155,Model!O66)</f>
        <v>0.46056556650417324</v>
      </c>
      <c r="P7" s="323">
        <f>IF($C$5="Operating Margins",'Segment Analysis'!P155,Model!P66)</f>
        <v>0.50078285647239285</v>
      </c>
      <c r="Q7" s="323">
        <f>IF($C$5="Operating Margins",'Segment Analysis'!Q155,Model!Q66)</f>
        <v>0.51934008390162223</v>
      </c>
      <c r="R7" s="323">
        <f>IF($C$5="Operating Margins",'Segment Analysis'!R155,Model!R66)</f>
        <v>0.4644582459877048</v>
      </c>
      <c r="S7" s="323">
        <f>IF($C$5="Operating Margins",'Segment Analysis'!S155,Model!S66)</f>
        <v>0.4587378789822586</v>
      </c>
      <c r="T7" s="324">
        <f>IF($C$5="Operating Margins",'Segment Analysis'!T155,Model!T66)</f>
        <v>0.48486575802475951</v>
      </c>
      <c r="U7" s="323">
        <f>IF($C$5="Operating Margins",'Segment Analysis'!U155,Model!U66)</f>
        <v>0.51931797504228039</v>
      </c>
      <c r="V7" s="323">
        <f>IF($C$5="Operating Margins",'Segment Analysis'!V155,Model!V66)</f>
        <v>0.33775843307943415</v>
      </c>
      <c r="W7" s="323">
        <f>IF($C$5="Operating Margins",'Segment Analysis'!W155,Model!W66)</f>
        <v>0.33104982982808273</v>
      </c>
      <c r="X7" s="325">
        <f>IF(Case_Scenario="Bull",X8,IF(Case_Scenario="Base",X9,IF(Case_Scenario="bear",X10,"N/A")))</f>
        <v>0.13</v>
      </c>
      <c r="Y7" s="324">
        <f>IF($C$5="Operating Margins",'Segment Analysis'!Y155,Model!Y66)</f>
        <v>0.30873193880803756</v>
      </c>
      <c r="Z7" s="325">
        <f>IF(Case_Scenario="Bull",Z8,IF(Case_Scenario="Base",Z9,IF(Case_Scenario="bear",Z10,"N/A")))</f>
        <v>0.14000000000000001</v>
      </c>
      <c r="AA7" s="325">
        <f>IF(Case_Scenario="Bull",AA8,IF(Case_Scenario="Base",AA9,IF(Case_Scenario="bear",AA10,"N/A")))</f>
        <v>0.14499999999999999</v>
      </c>
      <c r="AB7" s="325">
        <f>IF(Case_Scenario="Bull",AB8,IF(Case_Scenario="Base",AB9,IF(Case_Scenario="bear",AB10,"N/A")))</f>
        <v>0.12</v>
      </c>
      <c r="AC7" s="325">
        <f>IF(Case_Scenario="Bull",AC8,IF(Case_Scenario="Base",AC9,IF(Case_Scenario="bear",AC10,"N/A")))</f>
        <v>0.13500000000000001</v>
      </c>
      <c r="AD7" s="324">
        <f>IF($C$5="Operating Margins",'Segment Analysis'!AD155,Model!AD66)</f>
        <v>0.13533005878561802</v>
      </c>
      <c r="AE7" s="324">
        <f>IF(Case_Scenario="Bull",AE8,IF(Case_Scenario="Base",AE9,IF(Case_Scenario="bear",AE10,"N/A")))</f>
        <v>0.13900000000000001</v>
      </c>
      <c r="AF7" s="324">
        <f>IF(Case_Scenario="Bull",AF8,IF(Case_Scenario="Base",AF9,IF(Case_Scenario="bear",AF10,"N/A")))</f>
        <v>0.14000000000000001</v>
      </c>
      <c r="AG7" s="324">
        <f>IF(Case_Scenario="Bull",AG8,IF(Case_Scenario="Base",AG9,IF(Case_Scenario="bear",AG10,"N/A")))</f>
        <v>0.14199999999999999</v>
      </c>
      <c r="AH7" s="12"/>
      <c r="AI7" s="12"/>
    </row>
    <row r="8" spans="1:35" ht="12.75" customHeight="1">
      <c r="A8" s="12"/>
      <c r="B8" s="12"/>
      <c r="C8" s="108" t="str">
        <f>IF(C7="","","Bull Case")</f>
        <v>Bull Case</v>
      </c>
      <c r="D8" s="12"/>
      <c r="E8" s="12"/>
      <c r="F8" s="323"/>
      <c r="G8" s="323"/>
      <c r="H8" s="323"/>
      <c r="I8" s="323"/>
      <c r="J8" s="324"/>
      <c r="K8" s="323"/>
      <c r="L8" s="323"/>
      <c r="M8" s="323"/>
      <c r="N8" s="323"/>
      <c r="O8" s="324"/>
      <c r="P8" s="323"/>
      <c r="Q8" s="323"/>
      <c r="R8" s="323"/>
      <c r="S8" s="323"/>
      <c r="T8" s="324"/>
      <c r="U8" s="323"/>
      <c r="V8" s="323"/>
      <c r="W8" s="323"/>
      <c r="X8" s="266">
        <v>0.15</v>
      </c>
      <c r="Y8" s="324"/>
      <c r="Z8" s="266">
        <v>0.14499999999999999</v>
      </c>
      <c r="AA8" s="266">
        <v>0.15</v>
      </c>
      <c r="AB8" s="266">
        <v>0.15</v>
      </c>
      <c r="AC8" s="266">
        <v>0.15</v>
      </c>
      <c r="AD8" s="324"/>
      <c r="AE8" s="267">
        <v>0.15</v>
      </c>
      <c r="AF8" s="267">
        <v>0.15</v>
      </c>
      <c r="AG8" s="267">
        <v>0.15</v>
      </c>
      <c r="AH8" s="12"/>
      <c r="AI8" s="12"/>
    </row>
    <row r="9" spans="1:35" ht="12.75" customHeight="1">
      <c r="A9" s="12"/>
      <c r="B9" s="12"/>
      <c r="C9" s="108" t="str">
        <f>IF(C7="","","Base Case")</f>
        <v>Base Case</v>
      </c>
      <c r="D9" s="12"/>
      <c r="E9" s="12"/>
      <c r="F9" s="323"/>
      <c r="G9" s="323"/>
      <c r="H9" s="323"/>
      <c r="I9" s="323"/>
      <c r="J9" s="324"/>
      <c r="K9" s="323"/>
      <c r="L9" s="323"/>
      <c r="M9" s="323"/>
      <c r="N9" s="323"/>
      <c r="O9" s="324"/>
      <c r="P9" s="323"/>
      <c r="Q9" s="323"/>
      <c r="R9" s="323"/>
      <c r="S9" s="323"/>
      <c r="T9" s="324"/>
      <c r="U9" s="323"/>
      <c r="V9" s="323"/>
      <c r="W9" s="323"/>
      <c r="X9" s="266">
        <v>0.13</v>
      </c>
      <c r="Y9" s="324"/>
      <c r="Z9" s="266">
        <v>0.14000000000000001</v>
      </c>
      <c r="AA9" s="266">
        <v>0.14499999999999999</v>
      </c>
      <c r="AB9" s="266">
        <v>0.12</v>
      </c>
      <c r="AC9" s="266">
        <v>0.13500000000000001</v>
      </c>
      <c r="AD9" s="324"/>
      <c r="AE9" s="267">
        <v>0.13900000000000001</v>
      </c>
      <c r="AF9" s="267">
        <v>0.14000000000000001</v>
      </c>
      <c r="AG9" s="267">
        <v>0.14199999999999999</v>
      </c>
      <c r="AH9" s="12"/>
      <c r="AI9" s="12"/>
    </row>
    <row r="10" spans="1:35" ht="12.75" customHeight="1">
      <c r="A10" s="12"/>
      <c r="B10" s="12"/>
      <c r="C10" s="108" t="str">
        <f>IF(C7="","","Bear Case")</f>
        <v>Bear Case</v>
      </c>
      <c r="D10" s="12"/>
      <c r="E10" s="12"/>
      <c r="F10" s="323"/>
      <c r="G10" s="323"/>
      <c r="H10" s="323"/>
      <c r="I10" s="323"/>
      <c r="J10" s="324"/>
      <c r="K10" s="323"/>
      <c r="L10" s="323"/>
      <c r="M10" s="323"/>
      <c r="N10" s="323"/>
      <c r="O10" s="324"/>
      <c r="P10" s="323"/>
      <c r="Q10" s="323"/>
      <c r="R10" s="323"/>
      <c r="S10" s="323"/>
      <c r="T10" s="324"/>
      <c r="U10" s="323"/>
      <c r="V10" s="323"/>
      <c r="W10" s="323"/>
      <c r="X10" s="266">
        <v>0.08</v>
      </c>
      <c r="Y10" s="324"/>
      <c r="Z10" s="266">
        <v>0.08</v>
      </c>
      <c r="AA10" s="266">
        <v>0.08</v>
      </c>
      <c r="AB10" s="266">
        <v>0.08</v>
      </c>
      <c r="AC10" s="266">
        <v>0.08</v>
      </c>
      <c r="AD10" s="324"/>
      <c r="AE10" s="267">
        <v>8.5000000000000006E-2</v>
      </c>
      <c r="AF10" s="267">
        <v>0.09</v>
      </c>
      <c r="AG10" s="267">
        <v>0.105</v>
      </c>
      <c r="AH10" s="12"/>
      <c r="AI10" s="12"/>
    </row>
    <row r="11" spans="1:35" ht="12.75" customHeight="1">
      <c r="A11" s="12"/>
      <c r="B11" s="12"/>
      <c r="C11" s="108"/>
      <c r="D11" s="12"/>
      <c r="E11" s="12"/>
      <c r="F11" s="323"/>
      <c r="G11" s="323"/>
      <c r="H11" s="323"/>
      <c r="I11" s="323"/>
      <c r="J11" s="324"/>
      <c r="K11" s="323"/>
      <c r="L11" s="323"/>
      <c r="M11" s="323"/>
      <c r="N11" s="323"/>
      <c r="O11" s="324"/>
      <c r="P11" s="323"/>
      <c r="Q11" s="323"/>
      <c r="R11" s="323"/>
      <c r="S11" s="323"/>
      <c r="T11" s="324"/>
      <c r="U11" s="323"/>
      <c r="V11" s="323"/>
      <c r="W11" s="323"/>
      <c r="X11" s="266"/>
      <c r="Y11" s="324"/>
      <c r="Z11" s="266"/>
      <c r="AA11" s="266"/>
      <c r="AB11" s="266"/>
      <c r="AC11" s="266"/>
      <c r="AD11" s="324"/>
      <c r="AE11" s="267"/>
      <c r="AF11" s="267"/>
      <c r="AG11" s="267"/>
      <c r="AH11" s="12"/>
      <c r="AI11" s="12"/>
    </row>
    <row r="12" spans="1:35" ht="12.75" customHeight="1">
      <c r="A12" s="211" t="s">
        <v>1</v>
      </c>
      <c r="B12" s="12"/>
      <c r="C12" s="12" t="str">
        <f>IF($C$5="Operating Margins",'Segment Analysis'!C17,"")</f>
        <v/>
      </c>
      <c r="D12" s="12"/>
      <c r="E12" s="12"/>
      <c r="F12" s="323" t="str">
        <f>'Segment Analysis'!F156</f>
        <v>N/A</v>
      </c>
      <c r="G12" s="323" t="str">
        <f>'Segment Analysis'!G156</f>
        <v>N/A</v>
      </c>
      <c r="H12" s="323" t="str">
        <f>'Segment Analysis'!H156</f>
        <v>N/A</v>
      </c>
      <c r="I12" s="323" t="str">
        <f>'Segment Analysis'!I156</f>
        <v>N/A</v>
      </c>
      <c r="J12" s="324" t="str">
        <f>'Segment Analysis'!J156</f>
        <v>N/A</v>
      </c>
      <c r="K12" s="323" t="str">
        <f>'Segment Analysis'!K156</f>
        <v>N/A</v>
      </c>
      <c r="L12" s="323" t="str">
        <f>'Segment Analysis'!L156</f>
        <v>N/A</v>
      </c>
      <c r="M12" s="323" t="str">
        <f>'Segment Analysis'!M156</f>
        <v>N/A</v>
      </c>
      <c r="N12" s="323" t="str">
        <f>'Segment Analysis'!N156</f>
        <v>N/A</v>
      </c>
      <c r="O12" s="324" t="str">
        <f>'Segment Analysis'!O156</f>
        <v>N/A</v>
      </c>
      <c r="P12" s="323" t="str">
        <f>'Segment Analysis'!P156</f>
        <v>N/A</v>
      </c>
      <c r="Q12" s="323" t="str">
        <f>'Segment Analysis'!Q156</f>
        <v>N/A</v>
      </c>
      <c r="R12" s="323" t="str">
        <f>'Segment Analysis'!R156</f>
        <v>N/A</v>
      </c>
      <c r="S12" s="323" t="str">
        <f>'Segment Analysis'!S156</f>
        <v>N/A</v>
      </c>
      <c r="T12" s="324" t="str">
        <f>'Segment Analysis'!T156</f>
        <v>N/A</v>
      </c>
      <c r="U12" s="323" t="str">
        <f>'Segment Analysis'!U156</f>
        <v>N/A</v>
      </c>
      <c r="V12" s="323" t="str">
        <f>'Segment Analysis'!V156</f>
        <v>N/A</v>
      </c>
      <c r="W12" s="323" t="str">
        <f>'Segment Analysis'!W156</f>
        <v>N/A</v>
      </c>
      <c r="X12" s="325">
        <f>IF(Case_Scenario="Bull",X13,IF(Case_Scenario="Base",X14,IF(Case_Scenario="bear",X15,"N/A")))</f>
        <v>0.13</v>
      </c>
      <c r="Y12" s="324" t="str">
        <f>'Segment Analysis'!Y156</f>
        <v>N/A</v>
      </c>
      <c r="Z12" s="325">
        <f>IF(Case_Scenario="Bull",Z13,IF(Case_Scenario="Base",Z14,IF(Case_Scenario="bear",Z15,"N/A")))</f>
        <v>0.14000000000000001</v>
      </c>
      <c r="AA12" s="325">
        <f>IF(Case_Scenario="Bull",AA13,IF(Case_Scenario="Base",AA14,IF(Case_Scenario="bear",AA15,"N/A")))</f>
        <v>0.14499999999999999</v>
      </c>
      <c r="AB12" s="325">
        <f>IF(Case_Scenario="Bull",AB13,IF(Case_Scenario="Base",AB14,IF(Case_Scenario="bear",AB15,"N/A")))</f>
        <v>0.12</v>
      </c>
      <c r="AC12" s="325">
        <f>IF(Case_Scenario="Bull",AC13,IF(Case_Scenario="Base",AC14,IF(Case_Scenario="bear",AC15,"N/A")))</f>
        <v>0.13500000000000001</v>
      </c>
      <c r="AD12" s="324" t="str">
        <f>'Segment Analysis'!AD156</f>
        <v>N/A</v>
      </c>
      <c r="AE12" s="324">
        <f>IF(Case_Scenario="Bull",AE13,IF(Case_Scenario="Base",AE14,IF(Case_Scenario="bear",AE15,"N/A")))</f>
        <v>0.13900000000000001</v>
      </c>
      <c r="AF12" s="324">
        <f>IF(Case_Scenario="Bull",AF13,IF(Case_Scenario="Base",AF14,IF(Case_Scenario="bear",AF15,"N/A")))</f>
        <v>0.14000000000000001</v>
      </c>
      <c r="AG12" s="324">
        <f>IF(Case_Scenario="Bull",AG13,IF(Case_Scenario="Base",AG14,IF(Case_Scenario="bear",AG15,"N/A")))</f>
        <v>0.14199999999999999</v>
      </c>
      <c r="AH12" s="211" t="s">
        <v>1</v>
      </c>
      <c r="AI12" s="211"/>
    </row>
    <row r="13" spans="1:35" ht="12.75" customHeight="1">
      <c r="A13" s="12"/>
      <c r="B13" s="12"/>
      <c r="C13" s="108" t="str">
        <f>IF(C12="","","Bull Case")</f>
        <v/>
      </c>
      <c r="D13" s="12"/>
      <c r="E13" s="12"/>
      <c r="F13" s="323"/>
      <c r="G13" s="323"/>
      <c r="H13" s="323"/>
      <c r="I13" s="323"/>
      <c r="J13" s="324"/>
      <c r="K13" s="323"/>
      <c r="L13" s="323"/>
      <c r="M13" s="323"/>
      <c r="N13" s="323"/>
      <c r="O13" s="324"/>
      <c r="P13" s="323"/>
      <c r="Q13" s="323"/>
      <c r="R13" s="323"/>
      <c r="S13" s="323"/>
      <c r="T13" s="324"/>
      <c r="U13" s="323"/>
      <c r="V13" s="323"/>
      <c r="W13" s="323"/>
      <c r="X13" s="266">
        <v>0.15</v>
      </c>
      <c r="Y13" s="324"/>
      <c r="Z13" s="266">
        <v>0.14499999999999999</v>
      </c>
      <c r="AA13" s="266">
        <v>0.15</v>
      </c>
      <c r="AB13" s="266">
        <v>0.15</v>
      </c>
      <c r="AC13" s="266">
        <v>0.15</v>
      </c>
      <c r="AD13" s="324"/>
      <c r="AE13" s="267">
        <v>0.15</v>
      </c>
      <c r="AF13" s="267">
        <v>0.15</v>
      </c>
      <c r="AG13" s="267">
        <v>0.15</v>
      </c>
      <c r="AH13" s="12"/>
      <c r="AI13" s="12"/>
    </row>
    <row r="14" spans="1:35" ht="12.75" customHeight="1">
      <c r="A14" s="12"/>
      <c r="B14" s="12"/>
      <c r="C14" s="108" t="str">
        <f>IF(C12="","","Base Case")</f>
        <v/>
      </c>
      <c r="D14" s="12"/>
      <c r="E14" s="12"/>
      <c r="F14" s="323"/>
      <c r="G14" s="323"/>
      <c r="H14" s="323"/>
      <c r="I14" s="323"/>
      <c r="J14" s="324"/>
      <c r="K14" s="323"/>
      <c r="L14" s="323"/>
      <c r="M14" s="323"/>
      <c r="N14" s="323"/>
      <c r="O14" s="324"/>
      <c r="P14" s="323"/>
      <c r="Q14" s="323"/>
      <c r="R14" s="323"/>
      <c r="S14" s="323"/>
      <c r="T14" s="324"/>
      <c r="U14" s="323"/>
      <c r="V14" s="323"/>
      <c r="W14" s="323"/>
      <c r="X14" s="266">
        <v>0.13</v>
      </c>
      <c r="Y14" s="324"/>
      <c r="Z14" s="266">
        <v>0.14000000000000001</v>
      </c>
      <c r="AA14" s="266">
        <v>0.14499999999999999</v>
      </c>
      <c r="AB14" s="266">
        <v>0.12</v>
      </c>
      <c r="AC14" s="266">
        <v>0.13500000000000001</v>
      </c>
      <c r="AD14" s="324"/>
      <c r="AE14" s="267">
        <v>0.13900000000000001</v>
      </c>
      <c r="AF14" s="267">
        <v>0.14000000000000001</v>
      </c>
      <c r="AG14" s="267">
        <v>0.14199999999999999</v>
      </c>
      <c r="AH14" s="12"/>
      <c r="AI14" s="12"/>
    </row>
    <row r="15" spans="1:35" ht="12.75" customHeight="1">
      <c r="A15" s="12"/>
      <c r="B15" s="12"/>
      <c r="C15" s="108" t="str">
        <f>IF(C12="","","Bear Case")</f>
        <v/>
      </c>
      <c r="D15" s="12"/>
      <c r="E15" s="12"/>
      <c r="F15" s="323"/>
      <c r="G15" s="323"/>
      <c r="H15" s="323"/>
      <c r="I15" s="323"/>
      <c r="J15" s="324"/>
      <c r="K15" s="323"/>
      <c r="L15" s="323"/>
      <c r="M15" s="323"/>
      <c r="N15" s="323"/>
      <c r="O15" s="324"/>
      <c r="P15" s="323"/>
      <c r="Q15" s="323"/>
      <c r="R15" s="323"/>
      <c r="S15" s="323"/>
      <c r="T15" s="324"/>
      <c r="U15" s="323"/>
      <c r="V15" s="323"/>
      <c r="W15" s="323"/>
      <c r="X15" s="266">
        <v>0.08</v>
      </c>
      <c r="Y15" s="324"/>
      <c r="Z15" s="266">
        <v>0.08</v>
      </c>
      <c r="AA15" s="266">
        <v>0.08</v>
      </c>
      <c r="AB15" s="266">
        <v>0.08</v>
      </c>
      <c r="AC15" s="266">
        <v>0.08</v>
      </c>
      <c r="AD15" s="324"/>
      <c r="AE15" s="267">
        <v>8.5000000000000006E-2</v>
      </c>
      <c r="AF15" s="267">
        <v>0.09</v>
      </c>
      <c r="AG15" s="267">
        <v>0.105</v>
      </c>
      <c r="AH15" s="12"/>
      <c r="AI15" s="12"/>
    </row>
    <row r="16" spans="1:35" ht="12.75" customHeight="1">
      <c r="A16" s="12"/>
      <c r="B16" s="12"/>
      <c r="C16" s="108"/>
      <c r="D16" s="12"/>
      <c r="E16" s="12"/>
      <c r="F16" s="323"/>
      <c r="G16" s="323"/>
      <c r="H16" s="323"/>
      <c r="I16" s="323"/>
      <c r="J16" s="324"/>
      <c r="K16" s="323"/>
      <c r="L16" s="323"/>
      <c r="M16" s="323"/>
      <c r="N16" s="323"/>
      <c r="O16" s="324"/>
      <c r="P16" s="323"/>
      <c r="Q16" s="323"/>
      <c r="R16" s="323"/>
      <c r="S16" s="323"/>
      <c r="T16" s="324"/>
      <c r="U16" s="323"/>
      <c r="V16" s="323"/>
      <c r="W16" s="323"/>
      <c r="X16" s="266"/>
      <c r="Y16" s="324"/>
      <c r="Z16" s="266"/>
      <c r="AA16" s="266"/>
      <c r="AB16" s="266"/>
      <c r="AC16" s="266"/>
      <c r="AD16" s="324"/>
      <c r="AE16" s="267"/>
      <c r="AF16" s="267"/>
      <c r="AG16" s="267"/>
      <c r="AH16" s="12"/>
      <c r="AI16" s="12"/>
    </row>
    <row r="17" spans="1:35" ht="12.75" customHeight="1">
      <c r="A17" s="12"/>
      <c r="B17" s="12"/>
      <c r="C17" s="12" t="str">
        <f>IF($C$5="Operating Margins",'Segment Analysis'!C18,"")</f>
        <v/>
      </c>
      <c r="D17" s="12"/>
      <c r="E17" s="12"/>
      <c r="F17" s="323" t="str">
        <f>'Segment Analysis'!F157</f>
        <v>N/A</v>
      </c>
      <c r="G17" s="323" t="str">
        <f>'Segment Analysis'!G157</f>
        <v>N/A</v>
      </c>
      <c r="H17" s="323" t="str">
        <f>'Segment Analysis'!H157</f>
        <v>N/A</v>
      </c>
      <c r="I17" s="323" t="str">
        <f>'Segment Analysis'!I157</f>
        <v>N/A</v>
      </c>
      <c r="J17" s="324" t="str">
        <f>'Segment Analysis'!J157</f>
        <v>N/A</v>
      </c>
      <c r="K17" s="323" t="str">
        <f>'Segment Analysis'!K157</f>
        <v>N/A</v>
      </c>
      <c r="L17" s="323" t="str">
        <f>'Segment Analysis'!L157</f>
        <v>N/A</v>
      </c>
      <c r="M17" s="323" t="str">
        <f>'Segment Analysis'!M157</f>
        <v>N/A</v>
      </c>
      <c r="N17" s="323" t="str">
        <f>'Segment Analysis'!N157</f>
        <v>N/A</v>
      </c>
      <c r="O17" s="324" t="str">
        <f>'Segment Analysis'!O157</f>
        <v>N/A</v>
      </c>
      <c r="P17" s="323" t="str">
        <f>'Segment Analysis'!P157</f>
        <v>N/A</v>
      </c>
      <c r="Q17" s="323" t="str">
        <f>'Segment Analysis'!Q157</f>
        <v>N/A</v>
      </c>
      <c r="R17" s="323" t="str">
        <f>'Segment Analysis'!R157</f>
        <v>N/A</v>
      </c>
      <c r="S17" s="323" t="str">
        <f>'Segment Analysis'!S157</f>
        <v>N/A</v>
      </c>
      <c r="T17" s="324" t="str">
        <f>'Segment Analysis'!T157</f>
        <v>N/A</v>
      </c>
      <c r="U17" s="323" t="str">
        <f>'Segment Analysis'!U157</f>
        <v>N/A</v>
      </c>
      <c r="V17" s="323" t="str">
        <f>'Segment Analysis'!V157</f>
        <v>N/A</v>
      </c>
      <c r="W17" s="323" t="str">
        <f>'Segment Analysis'!W157</f>
        <v>N/A</v>
      </c>
      <c r="X17" s="325">
        <f>IF(Case_Scenario="Bull",X18,IF(Case_Scenario="Base",X19,IF(Case_Scenario="bear",X20,"N/A")))</f>
        <v>0.13</v>
      </c>
      <c r="Y17" s="324" t="str">
        <f>'Segment Analysis'!Y157</f>
        <v>N/A</v>
      </c>
      <c r="Z17" s="325">
        <f>IF(Case_Scenario="Bull",Z18,IF(Case_Scenario="Base",Z19,IF(Case_Scenario="bear",Z20,"N/A")))</f>
        <v>0.14000000000000001</v>
      </c>
      <c r="AA17" s="325">
        <f>IF(Case_Scenario="Bull",AA18,IF(Case_Scenario="Base",AA19,IF(Case_Scenario="bear",AA20,"N/A")))</f>
        <v>0.14499999999999999</v>
      </c>
      <c r="AB17" s="325">
        <f>IF(Case_Scenario="Bull",AB18,IF(Case_Scenario="Base",AB19,IF(Case_Scenario="bear",AB20,"N/A")))</f>
        <v>0.12</v>
      </c>
      <c r="AC17" s="325">
        <f>IF(Case_Scenario="Bull",AC18,IF(Case_Scenario="Base",AC19,IF(Case_Scenario="bear",AC20,"N/A")))</f>
        <v>0.13500000000000001</v>
      </c>
      <c r="AD17" s="324" t="str">
        <f>'Segment Analysis'!AD157</f>
        <v>N/A</v>
      </c>
      <c r="AE17" s="324">
        <f>IF(Case_Scenario="Bull",AE18,IF(Case_Scenario="Base",AE19,IF(Case_Scenario="bear",AE20,"N/A")))</f>
        <v>0.13900000000000001</v>
      </c>
      <c r="AF17" s="324">
        <f>IF(Case_Scenario="Bull",AF18,IF(Case_Scenario="Base",AF19,IF(Case_Scenario="bear",AF20,"N/A")))</f>
        <v>0.14000000000000001</v>
      </c>
      <c r="AG17" s="324">
        <f>IF(Case_Scenario="Bull",AG18,IF(Case_Scenario="Base",AG19,IF(Case_Scenario="bear",AG20,"N/A")))</f>
        <v>0.14199999999999999</v>
      </c>
      <c r="AH17" s="12"/>
      <c r="AI17" s="12"/>
    </row>
    <row r="18" spans="1:35" ht="12.75" customHeight="1">
      <c r="A18" s="12"/>
      <c r="B18" s="12"/>
      <c r="C18" s="108" t="str">
        <f>IF(C17="","","Bull Case")</f>
        <v/>
      </c>
      <c r="D18" s="12"/>
      <c r="E18" s="12"/>
      <c r="F18" s="323"/>
      <c r="G18" s="323"/>
      <c r="H18" s="323"/>
      <c r="I18" s="323"/>
      <c r="J18" s="324"/>
      <c r="K18" s="323"/>
      <c r="L18" s="323"/>
      <c r="M18" s="323"/>
      <c r="N18" s="323"/>
      <c r="O18" s="324"/>
      <c r="P18" s="323"/>
      <c r="Q18" s="323"/>
      <c r="R18" s="323"/>
      <c r="S18" s="323"/>
      <c r="T18" s="324"/>
      <c r="U18" s="323"/>
      <c r="V18" s="323"/>
      <c r="W18" s="323"/>
      <c r="X18" s="266">
        <v>0.15</v>
      </c>
      <c r="Y18" s="324"/>
      <c r="Z18" s="266">
        <v>0.14499999999999999</v>
      </c>
      <c r="AA18" s="266">
        <v>0.15</v>
      </c>
      <c r="AB18" s="266">
        <v>0.15</v>
      </c>
      <c r="AC18" s="266">
        <v>0.15</v>
      </c>
      <c r="AD18" s="324"/>
      <c r="AE18" s="267">
        <v>0.15</v>
      </c>
      <c r="AF18" s="267">
        <v>0.15</v>
      </c>
      <c r="AG18" s="267">
        <v>0.15</v>
      </c>
      <c r="AH18" s="12"/>
      <c r="AI18" s="12"/>
    </row>
    <row r="19" spans="1:35" ht="12.75" customHeight="1">
      <c r="A19" s="12"/>
      <c r="B19" s="12"/>
      <c r="C19" s="108" t="str">
        <f>IF(C17="","","Base Case")</f>
        <v/>
      </c>
      <c r="D19" s="12"/>
      <c r="E19" s="12"/>
      <c r="F19" s="323"/>
      <c r="G19" s="323"/>
      <c r="H19" s="323"/>
      <c r="I19" s="323"/>
      <c r="J19" s="324"/>
      <c r="K19" s="323"/>
      <c r="L19" s="323"/>
      <c r="M19" s="323"/>
      <c r="N19" s="323"/>
      <c r="O19" s="324"/>
      <c r="P19" s="323"/>
      <c r="Q19" s="323"/>
      <c r="R19" s="323"/>
      <c r="S19" s="323"/>
      <c r="T19" s="324"/>
      <c r="U19" s="323"/>
      <c r="V19" s="323"/>
      <c r="W19" s="323"/>
      <c r="X19" s="266">
        <v>0.13</v>
      </c>
      <c r="Y19" s="324"/>
      <c r="Z19" s="266">
        <v>0.14000000000000001</v>
      </c>
      <c r="AA19" s="266">
        <v>0.14499999999999999</v>
      </c>
      <c r="AB19" s="266">
        <v>0.12</v>
      </c>
      <c r="AC19" s="266">
        <v>0.13500000000000001</v>
      </c>
      <c r="AD19" s="324"/>
      <c r="AE19" s="267">
        <v>0.13900000000000001</v>
      </c>
      <c r="AF19" s="267">
        <v>0.14000000000000001</v>
      </c>
      <c r="AG19" s="267">
        <v>0.14199999999999999</v>
      </c>
      <c r="AH19" s="12"/>
      <c r="AI19" s="12"/>
    </row>
    <row r="20" spans="1:35" ht="12.75" customHeight="1">
      <c r="A20" s="12"/>
      <c r="B20" s="12"/>
      <c r="C20" s="108" t="str">
        <f>IF(C17="","","Bear Case")</f>
        <v/>
      </c>
      <c r="D20" s="12"/>
      <c r="E20" s="12"/>
      <c r="F20" s="323"/>
      <c r="G20" s="323"/>
      <c r="H20" s="323"/>
      <c r="I20" s="323"/>
      <c r="J20" s="324"/>
      <c r="K20" s="323"/>
      <c r="L20" s="323"/>
      <c r="M20" s="323"/>
      <c r="N20" s="323"/>
      <c r="O20" s="324"/>
      <c r="P20" s="323"/>
      <c r="Q20" s="323"/>
      <c r="R20" s="323"/>
      <c r="S20" s="323"/>
      <c r="T20" s="324"/>
      <c r="U20" s="323"/>
      <c r="V20" s="323"/>
      <c r="W20" s="323"/>
      <c r="X20" s="266">
        <v>0.08</v>
      </c>
      <c r="Y20" s="324"/>
      <c r="Z20" s="266">
        <v>0.08</v>
      </c>
      <c r="AA20" s="266">
        <v>0.08</v>
      </c>
      <c r="AB20" s="266">
        <v>0.08</v>
      </c>
      <c r="AC20" s="266">
        <v>0.08</v>
      </c>
      <c r="AD20" s="324"/>
      <c r="AE20" s="267">
        <v>8.5000000000000006E-2</v>
      </c>
      <c r="AF20" s="267">
        <v>0.09</v>
      </c>
      <c r="AG20" s="267">
        <v>0.105</v>
      </c>
      <c r="AH20" s="12"/>
      <c r="AI20" s="12"/>
    </row>
    <row r="21" spans="1:35" ht="12.75" customHeight="1">
      <c r="A21" s="12"/>
      <c r="B21" s="12"/>
      <c r="C21" s="108"/>
      <c r="D21" s="12"/>
      <c r="E21" s="12"/>
      <c r="F21" s="323"/>
      <c r="G21" s="323"/>
      <c r="H21" s="323"/>
      <c r="I21" s="323"/>
      <c r="J21" s="324"/>
      <c r="K21" s="323"/>
      <c r="L21" s="323"/>
      <c r="M21" s="323"/>
      <c r="N21" s="323"/>
      <c r="O21" s="324"/>
      <c r="P21" s="323"/>
      <c r="Q21" s="323"/>
      <c r="R21" s="323"/>
      <c r="S21" s="323"/>
      <c r="T21" s="324"/>
      <c r="U21" s="323"/>
      <c r="V21" s="323"/>
      <c r="W21" s="323"/>
      <c r="X21" s="266"/>
      <c r="Y21" s="324"/>
      <c r="Z21" s="266"/>
      <c r="AA21" s="266"/>
      <c r="AB21" s="266"/>
      <c r="AC21" s="266"/>
      <c r="AD21" s="324"/>
      <c r="AE21" s="267"/>
      <c r="AF21" s="267"/>
      <c r="AG21" s="267"/>
      <c r="AH21" s="12"/>
      <c r="AI21" s="12"/>
    </row>
    <row r="22" spans="1:35" ht="12.75" customHeight="1">
      <c r="A22" s="12"/>
      <c r="B22" s="12"/>
      <c r="C22" s="12" t="str">
        <f>IF($C$5="Operating Margins",'Segment Analysis'!C19,"")</f>
        <v/>
      </c>
      <c r="D22" s="12"/>
      <c r="E22" s="12"/>
      <c r="F22" s="323" t="str">
        <f>'Segment Analysis'!F158</f>
        <v>N/A</v>
      </c>
      <c r="G22" s="323" t="str">
        <f>'Segment Analysis'!G158</f>
        <v>N/A</v>
      </c>
      <c r="H22" s="323" t="str">
        <f>'Segment Analysis'!H158</f>
        <v>N/A</v>
      </c>
      <c r="I22" s="323" t="str">
        <f>'Segment Analysis'!I158</f>
        <v>N/A</v>
      </c>
      <c r="J22" s="324" t="str">
        <f>'Segment Analysis'!J158</f>
        <v>N/A</v>
      </c>
      <c r="K22" s="323" t="str">
        <f>'Segment Analysis'!K158</f>
        <v>N/A</v>
      </c>
      <c r="L22" s="323" t="str">
        <f>'Segment Analysis'!L158</f>
        <v>N/A</v>
      </c>
      <c r="M22" s="323" t="str">
        <f>'Segment Analysis'!M158</f>
        <v>N/A</v>
      </c>
      <c r="N22" s="323" t="str">
        <f>'Segment Analysis'!N158</f>
        <v>N/A</v>
      </c>
      <c r="O22" s="324" t="str">
        <f>'Segment Analysis'!O158</f>
        <v>N/A</v>
      </c>
      <c r="P22" s="323" t="str">
        <f>'Segment Analysis'!P158</f>
        <v>N/A</v>
      </c>
      <c r="Q22" s="323" t="str">
        <f>'Segment Analysis'!Q158</f>
        <v>N/A</v>
      </c>
      <c r="R22" s="323" t="str">
        <f>'Segment Analysis'!R158</f>
        <v>N/A</v>
      </c>
      <c r="S22" s="323" t="str">
        <f>'Segment Analysis'!S158</f>
        <v>N/A</v>
      </c>
      <c r="T22" s="324" t="str">
        <f>'Segment Analysis'!T158</f>
        <v>N/A</v>
      </c>
      <c r="U22" s="323" t="str">
        <f>'Segment Analysis'!U158</f>
        <v>N/A</v>
      </c>
      <c r="V22" s="323" t="str">
        <f>'Segment Analysis'!V158</f>
        <v>N/A</v>
      </c>
      <c r="W22" s="323" t="str">
        <f>'Segment Analysis'!W158</f>
        <v>N/A</v>
      </c>
      <c r="X22" s="325">
        <f>IF(Case_Scenario="Bull",X23,IF(Case_Scenario="Base",X24,IF(Case_Scenario="bear",X25,"N/A")))</f>
        <v>0.13</v>
      </c>
      <c r="Y22" s="324" t="str">
        <f>'Segment Analysis'!Y158</f>
        <v>N/A</v>
      </c>
      <c r="Z22" s="325">
        <f>IF(Case_Scenario="Bull",Z23,IF(Case_Scenario="Base",Z24,IF(Case_Scenario="bear",Z25,"N/A")))</f>
        <v>0.14000000000000001</v>
      </c>
      <c r="AA22" s="325">
        <f>IF(Case_Scenario="Bull",AA23,IF(Case_Scenario="Base",AA24,IF(Case_Scenario="bear",AA25,"N/A")))</f>
        <v>0.14499999999999999</v>
      </c>
      <c r="AB22" s="325">
        <f>IF(Case_Scenario="Bull",AB23,IF(Case_Scenario="Base",AB24,IF(Case_Scenario="bear",AB25,"N/A")))</f>
        <v>0.12</v>
      </c>
      <c r="AC22" s="325">
        <f>IF(Case_Scenario="Bull",AC23,IF(Case_Scenario="Base",AC24,IF(Case_Scenario="bear",AC25,"N/A")))</f>
        <v>0.13500000000000001</v>
      </c>
      <c r="AD22" s="324" t="str">
        <f>'Segment Analysis'!AD158</f>
        <v>N/A</v>
      </c>
      <c r="AE22" s="324">
        <f>IF(Case_Scenario="Bull",AE23,IF(Case_Scenario="Base",AE24,IF(Case_Scenario="bear",AE25,"N/A")))</f>
        <v>0.13900000000000001</v>
      </c>
      <c r="AF22" s="324">
        <f>IF(Case_Scenario="Bull",AF23,IF(Case_Scenario="Base",AF24,IF(Case_Scenario="bear",AF25,"N/A")))</f>
        <v>0.14000000000000001</v>
      </c>
      <c r="AG22" s="324">
        <f>IF(Case_Scenario="Bull",AG23,IF(Case_Scenario="Base",AG24,IF(Case_Scenario="bear",AG25,"N/A")))</f>
        <v>0.14199999999999999</v>
      </c>
      <c r="AH22" s="12"/>
      <c r="AI22" s="12"/>
    </row>
    <row r="23" spans="1:35" ht="12.75" customHeight="1">
      <c r="A23" s="12"/>
      <c r="B23" s="12"/>
      <c r="C23" s="108" t="str">
        <f>IF(C22="","","Bull Case")</f>
        <v/>
      </c>
      <c r="D23" s="12"/>
      <c r="E23" s="12"/>
      <c r="F23" s="323"/>
      <c r="G23" s="323"/>
      <c r="H23" s="323"/>
      <c r="I23" s="323"/>
      <c r="J23" s="324"/>
      <c r="K23" s="323"/>
      <c r="L23" s="323"/>
      <c r="M23" s="323"/>
      <c r="N23" s="323"/>
      <c r="O23" s="324"/>
      <c r="P23" s="323"/>
      <c r="Q23" s="323"/>
      <c r="R23" s="323"/>
      <c r="S23" s="323"/>
      <c r="T23" s="324"/>
      <c r="U23" s="323"/>
      <c r="V23" s="323"/>
      <c r="W23" s="323"/>
      <c r="X23" s="266">
        <v>0.15</v>
      </c>
      <c r="Y23" s="324"/>
      <c r="Z23" s="266">
        <v>0.14499999999999999</v>
      </c>
      <c r="AA23" s="266">
        <v>0.15</v>
      </c>
      <c r="AB23" s="266">
        <v>0.15</v>
      </c>
      <c r="AC23" s="266">
        <v>0.15</v>
      </c>
      <c r="AD23" s="324"/>
      <c r="AE23" s="267">
        <v>0.15</v>
      </c>
      <c r="AF23" s="267">
        <v>0.15</v>
      </c>
      <c r="AG23" s="267">
        <v>0.15</v>
      </c>
      <c r="AH23" s="12"/>
      <c r="AI23" s="12"/>
    </row>
    <row r="24" spans="1:35" ht="12.75" customHeight="1">
      <c r="A24" s="12"/>
      <c r="B24" s="12"/>
      <c r="C24" s="108" t="str">
        <f>IF(C22="","","Base Case")</f>
        <v/>
      </c>
      <c r="D24" s="12"/>
      <c r="E24" s="12"/>
      <c r="F24" s="323"/>
      <c r="G24" s="323"/>
      <c r="H24" s="323"/>
      <c r="I24" s="323"/>
      <c r="J24" s="324"/>
      <c r="K24" s="323"/>
      <c r="L24" s="323"/>
      <c r="M24" s="323"/>
      <c r="N24" s="323"/>
      <c r="O24" s="324"/>
      <c r="P24" s="323"/>
      <c r="Q24" s="323"/>
      <c r="R24" s="323"/>
      <c r="S24" s="323"/>
      <c r="T24" s="324"/>
      <c r="U24" s="323"/>
      <c r="V24" s="323"/>
      <c r="W24" s="323"/>
      <c r="X24" s="266">
        <v>0.13</v>
      </c>
      <c r="Y24" s="324"/>
      <c r="Z24" s="266">
        <v>0.14000000000000001</v>
      </c>
      <c r="AA24" s="266">
        <v>0.14499999999999999</v>
      </c>
      <c r="AB24" s="266">
        <v>0.12</v>
      </c>
      <c r="AC24" s="266">
        <v>0.13500000000000001</v>
      </c>
      <c r="AD24" s="324"/>
      <c r="AE24" s="267">
        <v>0.13900000000000001</v>
      </c>
      <c r="AF24" s="267">
        <v>0.14000000000000001</v>
      </c>
      <c r="AG24" s="267">
        <v>0.14199999999999999</v>
      </c>
      <c r="AH24" s="12"/>
      <c r="AI24" s="12"/>
    </row>
    <row r="25" spans="1:35" ht="12.75" customHeight="1">
      <c r="A25" s="12"/>
      <c r="B25" s="12"/>
      <c r="C25" s="108" t="str">
        <f>IF(C22="","","Bear Case")</f>
        <v/>
      </c>
      <c r="D25" s="12"/>
      <c r="E25" s="12"/>
      <c r="F25" s="323"/>
      <c r="G25" s="323"/>
      <c r="H25" s="323"/>
      <c r="I25" s="323"/>
      <c r="J25" s="324"/>
      <c r="K25" s="323"/>
      <c r="L25" s="323"/>
      <c r="M25" s="323"/>
      <c r="N25" s="323"/>
      <c r="O25" s="324"/>
      <c r="P25" s="323"/>
      <c r="Q25" s="323"/>
      <c r="R25" s="323"/>
      <c r="S25" s="323"/>
      <c r="T25" s="324"/>
      <c r="U25" s="323"/>
      <c r="V25" s="323"/>
      <c r="W25" s="323"/>
      <c r="X25" s="266">
        <v>0.08</v>
      </c>
      <c r="Y25" s="324"/>
      <c r="Z25" s="266">
        <v>0.08</v>
      </c>
      <c r="AA25" s="266">
        <v>0.08</v>
      </c>
      <c r="AB25" s="266">
        <v>0.08</v>
      </c>
      <c r="AC25" s="266">
        <v>0.08</v>
      </c>
      <c r="AD25" s="324"/>
      <c r="AE25" s="267">
        <v>8.5000000000000006E-2</v>
      </c>
      <c r="AF25" s="267">
        <v>0.09</v>
      </c>
      <c r="AG25" s="267">
        <v>0.105</v>
      </c>
      <c r="AH25" s="12"/>
      <c r="AI25" s="12"/>
    </row>
    <row r="26" spans="1:35" ht="12.75" customHeight="1">
      <c r="A26" s="12"/>
      <c r="B26" s="12"/>
      <c r="C26" s="108"/>
      <c r="D26" s="12"/>
      <c r="E26" s="12"/>
      <c r="F26" s="323"/>
      <c r="G26" s="323"/>
      <c r="H26" s="323"/>
      <c r="I26" s="323"/>
      <c r="J26" s="324"/>
      <c r="K26" s="323"/>
      <c r="L26" s="323"/>
      <c r="M26" s="323"/>
      <c r="N26" s="323"/>
      <c r="O26" s="324"/>
      <c r="P26" s="323"/>
      <c r="Q26" s="323"/>
      <c r="R26" s="323"/>
      <c r="S26" s="323"/>
      <c r="T26" s="324"/>
      <c r="U26" s="323"/>
      <c r="V26" s="323"/>
      <c r="W26" s="323"/>
      <c r="X26" s="266"/>
      <c r="Y26" s="324"/>
      <c r="Z26" s="266"/>
      <c r="AA26" s="266"/>
      <c r="AB26" s="266"/>
      <c r="AC26" s="266"/>
      <c r="AD26" s="324"/>
      <c r="AE26" s="267"/>
      <c r="AF26" s="267"/>
      <c r="AG26" s="267"/>
      <c r="AH26" s="12"/>
      <c r="AI26" s="12"/>
    </row>
    <row r="27" spans="1:35" ht="12.75" customHeight="1">
      <c r="A27" s="12"/>
      <c r="B27" s="12"/>
      <c r="C27" s="12" t="str">
        <f>IF($C$5="Operating Margins",'Segment Analysis'!C20,"")</f>
        <v/>
      </c>
      <c r="D27" s="12"/>
      <c r="E27" s="12"/>
      <c r="F27" s="323" t="str">
        <f>'Segment Analysis'!F159</f>
        <v>N/A</v>
      </c>
      <c r="G27" s="323" t="str">
        <f>'Segment Analysis'!G159</f>
        <v>N/A</v>
      </c>
      <c r="H27" s="323" t="str">
        <f>'Segment Analysis'!H159</f>
        <v>N/A</v>
      </c>
      <c r="I27" s="323" t="str">
        <f>'Segment Analysis'!I159</f>
        <v>N/A</v>
      </c>
      <c r="J27" s="324" t="str">
        <f>'Segment Analysis'!J159</f>
        <v>N/A</v>
      </c>
      <c r="K27" s="323" t="str">
        <f>'Segment Analysis'!K159</f>
        <v>N/A</v>
      </c>
      <c r="L27" s="323" t="str">
        <f>'Segment Analysis'!L159</f>
        <v>N/A</v>
      </c>
      <c r="M27" s="323" t="str">
        <f>'Segment Analysis'!M159</f>
        <v>N/A</v>
      </c>
      <c r="N27" s="323" t="str">
        <f>'Segment Analysis'!N159</f>
        <v>N/A</v>
      </c>
      <c r="O27" s="324" t="str">
        <f>'Segment Analysis'!O159</f>
        <v>N/A</v>
      </c>
      <c r="P27" s="323" t="str">
        <f>'Segment Analysis'!P159</f>
        <v>N/A</v>
      </c>
      <c r="Q27" s="323" t="str">
        <f>'Segment Analysis'!Q159</f>
        <v>N/A</v>
      </c>
      <c r="R27" s="323" t="str">
        <f>'Segment Analysis'!R159</f>
        <v>N/A</v>
      </c>
      <c r="S27" s="323" t="str">
        <f>'Segment Analysis'!S159</f>
        <v>N/A</v>
      </c>
      <c r="T27" s="324" t="str">
        <f>'Segment Analysis'!T159</f>
        <v>N/A</v>
      </c>
      <c r="U27" s="323" t="str">
        <f>'Segment Analysis'!U159</f>
        <v>N/A</v>
      </c>
      <c r="V27" s="323" t="str">
        <f>'Segment Analysis'!V159</f>
        <v>N/A</v>
      </c>
      <c r="W27" s="323" t="str">
        <f>'Segment Analysis'!W159</f>
        <v>N/A</v>
      </c>
      <c r="X27" s="325">
        <f>IF(Case_Scenario="Bull",X28,IF(Case_Scenario="Base",X29,IF(Case_Scenario="bear",X30,"N/A")))</f>
        <v>0.13</v>
      </c>
      <c r="Y27" s="324" t="str">
        <f>'Segment Analysis'!Y159</f>
        <v>N/A</v>
      </c>
      <c r="Z27" s="325">
        <f>IF(Case_Scenario="Bull",Z28,IF(Case_Scenario="Base",Z29,IF(Case_Scenario="bear",Z30,"N/A")))</f>
        <v>0.14000000000000001</v>
      </c>
      <c r="AA27" s="325">
        <f>IF(Case_Scenario="Bull",AA28,IF(Case_Scenario="Base",AA29,IF(Case_Scenario="bear",AA30,"N/A")))</f>
        <v>0.14499999999999999</v>
      </c>
      <c r="AB27" s="325">
        <f>IF(Case_Scenario="Bull",AB28,IF(Case_Scenario="Base",AB29,IF(Case_Scenario="bear",AB30,"N/A")))</f>
        <v>0.12</v>
      </c>
      <c r="AC27" s="325">
        <f>IF(Case_Scenario="Bull",AC28,IF(Case_Scenario="Base",AC29,IF(Case_Scenario="bear",AC30,"N/A")))</f>
        <v>0.13500000000000001</v>
      </c>
      <c r="AD27" s="324" t="str">
        <f>'Segment Analysis'!AD159</f>
        <v>N/A</v>
      </c>
      <c r="AE27" s="324">
        <f>IF(Case_Scenario="Bull",AE28,IF(Case_Scenario="Base",AE29,IF(Case_Scenario="bear",AE30,"N/A")))</f>
        <v>0.13900000000000001</v>
      </c>
      <c r="AF27" s="324">
        <f>IF(Case_Scenario="Bull",AF28,IF(Case_Scenario="Base",AF29,IF(Case_Scenario="bear",AF30,"N/A")))</f>
        <v>0.14000000000000001</v>
      </c>
      <c r="AG27" s="324">
        <f>IF(Case_Scenario="Bull",AG28,IF(Case_Scenario="Base",AG29,IF(Case_Scenario="bear",AG30,"N/A")))</f>
        <v>0.14199999999999999</v>
      </c>
      <c r="AH27" s="12"/>
      <c r="AI27" s="12"/>
    </row>
    <row r="28" spans="1:35" ht="12.75" customHeight="1">
      <c r="A28" s="12"/>
      <c r="B28" s="12"/>
      <c r="C28" s="108" t="str">
        <f>IF(C27="","","Bull Case")</f>
        <v/>
      </c>
      <c r="D28" s="12"/>
      <c r="E28" s="12"/>
      <c r="F28" s="323"/>
      <c r="G28" s="323"/>
      <c r="H28" s="323"/>
      <c r="I28" s="323"/>
      <c r="J28" s="324"/>
      <c r="K28" s="323"/>
      <c r="L28" s="323"/>
      <c r="M28" s="323"/>
      <c r="N28" s="323"/>
      <c r="O28" s="324"/>
      <c r="P28" s="323"/>
      <c r="Q28" s="323"/>
      <c r="R28" s="323"/>
      <c r="S28" s="323"/>
      <c r="T28" s="324"/>
      <c r="U28" s="323"/>
      <c r="V28" s="323"/>
      <c r="W28" s="323"/>
      <c r="X28" s="266">
        <v>0.15</v>
      </c>
      <c r="Y28" s="324"/>
      <c r="Z28" s="266">
        <v>0.14499999999999999</v>
      </c>
      <c r="AA28" s="266">
        <v>0.15</v>
      </c>
      <c r="AB28" s="266">
        <v>0.15</v>
      </c>
      <c r="AC28" s="266">
        <v>0.15</v>
      </c>
      <c r="AD28" s="324"/>
      <c r="AE28" s="267">
        <v>0.15</v>
      </c>
      <c r="AF28" s="267">
        <v>0.15</v>
      </c>
      <c r="AG28" s="267">
        <v>0.15</v>
      </c>
      <c r="AH28" s="12"/>
      <c r="AI28" s="12"/>
    </row>
    <row r="29" spans="1:35" ht="12.75" customHeight="1">
      <c r="A29" s="211" t="s">
        <v>1</v>
      </c>
      <c r="B29" s="12"/>
      <c r="C29" s="108" t="str">
        <f>IF(C27="","","Base Case")</f>
        <v/>
      </c>
      <c r="D29" s="12"/>
      <c r="E29" s="12"/>
      <c r="F29" s="323"/>
      <c r="G29" s="323"/>
      <c r="H29" s="323"/>
      <c r="I29" s="323"/>
      <c r="J29" s="324"/>
      <c r="K29" s="323"/>
      <c r="L29" s="323"/>
      <c r="M29" s="323"/>
      <c r="N29" s="323"/>
      <c r="O29" s="324"/>
      <c r="P29" s="323"/>
      <c r="Q29" s="323"/>
      <c r="R29" s="323"/>
      <c r="S29" s="323"/>
      <c r="T29" s="324"/>
      <c r="U29" s="323"/>
      <c r="V29" s="323"/>
      <c r="W29" s="323"/>
      <c r="X29" s="266">
        <v>0.13</v>
      </c>
      <c r="Y29" s="324"/>
      <c r="Z29" s="266">
        <v>0.14000000000000001</v>
      </c>
      <c r="AA29" s="266">
        <v>0.14499999999999999</v>
      </c>
      <c r="AB29" s="266">
        <v>0.12</v>
      </c>
      <c r="AC29" s="266">
        <v>0.13500000000000001</v>
      </c>
      <c r="AD29" s="324"/>
      <c r="AE29" s="267">
        <v>0.13900000000000001</v>
      </c>
      <c r="AF29" s="267">
        <v>0.14000000000000001</v>
      </c>
      <c r="AG29" s="267">
        <v>0.14199999999999999</v>
      </c>
      <c r="AH29" s="211" t="s">
        <v>1</v>
      </c>
      <c r="AI29" s="211"/>
    </row>
    <row r="30" spans="1:35" ht="12.75" customHeight="1">
      <c r="A30" s="12"/>
      <c r="B30" s="12"/>
      <c r="C30" s="108" t="str">
        <f>IF(C27="","","Bear Case")</f>
        <v/>
      </c>
      <c r="D30" s="12"/>
      <c r="E30" s="12"/>
      <c r="F30" s="323"/>
      <c r="G30" s="323"/>
      <c r="H30" s="323"/>
      <c r="I30" s="323"/>
      <c r="J30" s="324"/>
      <c r="K30" s="323"/>
      <c r="L30" s="323"/>
      <c r="M30" s="323"/>
      <c r="N30" s="323"/>
      <c r="O30" s="324"/>
      <c r="P30" s="323"/>
      <c r="Q30" s="323"/>
      <c r="R30" s="323"/>
      <c r="S30" s="323"/>
      <c r="T30" s="324"/>
      <c r="U30" s="323"/>
      <c r="V30" s="323"/>
      <c r="W30" s="323"/>
      <c r="X30" s="266">
        <v>0.08</v>
      </c>
      <c r="Y30" s="324"/>
      <c r="Z30" s="266">
        <v>0.08</v>
      </c>
      <c r="AA30" s="266">
        <v>0.08</v>
      </c>
      <c r="AB30" s="266">
        <v>0.08</v>
      </c>
      <c r="AC30" s="266">
        <v>0.08</v>
      </c>
      <c r="AD30" s="324"/>
      <c r="AE30" s="267">
        <v>8.5000000000000006E-2</v>
      </c>
      <c r="AF30" s="267">
        <v>0.09</v>
      </c>
      <c r="AG30" s="267">
        <v>0.105</v>
      </c>
      <c r="AH30" s="12"/>
      <c r="AI30" s="12"/>
    </row>
    <row r="31" spans="1:35" ht="12.75" customHeight="1">
      <c r="A31" s="12"/>
      <c r="B31" s="12"/>
      <c r="C31" s="108"/>
      <c r="D31" s="12"/>
      <c r="E31" s="12"/>
      <c r="F31" s="323"/>
      <c r="G31" s="323"/>
      <c r="H31" s="323"/>
      <c r="I31" s="323"/>
      <c r="J31" s="324"/>
      <c r="K31" s="323"/>
      <c r="L31" s="323"/>
      <c r="M31" s="323"/>
      <c r="N31" s="323"/>
      <c r="O31" s="324"/>
      <c r="P31" s="323"/>
      <c r="Q31" s="323"/>
      <c r="R31" s="323"/>
      <c r="S31" s="323"/>
      <c r="T31" s="324"/>
      <c r="U31" s="323"/>
      <c r="V31" s="323"/>
      <c r="W31" s="323"/>
      <c r="X31" s="266"/>
      <c r="Y31" s="324"/>
      <c r="Z31" s="266"/>
      <c r="AA31" s="266"/>
      <c r="AB31" s="266"/>
      <c r="AC31" s="266"/>
      <c r="AD31" s="324"/>
      <c r="AE31" s="267"/>
      <c r="AF31" s="267"/>
      <c r="AG31" s="267"/>
      <c r="AH31" s="12"/>
      <c r="AI31" s="12"/>
    </row>
    <row r="32" spans="1:35" ht="12.75" customHeight="1">
      <c r="A32" s="12"/>
      <c r="B32" s="12"/>
      <c r="C32" s="12" t="str">
        <f>IF($C$5="Operating Margins",'Segment Analysis'!C21,"")</f>
        <v/>
      </c>
      <c r="D32" s="12"/>
      <c r="E32" s="12"/>
      <c r="F32" s="323" t="str">
        <f>'Segment Analysis'!F160</f>
        <v>N/A</v>
      </c>
      <c r="G32" s="323" t="str">
        <f>'Segment Analysis'!G160</f>
        <v>N/A</v>
      </c>
      <c r="H32" s="323" t="str">
        <f>'Segment Analysis'!H160</f>
        <v>N/A</v>
      </c>
      <c r="I32" s="323" t="str">
        <f>'Segment Analysis'!I160</f>
        <v>N/A</v>
      </c>
      <c r="J32" s="324" t="str">
        <f>'Segment Analysis'!J160</f>
        <v>N/A</v>
      </c>
      <c r="K32" s="323" t="str">
        <f>'Segment Analysis'!K160</f>
        <v>N/A</v>
      </c>
      <c r="L32" s="323" t="str">
        <f>'Segment Analysis'!L160</f>
        <v>N/A</v>
      </c>
      <c r="M32" s="323" t="str">
        <f>'Segment Analysis'!M160</f>
        <v>N/A</v>
      </c>
      <c r="N32" s="323" t="str">
        <f>'Segment Analysis'!N160</f>
        <v>N/A</v>
      </c>
      <c r="O32" s="324" t="str">
        <f>'Segment Analysis'!O160</f>
        <v>N/A</v>
      </c>
      <c r="P32" s="323" t="str">
        <f>'Segment Analysis'!P160</f>
        <v>N/A</v>
      </c>
      <c r="Q32" s="323" t="str">
        <f>'Segment Analysis'!Q160</f>
        <v>N/A</v>
      </c>
      <c r="R32" s="323" t="str">
        <f>'Segment Analysis'!R160</f>
        <v>N/A</v>
      </c>
      <c r="S32" s="323" t="str">
        <f>'Segment Analysis'!S160</f>
        <v>N/A</v>
      </c>
      <c r="T32" s="324" t="str">
        <f>'Segment Analysis'!T160</f>
        <v>N/A</v>
      </c>
      <c r="U32" s="323" t="str">
        <f>'Segment Analysis'!U160</f>
        <v>N/A</v>
      </c>
      <c r="V32" s="323" t="str">
        <f>'Segment Analysis'!V160</f>
        <v>N/A</v>
      </c>
      <c r="W32" s="323" t="str">
        <f>'Segment Analysis'!W160</f>
        <v>N/A</v>
      </c>
      <c r="X32" s="325">
        <f>IF(Case_Scenario="Bull",X33,IF(Case_Scenario="Base",X34,IF(Case_Scenario="bear",X35,"N/A")))</f>
        <v>0.13</v>
      </c>
      <c r="Y32" s="324" t="str">
        <f>'Segment Analysis'!Y160</f>
        <v>N/A</v>
      </c>
      <c r="Z32" s="325">
        <f>IF(Case_Scenario="Bull",Z33,IF(Case_Scenario="Base",Z34,IF(Case_Scenario="bear",Z35,"N/A")))</f>
        <v>0.14000000000000001</v>
      </c>
      <c r="AA32" s="325">
        <f>IF(Case_Scenario="Bull",AA33,IF(Case_Scenario="Base",AA34,IF(Case_Scenario="bear",AA35,"N/A")))</f>
        <v>0.14499999999999999</v>
      </c>
      <c r="AB32" s="325">
        <f>IF(Case_Scenario="Bull",AB33,IF(Case_Scenario="Base",AB34,IF(Case_Scenario="bear",AB35,"N/A")))</f>
        <v>0.12</v>
      </c>
      <c r="AC32" s="325">
        <f>IF(Case_Scenario="Bull",AC33,IF(Case_Scenario="Base",AC34,IF(Case_Scenario="bear",AC35,"N/A")))</f>
        <v>0.13500000000000001</v>
      </c>
      <c r="AD32" s="324" t="str">
        <f>'Segment Analysis'!AD160</f>
        <v>N/A</v>
      </c>
      <c r="AE32" s="324">
        <f>IF(Case_Scenario="Bull",AE33,IF(Case_Scenario="Base",AE34,IF(Case_Scenario="bear",AE35,"N/A")))</f>
        <v>0.13900000000000001</v>
      </c>
      <c r="AF32" s="324">
        <f>IF(Case_Scenario="Bull",AF33,IF(Case_Scenario="Base",AF34,IF(Case_Scenario="bear",AF35,"N/A")))</f>
        <v>0.14000000000000001</v>
      </c>
      <c r="AG32" s="324">
        <f>IF(Case_Scenario="Bull",AG33,IF(Case_Scenario="Base",AG34,IF(Case_Scenario="bear",AG35,"N/A")))</f>
        <v>0.14199999999999999</v>
      </c>
      <c r="AH32" s="12"/>
      <c r="AI32" s="12"/>
    </row>
    <row r="33" spans="1:35" ht="12.75" customHeight="1">
      <c r="A33" s="12"/>
      <c r="B33" s="12"/>
      <c r="C33" s="108" t="str">
        <f>IF(C32="","","Bull Case")</f>
        <v/>
      </c>
      <c r="D33" s="12"/>
      <c r="E33" s="12"/>
      <c r="F33" s="323"/>
      <c r="G33" s="323"/>
      <c r="H33" s="323"/>
      <c r="I33" s="323"/>
      <c r="J33" s="324"/>
      <c r="K33" s="323"/>
      <c r="L33" s="323"/>
      <c r="M33" s="323"/>
      <c r="N33" s="323"/>
      <c r="O33" s="324"/>
      <c r="P33" s="323"/>
      <c r="Q33" s="323"/>
      <c r="R33" s="323"/>
      <c r="S33" s="323"/>
      <c r="T33" s="324"/>
      <c r="U33" s="323"/>
      <c r="V33" s="323"/>
      <c r="W33" s="323"/>
      <c r="X33" s="266">
        <v>0.15</v>
      </c>
      <c r="Y33" s="324"/>
      <c r="Z33" s="266">
        <v>0.14499999999999999</v>
      </c>
      <c r="AA33" s="266">
        <v>0.15</v>
      </c>
      <c r="AB33" s="266">
        <v>0.15</v>
      </c>
      <c r="AC33" s="266">
        <v>0.15</v>
      </c>
      <c r="AD33" s="324"/>
      <c r="AE33" s="267">
        <v>0.15</v>
      </c>
      <c r="AF33" s="267">
        <v>0.15</v>
      </c>
      <c r="AG33" s="267">
        <v>0.15</v>
      </c>
      <c r="AH33" s="12"/>
      <c r="AI33" s="12"/>
    </row>
    <row r="34" spans="1:35" ht="12.75" customHeight="1">
      <c r="A34" s="12"/>
      <c r="B34" s="12"/>
      <c r="C34" s="108" t="str">
        <f>IF(C32="","","Base Case")</f>
        <v/>
      </c>
      <c r="D34" s="12"/>
      <c r="E34" s="12"/>
      <c r="F34" s="323"/>
      <c r="G34" s="323"/>
      <c r="H34" s="323"/>
      <c r="I34" s="323"/>
      <c r="J34" s="324"/>
      <c r="K34" s="323"/>
      <c r="L34" s="323"/>
      <c r="M34" s="323"/>
      <c r="N34" s="323"/>
      <c r="O34" s="324"/>
      <c r="P34" s="323"/>
      <c r="Q34" s="323"/>
      <c r="R34" s="323"/>
      <c r="S34" s="323"/>
      <c r="T34" s="324"/>
      <c r="U34" s="323"/>
      <c r="V34" s="323"/>
      <c r="W34" s="323"/>
      <c r="X34" s="266">
        <v>0.13</v>
      </c>
      <c r="Y34" s="324"/>
      <c r="Z34" s="266">
        <v>0.14000000000000001</v>
      </c>
      <c r="AA34" s="266">
        <v>0.14499999999999999</v>
      </c>
      <c r="AB34" s="266">
        <v>0.12</v>
      </c>
      <c r="AC34" s="266">
        <v>0.13500000000000001</v>
      </c>
      <c r="AD34" s="324"/>
      <c r="AE34" s="267">
        <v>0.13900000000000001</v>
      </c>
      <c r="AF34" s="267">
        <v>0.14000000000000001</v>
      </c>
      <c r="AG34" s="267">
        <v>0.14199999999999999</v>
      </c>
      <c r="AH34" s="12"/>
      <c r="AI34" s="12"/>
    </row>
    <row r="35" spans="1:35" ht="12.75" customHeight="1">
      <c r="A35" s="12"/>
      <c r="B35" s="12"/>
      <c r="C35" s="108" t="str">
        <f>IF(C32="","","Bear Case")</f>
        <v/>
      </c>
      <c r="D35" s="12"/>
      <c r="E35" s="12"/>
      <c r="F35" s="323"/>
      <c r="G35" s="323"/>
      <c r="H35" s="323"/>
      <c r="I35" s="323"/>
      <c r="J35" s="324"/>
      <c r="K35" s="323"/>
      <c r="L35" s="323"/>
      <c r="M35" s="323"/>
      <c r="N35" s="323"/>
      <c r="O35" s="324"/>
      <c r="P35" s="323"/>
      <c r="Q35" s="323"/>
      <c r="R35" s="323"/>
      <c r="S35" s="323"/>
      <c r="T35" s="324"/>
      <c r="U35" s="323"/>
      <c r="V35" s="323"/>
      <c r="W35" s="323"/>
      <c r="X35" s="266">
        <v>0.08</v>
      </c>
      <c r="Y35" s="324"/>
      <c r="Z35" s="266">
        <v>0.08</v>
      </c>
      <c r="AA35" s="266">
        <v>0.08</v>
      </c>
      <c r="AB35" s="266">
        <v>0.08</v>
      </c>
      <c r="AC35" s="266">
        <v>0.08</v>
      </c>
      <c r="AD35" s="324"/>
      <c r="AE35" s="267">
        <v>8.5000000000000006E-2</v>
      </c>
      <c r="AF35" s="267">
        <v>0.09</v>
      </c>
      <c r="AG35" s="267">
        <v>0.105</v>
      </c>
      <c r="AH35" s="12"/>
      <c r="AI35" s="12"/>
    </row>
    <row r="36" spans="1:35" ht="12.75" customHeight="1">
      <c r="A36" s="12"/>
      <c r="B36" s="12"/>
      <c r="C36" s="108"/>
      <c r="D36" s="12"/>
      <c r="E36" s="12"/>
      <c r="F36" s="323"/>
      <c r="G36" s="323"/>
      <c r="H36" s="323"/>
      <c r="I36" s="323"/>
      <c r="J36" s="324"/>
      <c r="K36" s="323"/>
      <c r="L36" s="323"/>
      <c r="M36" s="323"/>
      <c r="N36" s="323"/>
      <c r="O36" s="324"/>
      <c r="P36" s="323"/>
      <c r="Q36" s="323"/>
      <c r="R36" s="323"/>
      <c r="S36" s="323"/>
      <c r="T36" s="324"/>
      <c r="U36" s="323"/>
      <c r="V36" s="323"/>
      <c r="W36" s="323"/>
      <c r="X36" s="266"/>
      <c r="Y36" s="324"/>
      <c r="Z36" s="266"/>
      <c r="AA36" s="266"/>
      <c r="AB36" s="266"/>
      <c r="AC36" s="266"/>
      <c r="AD36" s="324"/>
      <c r="AE36" s="267"/>
      <c r="AF36" s="267"/>
      <c r="AG36" s="267"/>
      <c r="AH36" s="12"/>
      <c r="AI36" s="12"/>
    </row>
    <row r="37" spans="1:35" ht="12.75" customHeight="1">
      <c r="A37" s="12"/>
      <c r="B37" s="12"/>
      <c r="C37" s="12"/>
      <c r="D37" s="12"/>
      <c r="E37" s="12"/>
      <c r="F37" s="323"/>
      <c r="G37" s="323"/>
      <c r="H37" s="323"/>
      <c r="I37" s="323"/>
      <c r="J37" s="324"/>
      <c r="K37" s="323"/>
      <c r="L37" s="323"/>
      <c r="M37" s="323"/>
      <c r="N37" s="323"/>
      <c r="O37" s="324"/>
      <c r="P37" s="323"/>
      <c r="Q37" s="323"/>
      <c r="R37" s="323"/>
      <c r="S37" s="323"/>
      <c r="T37" s="324"/>
      <c r="U37" s="323"/>
      <c r="V37" s="323"/>
      <c r="W37" s="323"/>
      <c r="X37" s="325"/>
      <c r="Y37" s="324"/>
      <c r="Z37" s="325"/>
      <c r="AA37" s="325"/>
      <c r="AB37" s="325"/>
      <c r="AC37" s="325"/>
      <c r="AD37" s="324"/>
      <c r="AE37" s="137"/>
      <c r="AF37" s="137"/>
      <c r="AG37" s="137"/>
      <c r="AH37" s="12"/>
      <c r="AI37" s="12"/>
    </row>
    <row r="38" spans="1:35" ht="12.75" customHeight="1">
      <c r="A38" s="12"/>
      <c r="B38" s="12"/>
      <c r="C38" s="458" t="s">
        <v>478</v>
      </c>
      <c r="D38" s="459"/>
      <c r="E38" s="459"/>
      <c r="F38" s="460"/>
      <c r="G38" s="461"/>
      <c r="H38" s="461"/>
      <c r="I38" s="461"/>
      <c r="J38" s="461"/>
      <c r="K38" s="461"/>
      <c r="L38" s="461"/>
      <c r="M38" s="461"/>
      <c r="N38" s="461"/>
      <c r="O38" s="461"/>
      <c r="P38" s="461"/>
      <c r="Q38" s="461"/>
      <c r="R38" s="461"/>
      <c r="S38" s="461"/>
      <c r="T38" s="461"/>
      <c r="U38" s="461"/>
      <c r="V38" s="461"/>
      <c r="W38" s="461"/>
      <c r="X38" s="461"/>
      <c r="Y38" s="461"/>
      <c r="Z38" s="461"/>
      <c r="AA38" s="461"/>
      <c r="AB38" s="461"/>
      <c r="AC38" s="461"/>
      <c r="AD38" s="461"/>
      <c r="AE38" s="461"/>
      <c r="AF38" s="461"/>
      <c r="AG38" s="462"/>
      <c r="AH38" s="12"/>
      <c r="AI38" s="12"/>
    </row>
    <row r="39" spans="1:35" ht="12.75" customHeight="1">
      <c r="A39" s="12"/>
      <c r="B39" s="12"/>
      <c r="C39" s="12"/>
      <c r="D39" s="12"/>
      <c r="E39" s="12"/>
      <c r="F39" s="323"/>
      <c r="G39" s="323"/>
      <c r="H39" s="323"/>
      <c r="I39" s="323"/>
      <c r="J39" s="324"/>
      <c r="K39" s="323"/>
      <c r="L39" s="323"/>
      <c r="M39" s="323"/>
      <c r="N39" s="323"/>
      <c r="O39" s="324"/>
      <c r="P39" s="323"/>
      <c r="Q39" s="323"/>
      <c r="R39" s="323"/>
      <c r="S39" s="323"/>
      <c r="T39" s="324"/>
      <c r="U39" s="323"/>
      <c r="V39" s="323"/>
      <c r="W39" s="323"/>
      <c r="X39" s="325"/>
      <c r="Y39" s="324"/>
      <c r="Z39" s="325"/>
      <c r="AA39" s="325"/>
      <c r="AB39" s="325"/>
      <c r="AC39" s="325"/>
      <c r="AD39" s="324"/>
      <c r="AE39" s="137"/>
      <c r="AF39" s="137"/>
      <c r="AG39" s="137"/>
      <c r="AH39" s="12"/>
      <c r="AI39" s="12"/>
    </row>
    <row r="40" spans="1:35" ht="12.75" customHeight="1">
      <c r="A40" s="12"/>
      <c r="B40" s="12"/>
      <c r="C40" s="12" t="str">
        <f>Model!C67</f>
        <v>SG&amp;A as % of Revenue</v>
      </c>
      <c r="D40" s="12"/>
      <c r="E40" s="12"/>
      <c r="F40" s="323">
        <f>Model!F67</f>
        <v>-4.9123794967667105E-2</v>
      </c>
      <c r="G40" s="323">
        <f>Model!G67</f>
        <v>-4.9038993436298479E-2</v>
      </c>
      <c r="H40" s="323">
        <f>Model!H67</f>
        <v>-5.6030157107487676E-2</v>
      </c>
      <c r="I40" s="323">
        <f>Model!I67</f>
        <v>-1.8263678947562074</v>
      </c>
      <c r="J40" s="324">
        <f>Model!J67</f>
        <v>-0.51634927628813987</v>
      </c>
      <c r="K40" s="323">
        <f>Model!K67</f>
        <v>-6.9830232091556005E-2</v>
      </c>
      <c r="L40" s="323">
        <f>Model!L67</f>
        <v>-6.7377666379686396E-2</v>
      </c>
      <c r="M40" s="323">
        <f>Model!M67</f>
        <v>-6.5439738992618915E-2</v>
      </c>
      <c r="N40" s="323">
        <f>Model!N67</f>
        <v>-9.5271825644489966E-2</v>
      </c>
      <c r="O40" s="324">
        <f>Model!O67</f>
        <v>-7.4807224005682321E-2</v>
      </c>
      <c r="P40" s="323">
        <f>Model!P67</f>
        <v>-6.5292895123411701E-2</v>
      </c>
      <c r="Q40" s="323">
        <f>Model!Q67</f>
        <v>-6.4378943324795393E-2</v>
      </c>
      <c r="R40" s="323">
        <f>Model!R67</f>
        <v>-6.8312252661896847E-2</v>
      </c>
      <c r="S40" s="323">
        <f>Model!S67</f>
        <v>-9.2390506094137445E-2</v>
      </c>
      <c r="T40" s="324">
        <f>Model!T67</f>
        <v>-7.3065165430671805E-2</v>
      </c>
      <c r="U40" s="323">
        <f>Model!U67</f>
        <v>-6.8753772013599945E-2</v>
      </c>
      <c r="V40" s="323">
        <f>Model!V67</f>
        <v>-0.17022125498730503</v>
      </c>
      <c r="W40" s="323">
        <f>Model!W67</f>
        <v>-0.19081071646740552</v>
      </c>
      <c r="X40" s="325">
        <f>IF(Case_Scenario="Bull",X41,IF(Case_Scenario="Base",X42,IF(Case_Scenario="bear",X43,"N/A")))</f>
        <v>-0.22</v>
      </c>
      <c r="Y40" s="324">
        <f>Model!Y67</f>
        <v>-0.17392147521915702</v>
      </c>
      <c r="Z40" s="325">
        <f>IF(Case_Scenario="Bull",Z41,IF(Case_Scenario="Base",Z42,IF(Case_Scenario="bear",Z43,"N/A")))</f>
        <v>-0.22500000000000001</v>
      </c>
      <c r="AA40" s="325">
        <f>IF(Case_Scenario="Bull",AA41,IF(Case_Scenario="Base",AA42,IF(Case_Scenario="bear",AA43,"N/A")))</f>
        <v>-0.22500000000000001</v>
      </c>
      <c r="AB40" s="325">
        <f>IF(Case_Scenario="Bull",AB41,IF(Case_Scenario="Base",AB42,IF(Case_Scenario="bear",AB43,"N/A")))</f>
        <v>-0.22</v>
      </c>
      <c r="AC40" s="325">
        <f>IF(Case_Scenario="Bull",AC41,IF(Case_Scenario="Base",AC42,IF(Case_Scenario="bear",AC43,"N/A")))</f>
        <v>-0.22</v>
      </c>
      <c r="AD40" s="324">
        <f>Model!AD67</f>
        <v>-0.22261215163174033</v>
      </c>
      <c r="AE40" s="324">
        <f>IF(Case_Scenario="Bull",AE41,IF(Case_Scenario="Base",AE42,IF(Case_Scenario="bear",AE43,"N/A")))</f>
        <v>-0.215</v>
      </c>
      <c r="AF40" s="324">
        <f>IF(Case_Scenario="Bull",AF41,IF(Case_Scenario="Base",AF42,IF(Case_Scenario="bear",AF43,"N/A")))</f>
        <v>-0.21099999999999999</v>
      </c>
      <c r="AG40" s="324">
        <f>IF(Case_Scenario="Bull",AG41,IF(Case_Scenario="Base",AG42,IF(Case_Scenario="bear",AG43,"N/A")))</f>
        <v>-0.20599999999999999</v>
      </c>
      <c r="AH40" s="12"/>
      <c r="AI40" s="12"/>
    </row>
    <row r="41" spans="1:35" ht="12.75" customHeight="1">
      <c r="A41" s="12"/>
      <c r="B41" s="12"/>
      <c r="C41" s="108" t="s">
        <v>251</v>
      </c>
      <c r="D41" s="12"/>
      <c r="E41" s="12"/>
      <c r="F41" s="323"/>
      <c r="G41" s="323"/>
      <c r="H41" s="323"/>
      <c r="I41" s="323"/>
      <c r="J41" s="324"/>
      <c r="K41" s="323"/>
      <c r="L41" s="323"/>
      <c r="M41" s="323"/>
      <c r="N41" s="323"/>
      <c r="O41" s="324"/>
      <c r="P41" s="323"/>
      <c r="Q41" s="323"/>
      <c r="R41" s="323"/>
      <c r="S41" s="323"/>
      <c r="T41" s="324"/>
      <c r="U41" s="323"/>
      <c r="V41" s="323"/>
      <c r="W41" s="323"/>
      <c r="X41" s="266">
        <v>-0.19</v>
      </c>
      <c r="Y41" s="324"/>
      <c r="Z41" s="266">
        <v>-0.19</v>
      </c>
      <c r="AA41" s="266">
        <v>-0.19</v>
      </c>
      <c r="AB41" s="266">
        <v>-0.19</v>
      </c>
      <c r="AC41" s="266">
        <v>-0.19</v>
      </c>
      <c r="AD41" s="324"/>
      <c r="AE41" s="267">
        <v>-0.19</v>
      </c>
      <c r="AF41" s="267">
        <v>-0.19</v>
      </c>
      <c r="AG41" s="267">
        <v>-0.19</v>
      </c>
      <c r="AH41" s="12"/>
      <c r="AI41" s="12"/>
    </row>
    <row r="42" spans="1:35" ht="12.75" customHeight="1">
      <c r="A42" s="12"/>
      <c r="B42" s="12"/>
      <c r="C42" s="108" t="s">
        <v>252</v>
      </c>
      <c r="D42" s="12"/>
      <c r="E42" s="12"/>
      <c r="F42" s="323"/>
      <c r="G42" s="323"/>
      <c r="H42" s="323"/>
      <c r="I42" s="323"/>
      <c r="J42" s="324"/>
      <c r="K42" s="323"/>
      <c r="L42" s="323"/>
      <c r="M42" s="323"/>
      <c r="N42" s="323"/>
      <c r="O42" s="324"/>
      <c r="P42" s="323"/>
      <c r="Q42" s="323"/>
      <c r="R42" s="323"/>
      <c r="S42" s="323"/>
      <c r="T42" s="324"/>
      <c r="U42" s="323"/>
      <c r="V42" s="323"/>
      <c r="W42" s="323"/>
      <c r="X42" s="266">
        <v>-0.22</v>
      </c>
      <c r="Y42" s="324"/>
      <c r="Z42" s="266">
        <v>-0.22500000000000001</v>
      </c>
      <c r="AA42" s="266">
        <v>-0.22500000000000001</v>
      </c>
      <c r="AB42" s="266">
        <v>-0.22</v>
      </c>
      <c r="AC42" s="266">
        <v>-0.22</v>
      </c>
      <c r="AD42" s="324"/>
      <c r="AE42" s="267">
        <v>-0.215</v>
      </c>
      <c r="AF42" s="267">
        <v>-0.21099999999999999</v>
      </c>
      <c r="AG42" s="267">
        <v>-0.20599999999999999</v>
      </c>
      <c r="AH42" s="12"/>
      <c r="AI42" s="12"/>
    </row>
    <row r="43" spans="1:35" ht="12.75" customHeight="1">
      <c r="A43" s="211" t="s">
        <v>1</v>
      </c>
      <c r="B43" s="12"/>
      <c r="C43" s="108" t="s">
        <v>253</v>
      </c>
      <c r="D43" s="12"/>
      <c r="E43" s="12"/>
      <c r="F43" s="323"/>
      <c r="G43" s="323"/>
      <c r="H43" s="323"/>
      <c r="I43" s="323"/>
      <c r="J43" s="324"/>
      <c r="K43" s="323"/>
      <c r="L43" s="323"/>
      <c r="M43" s="323"/>
      <c r="N43" s="323"/>
      <c r="O43" s="324"/>
      <c r="P43" s="323"/>
      <c r="Q43" s="323"/>
      <c r="R43" s="323"/>
      <c r="S43" s="323"/>
      <c r="T43" s="324"/>
      <c r="U43" s="323"/>
      <c r="V43" s="323"/>
      <c r="W43" s="323"/>
      <c r="X43" s="266">
        <v>-0.22</v>
      </c>
      <c r="Y43" s="324"/>
      <c r="Z43" s="266">
        <v>-0.22</v>
      </c>
      <c r="AA43" s="266">
        <v>-0.22</v>
      </c>
      <c r="AB43" s="266">
        <v>-0.22</v>
      </c>
      <c r="AC43" s="266">
        <v>-0.22</v>
      </c>
      <c r="AD43" s="324"/>
      <c r="AE43" s="267">
        <v>-0.22</v>
      </c>
      <c r="AF43" s="267">
        <v>-0.22</v>
      </c>
      <c r="AG43" s="267">
        <v>-0.22</v>
      </c>
      <c r="AH43" s="211" t="s">
        <v>1</v>
      </c>
      <c r="AI43" s="211"/>
    </row>
    <row r="44" spans="1:35" ht="12.75" customHeight="1">
      <c r="A44" s="211"/>
      <c r="B44" s="12"/>
      <c r="C44" s="12"/>
      <c r="D44" s="12"/>
      <c r="E44" s="12"/>
      <c r="F44" s="323"/>
      <c r="G44" s="323"/>
      <c r="H44" s="323"/>
      <c r="I44" s="323"/>
      <c r="J44" s="324"/>
      <c r="K44" s="323"/>
      <c r="L44" s="323"/>
      <c r="M44" s="323"/>
      <c r="N44" s="323"/>
      <c r="O44" s="324"/>
      <c r="P44" s="323"/>
      <c r="Q44" s="323"/>
      <c r="R44" s="323"/>
      <c r="S44" s="323"/>
      <c r="T44" s="324"/>
      <c r="U44" s="323"/>
      <c r="V44" s="323"/>
      <c r="W44" s="323"/>
      <c r="X44" s="325"/>
      <c r="Y44" s="324"/>
      <c r="Z44" s="325"/>
      <c r="AA44" s="325"/>
      <c r="AB44" s="325"/>
      <c r="AC44" s="325"/>
      <c r="AD44" s="324"/>
      <c r="AE44" s="137"/>
      <c r="AF44" s="137"/>
      <c r="AG44" s="137"/>
      <c r="AH44" s="12"/>
      <c r="AI44" s="12"/>
    </row>
    <row r="45" spans="1:35" ht="12.75" customHeight="1">
      <c r="A45" s="12"/>
      <c r="B45" s="12"/>
      <c r="C45" s="12" t="str">
        <f>Model!C68</f>
        <v>R&amp;D as a % of Revenue</v>
      </c>
      <c r="D45" s="12"/>
      <c r="E45" s="12"/>
      <c r="F45" s="323">
        <f>Model!F68</f>
        <v>-8.4209366828634377E-2</v>
      </c>
      <c r="G45" s="323">
        <f>Model!G68</f>
        <v>-8.0366289208128536E-2</v>
      </c>
      <c r="H45" s="323">
        <f>Model!H68</f>
        <v>-7.6935675795406708E-2</v>
      </c>
      <c r="I45" s="323">
        <f>Model!I68</f>
        <v>-7.623166993572271E-2</v>
      </c>
      <c r="J45" s="324">
        <f>Model!J68</f>
        <v>-7.9344495883661659E-2</v>
      </c>
      <c r="K45" s="323">
        <f>Model!K68</f>
        <v>-7.4966917241879774E-2</v>
      </c>
      <c r="L45" s="323">
        <f>Model!L68</f>
        <v>-7.4404324161471913E-2</v>
      </c>
      <c r="M45" s="323">
        <f>Model!M68</f>
        <v>-7.4817834187964768E-2</v>
      </c>
      <c r="N45" s="323">
        <f>Model!N68</f>
        <v>-7.5782366157150241E-2</v>
      </c>
      <c r="O45" s="324">
        <f>Model!O68</f>
        <v>-7.5005706268916519E-2</v>
      </c>
      <c r="P45" s="323">
        <f>Model!P68</f>
        <v>-7.8045957616007355E-2</v>
      </c>
      <c r="Q45" s="323">
        <f>Model!Q68</f>
        <v>-7.4435476460953831E-2</v>
      </c>
      <c r="R45" s="323">
        <f>Model!R68</f>
        <v>-7.4158230531991887E-2</v>
      </c>
      <c r="S45" s="323">
        <f>Model!S68</f>
        <v>-7.3879145567724264E-2</v>
      </c>
      <c r="T45" s="324">
        <f>Model!T68</f>
        <v>-7.5058922556686974E-2</v>
      </c>
      <c r="U45" s="323">
        <f>Model!U68</f>
        <v>-7.8344084703067987E-2</v>
      </c>
      <c r="V45" s="323">
        <f>Model!V68</f>
        <v>0</v>
      </c>
      <c r="W45" s="323">
        <f>Model!W68</f>
        <v>0</v>
      </c>
      <c r="X45" s="325">
        <f>IF(Case_Scenario="Bull",X46,IF(Case_Scenario="Base",X47,IF(Case_Scenario="bear",X48,"N/A")))</f>
        <v>0</v>
      </c>
      <c r="Y45" s="324">
        <f>Model!Y68</f>
        <v>-1.1356024422097887E-2</v>
      </c>
      <c r="Z45" s="325">
        <f>IF(Case_Scenario="Bull",Z46,IF(Case_Scenario="Base",Z47,IF(Case_Scenario="bear",Z48,"N/A")))</f>
        <v>0</v>
      </c>
      <c r="AA45" s="325">
        <f>IF(Case_Scenario="Bull",AA46,IF(Case_Scenario="Base",AA47,IF(Case_Scenario="bear",AA48,"N/A")))</f>
        <v>0</v>
      </c>
      <c r="AB45" s="325">
        <f>IF(Case_Scenario="Bull",AB46,IF(Case_Scenario="Base",AB47,IF(Case_Scenario="bear",AB48,"N/A")))</f>
        <v>0</v>
      </c>
      <c r="AC45" s="325">
        <f>IF(Case_Scenario="Bull",AC46,IF(Case_Scenario="Base",AC47,IF(Case_Scenario="bear",AC48,"N/A")))</f>
        <v>0</v>
      </c>
      <c r="AD45" s="324">
        <f>Model!AD68</f>
        <v>0</v>
      </c>
      <c r="AE45" s="324">
        <f>IF(Case_Scenario="Bull",AE46,IF(Case_Scenario="Base",AE47,IF(Case_Scenario="bear",AE48,"N/A")))</f>
        <v>0</v>
      </c>
      <c r="AF45" s="324">
        <f>IF(Case_Scenario="Bull",AF46,IF(Case_Scenario="Base",AF47,IF(Case_Scenario="bear",AF48,"N/A")))</f>
        <v>0</v>
      </c>
      <c r="AG45" s="324">
        <f>IF(Case_Scenario="Bull",AG46,IF(Case_Scenario="Base",AG47,IF(Case_Scenario="bear",AG48,"N/A")))</f>
        <v>0</v>
      </c>
      <c r="AH45" s="12"/>
      <c r="AI45" s="12"/>
    </row>
    <row r="46" spans="1:35" ht="12.75" customHeight="1">
      <c r="A46" s="12"/>
      <c r="B46" s="12"/>
      <c r="C46" s="108" t="s">
        <v>251</v>
      </c>
      <c r="D46" s="12"/>
      <c r="E46" s="12"/>
      <c r="F46" s="323"/>
      <c r="G46" s="323"/>
      <c r="H46" s="323"/>
      <c r="I46" s="323"/>
      <c r="J46" s="324"/>
      <c r="K46" s="323"/>
      <c r="L46" s="323"/>
      <c r="M46" s="323"/>
      <c r="N46" s="323"/>
      <c r="O46" s="324"/>
      <c r="P46" s="323"/>
      <c r="Q46" s="323"/>
      <c r="R46" s="323"/>
      <c r="S46" s="323"/>
      <c r="T46" s="324"/>
      <c r="U46" s="323"/>
      <c r="V46" s="323"/>
      <c r="W46" s="323"/>
      <c r="X46" s="266">
        <v>0</v>
      </c>
      <c r="Y46" s="324"/>
      <c r="Z46" s="266">
        <v>0</v>
      </c>
      <c r="AA46" s="266">
        <v>0</v>
      </c>
      <c r="AB46" s="266">
        <v>0</v>
      </c>
      <c r="AC46" s="266">
        <v>0</v>
      </c>
      <c r="AD46" s="324"/>
      <c r="AE46" s="267">
        <v>0</v>
      </c>
      <c r="AF46" s="267">
        <v>0</v>
      </c>
      <c r="AG46" s="267">
        <v>0</v>
      </c>
      <c r="AH46" s="12"/>
      <c r="AI46" s="12"/>
    </row>
    <row r="47" spans="1:35" ht="12.75" customHeight="1">
      <c r="A47" s="12"/>
      <c r="B47" s="12"/>
      <c r="C47" s="108" t="s">
        <v>252</v>
      </c>
      <c r="D47" s="12"/>
      <c r="E47" s="12"/>
      <c r="F47" s="323"/>
      <c r="G47" s="323"/>
      <c r="H47" s="323"/>
      <c r="I47" s="323"/>
      <c r="J47" s="324"/>
      <c r="K47" s="323"/>
      <c r="L47" s="323"/>
      <c r="M47" s="323"/>
      <c r="N47" s="323"/>
      <c r="O47" s="324"/>
      <c r="P47" s="323"/>
      <c r="Q47" s="323"/>
      <c r="R47" s="323"/>
      <c r="S47" s="323"/>
      <c r="T47" s="324"/>
      <c r="U47" s="323"/>
      <c r="V47" s="323"/>
      <c r="W47" s="323"/>
      <c r="X47" s="266">
        <v>0</v>
      </c>
      <c r="Y47" s="324"/>
      <c r="Z47" s="266">
        <v>0</v>
      </c>
      <c r="AA47" s="266">
        <v>0</v>
      </c>
      <c r="AB47" s="266">
        <v>0</v>
      </c>
      <c r="AC47" s="266">
        <v>0</v>
      </c>
      <c r="AD47" s="324"/>
      <c r="AE47" s="267">
        <v>0</v>
      </c>
      <c r="AF47" s="267">
        <v>0</v>
      </c>
      <c r="AG47" s="267">
        <v>0</v>
      </c>
      <c r="AH47" s="12"/>
      <c r="AI47" s="12"/>
    </row>
    <row r="48" spans="1:35" ht="12.75" customHeight="1">
      <c r="A48" s="12"/>
      <c r="B48" s="12"/>
      <c r="C48" s="108" t="s">
        <v>253</v>
      </c>
      <c r="D48" s="12"/>
      <c r="E48" s="12"/>
      <c r="F48" s="323"/>
      <c r="G48" s="323"/>
      <c r="H48" s="323"/>
      <c r="I48" s="323"/>
      <c r="J48" s="324"/>
      <c r="K48" s="323"/>
      <c r="L48" s="323"/>
      <c r="M48" s="323"/>
      <c r="N48" s="323"/>
      <c r="O48" s="324"/>
      <c r="P48" s="323"/>
      <c r="Q48" s="323"/>
      <c r="R48" s="323"/>
      <c r="S48" s="323"/>
      <c r="T48" s="324"/>
      <c r="U48" s="323"/>
      <c r="V48" s="323"/>
      <c r="W48" s="323"/>
      <c r="X48" s="266">
        <v>0</v>
      </c>
      <c r="Y48" s="324"/>
      <c r="Z48" s="266">
        <v>0</v>
      </c>
      <c r="AA48" s="266">
        <v>0</v>
      </c>
      <c r="AB48" s="266">
        <v>0</v>
      </c>
      <c r="AC48" s="266">
        <v>0</v>
      </c>
      <c r="AD48" s="324"/>
      <c r="AE48" s="267">
        <v>0</v>
      </c>
      <c r="AF48" s="267">
        <v>0</v>
      </c>
      <c r="AG48" s="267">
        <v>0</v>
      </c>
      <c r="AH48" s="12"/>
      <c r="AI48" s="12"/>
    </row>
    <row r="49" spans="1:35" ht="12.75" customHeight="1">
      <c r="A49" s="12"/>
      <c r="B49" s="12"/>
      <c r="C49" s="12"/>
      <c r="D49" s="12"/>
      <c r="E49" s="12"/>
      <c r="F49" s="323"/>
      <c r="G49" s="323"/>
      <c r="H49" s="323"/>
      <c r="I49" s="323"/>
      <c r="J49" s="324"/>
      <c r="K49" s="323"/>
      <c r="L49" s="323"/>
      <c r="M49" s="323"/>
      <c r="N49" s="323"/>
      <c r="O49" s="324"/>
      <c r="P49" s="323"/>
      <c r="Q49" s="323"/>
      <c r="R49" s="323"/>
      <c r="S49" s="323"/>
      <c r="T49" s="324"/>
      <c r="U49" s="323"/>
      <c r="V49" s="323"/>
      <c r="W49" s="323"/>
      <c r="X49" s="325"/>
      <c r="Y49" s="324"/>
      <c r="Z49" s="325"/>
      <c r="AA49" s="325"/>
      <c r="AB49" s="325"/>
      <c r="AC49" s="325"/>
      <c r="AD49" s="324"/>
      <c r="AE49" s="137"/>
      <c r="AF49" s="137"/>
      <c r="AG49" s="137"/>
      <c r="AH49" s="12"/>
      <c r="AI49" s="12"/>
    </row>
    <row r="50" spans="1:35" ht="12.75" customHeight="1">
      <c r="A50" s="12"/>
      <c r="B50" s="12"/>
      <c r="C50" s="12" t="str">
        <f>Model!C69</f>
        <v>Other Operating Income as a % of Revenue</v>
      </c>
      <c r="D50" s="12"/>
      <c r="E50" s="12"/>
      <c r="F50" s="323">
        <f>Model!F69</f>
        <v>-5.6978108076416734E-2</v>
      </c>
      <c r="G50" s="323">
        <f>Model!G69</f>
        <v>-6.5685016344214059E-2</v>
      </c>
      <c r="H50" s="323">
        <f>Model!H69</f>
        <v>-5.479913290940365E-2</v>
      </c>
      <c r="I50" s="323">
        <f>Model!I69</f>
        <v>0.33915276256463811</v>
      </c>
      <c r="J50" s="324">
        <f>Model!J69</f>
        <v>4.5214766515859935E-2</v>
      </c>
      <c r="K50" s="323">
        <f>Model!K69</f>
        <v>-3.3806950367325339E-2</v>
      </c>
      <c r="L50" s="323">
        <f>Model!L69</f>
        <v>-3.6170497661442036E-2</v>
      </c>
      <c r="M50" s="323">
        <f>Model!M69</f>
        <v>-3.4244190384177503E-2</v>
      </c>
      <c r="N50" s="323">
        <f>Model!N69</f>
        <v>-3.6513397289399924E-2</v>
      </c>
      <c r="O50" s="324">
        <f>Model!O69</f>
        <v>-3.5207461271600307E-2</v>
      </c>
      <c r="P50" s="323">
        <f>Model!P69</f>
        <v>-3.238181200612622E-2</v>
      </c>
      <c r="Q50" s="323">
        <f>Model!Q69</f>
        <v>-3.2601731935418189E-2</v>
      </c>
      <c r="R50" s="323">
        <f>Model!R69</f>
        <v>-3.2197664232587409E-2</v>
      </c>
      <c r="S50" s="323">
        <f>Model!S69</f>
        <v>-3.9982450902274924E-2</v>
      </c>
      <c r="T50" s="324">
        <f>Model!T69</f>
        <v>-3.4415991878013683E-2</v>
      </c>
      <c r="U50" s="323">
        <f>Model!U69</f>
        <v>-4.1146448864250874E-2</v>
      </c>
      <c r="V50" s="323">
        <f>Model!V69</f>
        <v>0</v>
      </c>
      <c r="W50" s="323">
        <f>Model!W69</f>
        <v>0</v>
      </c>
      <c r="X50" s="325">
        <f>IF(Case_Scenario="Bull",X51,IF(Case_Scenario="Base",X52,IF(Case_Scenario="bear",X53,"N/A")))</f>
        <v>0</v>
      </c>
      <c r="Y50" s="324">
        <f>Model!Y69</f>
        <v>-5.9642036786312306E-3</v>
      </c>
      <c r="Z50" s="325">
        <f>IF(Case_Scenario="Bull",Z51,IF(Case_Scenario="Base",Z52,IF(Case_Scenario="bear",Z53,"N/A")))</f>
        <v>0</v>
      </c>
      <c r="AA50" s="325">
        <f>IF(Case_Scenario="Bull",AA51,IF(Case_Scenario="Base",AA52,IF(Case_Scenario="bear",AA53,"N/A")))</f>
        <v>0</v>
      </c>
      <c r="AB50" s="325">
        <f>IF(Case_Scenario="Bull",AB51,IF(Case_Scenario="Base",AB52,IF(Case_Scenario="bear",AB53,"N/A")))</f>
        <v>0</v>
      </c>
      <c r="AC50" s="325">
        <f>IF(Case_Scenario="Bull",AC51,IF(Case_Scenario="Base",AC52,IF(Case_Scenario="bear",AC53,"N/A")))</f>
        <v>0</v>
      </c>
      <c r="AD50" s="324">
        <f>Model!AD69</f>
        <v>0</v>
      </c>
      <c r="AE50" s="324">
        <f>IF(Case_Scenario="Bull",AE51,IF(Case_Scenario="Base",AE52,IF(Case_Scenario="bear",AE53,"N/A")))</f>
        <v>0</v>
      </c>
      <c r="AF50" s="324">
        <f>IF(Case_Scenario="Bull",AF51,IF(Case_Scenario="Base",AF52,IF(Case_Scenario="bear",AF53,"N/A")))</f>
        <v>0</v>
      </c>
      <c r="AG50" s="324">
        <f>IF(Case_Scenario="Bull",AG51,IF(Case_Scenario="Base",AG52,IF(Case_Scenario="bear",AG53,"N/A")))</f>
        <v>0</v>
      </c>
      <c r="AH50" s="12"/>
      <c r="AI50" s="12"/>
    </row>
    <row r="51" spans="1:35" ht="12.75" customHeight="1">
      <c r="A51" s="12"/>
      <c r="B51" s="12"/>
      <c r="C51" s="108" t="s">
        <v>251</v>
      </c>
      <c r="D51" s="12"/>
      <c r="E51" s="12"/>
      <c r="F51" s="323"/>
      <c r="G51" s="323"/>
      <c r="H51" s="323"/>
      <c r="I51" s="323"/>
      <c r="J51" s="324"/>
      <c r="K51" s="323"/>
      <c r="L51" s="323"/>
      <c r="M51" s="323"/>
      <c r="N51" s="323"/>
      <c r="O51" s="324"/>
      <c r="P51" s="323"/>
      <c r="Q51" s="323"/>
      <c r="R51" s="323"/>
      <c r="S51" s="323"/>
      <c r="T51" s="324"/>
      <c r="U51" s="323"/>
      <c r="V51" s="323"/>
      <c r="W51" s="323"/>
      <c r="X51" s="266">
        <v>0</v>
      </c>
      <c r="Y51" s="324"/>
      <c r="Z51" s="266">
        <v>0</v>
      </c>
      <c r="AA51" s="266">
        <v>0</v>
      </c>
      <c r="AB51" s="266">
        <v>0</v>
      </c>
      <c r="AC51" s="266">
        <v>0</v>
      </c>
      <c r="AD51" s="324"/>
      <c r="AE51" s="267">
        <v>0</v>
      </c>
      <c r="AF51" s="267">
        <v>0</v>
      </c>
      <c r="AG51" s="267">
        <v>0</v>
      </c>
      <c r="AH51" s="12"/>
      <c r="AI51" s="12"/>
    </row>
    <row r="52" spans="1:35" ht="12.75" customHeight="1">
      <c r="A52" s="12"/>
      <c r="B52" s="12"/>
      <c r="C52" s="108" t="s">
        <v>252</v>
      </c>
      <c r="D52" s="12"/>
      <c r="E52" s="12"/>
      <c r="F52" s="323"/>
      <c r="G52" s="323"/>
      <c r="H52" s="323"/>
      <c r="I52" s="323"/>
      <c r="J52" s="324"/>
      <c r="K52" s="323"/>
      <c r="L52" s="323"/>
      <c r="M52" s="323"/>
      <c r="N52" s="323"/>
      <c r="O52" s="324"/>
      <c r="P52" s="323"/>
      <c r="Q52" s="323"/>
      <c r="R52" s="323"/>
      <c r="S52" s="323"/>
      <c r="T52" s="324"/>
      <c r="U52" s="323"/>
      <c r="V52" s="323"/>
      <c r="W52" s="323"/>
      <c r="X52" s="266">
        <v>0</v>
      </c>
      <c r="Y52" s="324"/>
      <c r="Z52" s="266">
        <v>0</v>
      </c>
      <c r="AA52" s="266">
        <v>0</v>
      </c>
      <c r="AB52" s="266">
        <v>0</v>
      </c>
      <c r="AC52" s="266">
        <v>0</v>
      </c>
      <c r="AD52" s="324"/>
      <c r="AE52" s="267">
        <v>0</v>
      </c>
      <c r="AF52" s="267">
        <v>0</v>
      </c>
      <c r="AG52" s="267">
        <v>0</v>
      </c>
      <c r="AH52" s="12"/>
      <c r="AI52" s="12"/>
    </row>
    <row r="53" spans="1:35" ht="12.75" customHeight="1">
      <c r="A53" s="12"/>
      <c r="B53" s="12"/>
      <c r="C53" s="108" t="s">
        <v>253</v>
      </c>
      <c r="D53" s="12"/>
      <c r="E53" s="12"/>
      <c r="F53" s="323"/>
      <c r="G53" s="323"/>
      <c r="H53" s="323"/>
      <c r="I53" s="323"/>
      <c r="J53" s="324"/>
      <c r="K53" s="323"/>
      <c r="L53" s="323"/>
      <c r="M53" s="323"/>
      <c r="N53" s="323"/>
      <c r="O53" s="324"/>
      <c r="P53" s="323"/>
      <c r="Q53" s="323"/>
      <c r="R53" s="323"/>
      <c r="S53" s="323"/>
      <c r="T53" s="324"/>
      <c r="U53" s="323"/>
      <c r="V53" s="323"/>
      <c r="W53" s="323"/>
      <c r="X53" s="266">
        <v>0</v>
      </c>
      <c r="Y53" s="324"/>
      <c r="Z53" s="266">
        <v>0</v>
      </c>
      <c r="AA53" s="266">
        <v>0</v>
      </c>
      <c r="AB53" s="266">
        <v>0</v>
      </c>
      <c r="AC53" s="266">
        <v>0</v>
      </c>
      <c r="AD53" s="324"/>
      <c r="AE53" s="267">
        <v>0</v>
      </c>
      <c r="AF53" s="267">
        <v>0</v>
      </c>
      <c r="AG53" s="267">
        <v>0</v>
      </c>
      <c r="AH53" s="12"/>
      <c r="AI53" s="12"/>
    </row>
    <row r="54" spans="1:35" ht="12.75" customHeight="1">
      <c r="A54" s="12"/>
      <c r="B54" s="12"/>
      <c r="C54" s="12"/>
      <c r="D54" s="12"/>
      <c r="E54" s="12"/>
      <c r="F54" s="323"/>
      <c r="G54" s="323"/>
      <c r="H54" s="323"/>
      <c r="I54" s="323"/>
      <c r="J54" s="324"/>
      <c r="K54" s="323"/>
      <c r="L54" s="323"/>
      <c r="M54" s="323"/>
      <c r="N54" s="323"/>
      <c r="O54" s="324"/>
      <c r="P54" s="323"/>
      <c r="Q54" s="323"/>
      <c r="R54" s="323"/>
      <c r="S54" s="323"/>
      <c r="T54" s="324"/>
      <c r="U54" s="323"/>
      <c r="V54" s="323"/>
      <c r="W54" s="323"/>
      <c r="X54" s="325"/>
      <c r="Y54" s="324"/>
      <c r="Z54" s="325"/>
      <c r="AA54" s="325"/>
      <c r="AB54" s="325"/>
      <c r="AC54" s="325"/>
      <c r="AD54" s="324"/>
      <c r="AE54" s="137"/>
      <c r="AF54" s="137"/>
      <c r="AG54" s="137"/>
      <c r="AH54" s="12"/>
      <c r="AI54" s="12"/>
    </row>
    <row r="55" spans="1:35" ht="12.75" customHeight="1">
      <c r="A55" s="12"/>
      <c r="B55" s="12"/>
      <c r="C55" s="458" t="s">
        <v>479</v>
      </c>
      <c r="D55" s="459"/>
      <c r="E55" s="459"/>
      <c r="F55" s="460"/>
      <c r="G55" s="461"/>
      <c r="H55" s="461"/>
      <c r="I55" s="461"/>
      <c r="J55" s="461"/>
      <c r="K55" s="461"/>
      <c r="L55" s="461"/>
      <c r="M55" s="461"/>
      <c r="N55" s="461"/>
      <c r="O55" s="461"/>
      <c r="P55" s="461"/>
      <c r="Q55" s="461"/>
      <c r="R55" s="461"/>
      <c r="S55" s="461"/>
      <c r="T55" s="461"/>
      <c r="U55" s="461"/>
      <c r="V55" s="461"/>
      <c r="W55" s="461"/>
      <c r="X55" s="461"/>
      <c r="Y55" s="461"/>
      <c r="Z55" s="461"/>
      <c r="AA55" s="461"/>
      <c r="AB55" s="461"/>
      <c r="AC55" s="461"/>
      <c r="AD55" s="461"/>
      <c r="AE55" s="461"/>
      <c r="AF55" s="461"/>
      <c r="AG55" s="462"/>
      <c r="AH55" s="12"/>
      <c r="AI55" s="12"/>
    </row>
    <row r="56" spans="1:35" ht="12.75" customHeight="1">
      <c r="A56" s="211" t="s">
        <v>1</v>
      </c>
      <c r="B56" s="12"/>
      <c r="C56" s="12"/>
      <c r="D56" s="12"/>
      <c r="E56" s="12"/>
      <c r="F56" s="323"/>
      <c r="G56" s="323"/>
      <c r="H56" s="323"/>
      <c r="I56" s="323"/>
      <c r="J56" s="324"/>
      <c r="K56" s="323"/>
      <c r="L56" s="323"/>
      <c r="M56" s="323"/>
      <c r="N56" s="323"/>
      <c r="O56" s="324"/>
      <c r="P56" s="323"/>
      <c r="Q56" s="323"/>
      <c r="R56" s="323"/>
      <c r="S56" s="323"/>
      <c r="T56" s="324"/>
      <c r="U56" s="323"/>
      <c r="V56" s="323"/>
      <c r="W56" s="323"/>
      <c r="X56" s="325"/>
      <c r="Y56" s="324"/>
      <c r="Z56" s="325"/>
      <c r="AA56" s="325"/>
      <c r="AB56" s="325"/>
      <c r="AC56" s="325"/>
      <c r="AD56" s="324"/>
      <c r="AE56" s="137"/>
      <c r="AF56" s="137"/>
      <c r="AG56" s="137"/>
      <c r="AH56" s="211" t="s">
        <v>1</v>
      </c>
      <c r="AI56" s="211"/>
    </row>
    <row r="57" spans="1:35" ht="12.75" customHeight="1">
      <c r="A57" s="12"/>
      <c r="B57" s="12"/>
      <c r="C57" s="12" t="str">
        <f>Model!C70</f>
        <v>Other Non-Operating Income as a % of Revenue</v>
      </c>
      <c r="D57" s="12"/>
      <c r="E57" s="12"/>
      <c r="F57" s="323">
        <f>Model!F70</f>
        <v>-8.7243734395490626E-3</v>
      </c>
      <c r="G57" s="323">
        <f>Model!G70</f>
        <v>3.293026603028275E-3</v>
      </c>
      <c r="H57" s="323">
        <f>Model!H70</f>
        <v>1.9693811559990389E-2</v>
      </c>
      <c r="I57" s="323">
        <f>Model!I70</f>
        <v>-1.9557389623365118E-2</v>
      </c>
      <c r="J57" s="324">
        <f>Model!J70</f>
        <v>-1.4462405618288156E-3</v>
      </c>
      <c r="K57" s="323">
        <f>Model!K70</f>
        <v>1.6579691028382873E-2</v>
      </c>
      <c r="L57" s="323">
        <f>Model!L70</f>
        <v>8.2647178509745994E-3</v>
      </c>
      <c r="M57" s="323">
        <f>Model!M70</f>
        <v>-2.2080056771181787E-3</v>
      </c>
      <c r="N57" s="323">
        <f>Model!N70</f>
        <v>5.280332928870533E-3</v>
      </c>
      <c r="O57" s="324">
        <f>Model!O70</f>
        <v>6.8402408289066482E-3</v>
      </c>
      <c r="P57" s="323">
        <f>Model!P70</f>
        <v>4.8278441374355833E-3</v>
      </c>
      <c r="Q57" s="323">
        <f>Model!Q70</f>
        <v>3.5769840437448095E-3</v>
      </c>
      <c r="R57" s="323">
        <f>Model!R70</f>
        <v>3.167335154483716E-3</v>
      </c>
      <c r="S57" s="323">
        <f>Model!S70</f>
        <v>-0.10331296892262912</v>
      </c>
      <c r="T57" s="324">
        <f>Model!T70</f>
        <v>-2.4744109714097125E-2</v>
      </c>
      <c r="U57" s="323">
        <f>Model!U70</f>
        <v>0.23283449622714966</v>
      </c>
      <c r="V57" s="323">
        <f>Model!V70</f>
        <v>0</v>
      </c>
      <c r="W57" s="323">
        <f>Model!W70</f>
        <v>0</v>
      </c>
      <c r="X57" s="325">
        <f>IF(Case_Scenario="Bull",X58,IF(Case_Scenario="Base",X59,IF(Case_Scenario="bear",X60,"N/A")))</f>
        <v>0</v>
      </c>
      <c r="Y57" s="324">
        <f>Model!Y70</f>
        <v>3.3749506877049862E-2</v>
      </c>
      <c r="Z57" s="325">
        <f>IF(Case_Scenario="Bull",Z58,IF(Case_Scenario="Base",Z59,IF(Case_Scenario="bear",Z60,"N/A")))</f>
        <v>0</v>
      </c>
      <c r="AA57" s="325">
        <f>IF(Case_Scenario="Bull",AA58,IF(Case_Scenario="Base",AA59,IF(Case_Scenario="bear",AA60,"N/A")))</f>
        <v>0</v>
      </c>
      <c r="AB57" s="325">
        <f>IF(Case_Scenario="Bull",AB58,IF(Case_Scenario="Base",AB59,IF(Case_Scenario="bear",AB60,"N/A")))</f>
        <v>0</v>
      </c>
      <c r="AC57" s="325">
        <f>IF(Case_Scenario="Bull",AC58,IF(Case_Scenario="Base",AC59,IF(Case_Scenario="bear",AC60,"N/A")))</f>
        <v>0</v>
      </c>
      <c r="AD57" s="324">
        <f>Model!AD70</f>
        <v>0</v>
      </c>
      <c r="AE57" s="324">
        <f>IF(Case_Scenario="Bull",AE58,IF(Case_Scenario="Base",AE59,IF(Case_Scenario="bear",AE60,"N/A")))</f>
        <v>0</v>
      </c>
      <c r="AF57" s="324">
        <f>IF(Case_Scenario="Bull",AF58,IF(Case_Scenario="Base",AF59,IF(Case_Scenario="bear",AF60,"N/A")))</f>
        <v>0</v>
      </c>
      <c r="AG57" s="324">
        <f>IF(Case_Scenario="Bull",AG58,IF(Case_Scenario="Base",AG59,IF(Case_Scenario="bear",AG60,"N/A")))</f>
        <v>0</v>
      </c>
      <c r="AH57" s="12"/>
      <c r="AI57" s="12"/>
    </row>
    <row r="58" spans="1:35" ht="12.75" customHeight="1">
      <c r="A58" s="12"/>
      <c r="B58" s="12"/>
      <c r="C58" s="108" t="s">
        <v>251</v>
      </c>
      <c r="D58" s="12"/>
      <c r="E58" s="12"/>
      <c r="F58" s="323"/>
      <c r="G58" s="323"/>
      <c r="H58" s="323"/>
      <c r="I58" s="323"/>
      <c r="J58" s="324"/>
      <c r="K58" s="323"/>
      <c r="L58" s="323"/>
      <c r="M58" s="323"/>
      <c r="N58" s="323"/>
      <c r="O58" s="324"/>
      <c r="P58" s="323"/>
      <c r="Q58" s="323"/>
      <c r="R58" s="323"/>
      <c r="S58" s="323"/>
      <c r="T58" s="324"/>
      <c r="U58" s="323"/>
      <c r="V58" s="323"/>
      <c r="W58" s="323"/>
      <c r="X58" s="266">
        <v>0</v>
      </c>
      <c r="Y58" s="324"/>
      <c r="Z58" s="266">
        <v>0</v>
      </c>
      <c r="AA58" s="266">
        <v>0</v>
      </c>
      <c r="AB58" s="266">
        <v>0</v>
      </c>
      <c r="AC58" s="266">
        <v>0</v>
      </c>
      <c r="AD58" s="324"/>
      <c r="AE58" s="267">
        <v>0</v>
      </c>
      <c r="AF58" s="267">
        <v>0</v>
      </c>
      <c r="AG58" s="267">
        <v>0</v>
      </c>
      <c r="AH58" s="12"/>
      <c r="AI58" s="12"/>
    </row>
    <row r="59" spans="1:35" ht="12.75" customHeight="1">
      <c r="A59" s="12"/>
      <c r="B59" s="12"/>
      <c r="C59" s="108" t="s">
        <v>252</v>
      </c>
      <c r="D59" s="12"/>
      <c r="E59" s="12"/>
      <c r="F59" s="323"/>
      <c r="G59" s="323"/>
      <c r="H59" s="323"/>
      <c r="I59" s="323"/>
      <c r="J59" s="324"/>
      <c r="K59" s="323"/>
      <c r="L59" s="323"/>
      <c r="M59" s="323"/>
      <c r="N59" s="323"/>
      <c r="O59" s="324"/>
      <c r="P59" s="323"/>
      <c r="Q59" s="323"/>
      <c r="R59" s="323"/>
      <c r="S59" s="323"/>
      <c r="T59" s="324"/>
      <c r="U59" s="323"/>
      <c r="V59" s="323"/>
      <c r="W59" s="323"/>
      <c r="X59" s="266">
        <v>0</v>
      </c>
      <c r="Y59" s="324"/>
      <c r="Z59" s="266">
        <v>0</v>
      </c>
      <c r="AA59" s="266">
        <v>0</v>
      </c>
      <c r="AB59" s="266">
        <v>0</v>
      </c>
      <c r="AC59" s="266">
        <v>0</v>
      </c>
      <c r="AD59" s="324"/>
      <c r="AE59" s="267">
        <v>0</v>
      </c>
      <c r="AF59" s="267">
        <v>0</v>
      </c>
      <c r="AG59" s="267">
        <v>0</v>
      </c>
      <c r="AH59" s="12"/>
      <c r="AI59" s="12"/>
    </row>
    <row r="60" spans="1:35" ht="12.75" customHeight="1">
      <c r="A60" s="12"/>
      <c r="B60" s="12"/>
      <c r="C60" s="108" t="s">
        <v>253</v>
      </c>
      <c r="D60" s="12"/>
      <c r="E60" s="12"/>
      <c r="F60" s="323"/>
      <c r="G60" s="323"/>
      <c r="H60" s="323"/>
      <c r="I60" s="323"/>
      <c r="J60" s="324"/>
      <c r="K60" s="323"/>
      <c r="L60" s="323"/>
      <c r="M60" s="323"/>
      <c r="N60" s="323"/>
      <c r="O60" s="324"/>
      <c r="P60" s="323"/>
      <c r="Q60" s="323"/>
      <c r="R60" s="323"/>
      <c r="S60" s="323"/>
      <c r="T60" s="324"/>
      <c r="U60" s="323"/>
      <c r="V60" s="323"/>
      <c r="W60" s="323"/>
      <c r="X60" s="266">
        <v>0</v>
      </c>
      <c r="Y60" s="324"/>
      <c r="Z60" s="266">
        <v>0</v>
      </c>
      <c r="AA60" s="266">
        <v>0</v>
      </c>
      <c r="AB60" s="266">
        <v>0</v>
      </c>
      <c r="AC60" s="266">
        <v>0</v>
      </c>
      <c r="AD60" s="324"/>
      <c r="AE60" s="267">
        <v>0</v>
      </c>
      <c r="AF60" s="267">
        <v>0</v>
      </c>
      <c r="AG60" s="267">
        <v>0</v>
      </c>
      <c r="AH60" s="12"/>
      <c r="AI60" s="12"/>
    </row>
    <row r="61" spans="1:35" ht="12.75" customHeight="1">
      <c r="A61" s="12"/>
      <c r="B61" s="12"/>
      <c r="C61" s="108"/>
      <c r="D61" s="12"/>
      <c r="E61" s="12"/>
      <c r="F61" s="323"/>
      <c r="G61" s="323"/>
      <c r="H61" s="323"/>
      <c r="I61" s="323"/>
      <c r="J61" s="324"/>
      <c r="K61" s="323"/>
      <c r="L61" s="323"/>
      <c r="M61" s="323"/>
      <c r="N61" s="323"/>
      <c r="O61" s="324"/>
      <c r="P61" s="323"/>
      <c r="Q61" s="323"/>
      <c r="R61" s="323"/>
      <c r="S61" s="323"/>
      <c r="T61" s="324"/>
      <c r="U61" s="323"/>
      <c r="V61" s="323"/>
      <c r="W61" s="323"/>
      <c r="X61" s="266"/>
      <c r="Y61" s="324"/>
      <c r="Z61" s="266"/>
      <c r="AA61" s="266"/>
      <c r="AB61" s="266"/>
      <c r="AC61" s="266"/>
      <c r="AD61" s="324"/>
      <c r="AE61" s="267"/>
      <c r="AF61" s="267"/>
      <c r="AG61" s="267"/>
      <c r="AH61" s="12"/>
      <c r="AI61" s="12"/>
    </row>
    <row r="62" spans="1:35" ht="12.75" customHeight="1">
      <c r="A62" s="12"/>
      <c r="B62" s="12"/>
      <c r="C62" s="12" t="str">
        <f>Model!C40</f>
        <v>Goodwill Impairment</v>
      </c>
      <c r="D62" s="12"/>
      <c r="E62" s="12"/>
      <c r="F62" s="271">
        <f>Model!F40</f>
        <v>0</v>
      </c>
      <c r="G62" s="271">
        <f>Model!G40</f>
        <v>0</v>
      </c>
      <c r="H62" s="271">
        <f>Model!H40</f>
        <v>0</v>
      </c>
      <c r="I62" s="271">
        <f>Model!I40</f>
        <v>0</v>
      </c>
      <c r="J62" s="272">
        <f>Model!J40</f>
        <v>0</v>
      </c>
      <c r="K62" s="271">
        <f>Model!K40</f>
        <v>0</v>
      </c>
      <c r="L62" s="271">
        <f>Model!L40</f>
        <v>0</v>
      </c>
      <c r="M62" s="271">
        <f>Model!M40</f>
        <v>0</v>
      </c>
      <c r="N62" s="271">
        <f>Model!N40</f>
        <v>0</v>
      </c>
      <c r="O62" s="272">
        <f>Model!O40</f>
        <v>0</v>
      </c>
      <c r="P62" s="271">
        <f>Model!P40</f>
        <v>0</v>
      </c>
      <c r="Q62" s="271">
        <f>Model!Q40</f>
        <v>0</v>
      </c>
      <c r="R62" s="271">
        <f>Model!R40</f>
        <v>0</v>
      </c>
      <c r="S62" s="271">
        <f>Model!S40</f>
        <v>0</v>
      </c>
      <c r="T62" s="272">
        <f>Model!T40</f>
        <v>0</v>
      </c>
      <c r="U62" s="271">
        <f>Model!U40</f>
        <v>0</v>
      </c>
      <c r="V62" s="271">
        <f>Model!V40</f>
        <v>0</v>
      </c>
      <c r="W62" s="271">
        <f>Model!W40</f>
        <v>0</v>
      </c>
      <c r="X62" s="463">
        <v>0</v>
      </c>
      <c r="Y62" s="272">
        <f>Model!Y40</f>
        <v>0</v>
      </c>
      <c r="Z62" s="463">
        <v>0</v>
      </c>
      <c r="AA62" s="463">
        <v>0</v>
      </c>
      <c r="AB62" s="463">
        <v>0</v>
      </c>
      <c r="AC62" s="463">
        <v>0</v>
      </c>
      <c r="AD62" s="272">
        <f>Model!AD40</f>
        <v>0</v>
      </c>
      <c r="AE62" s="464">
        <v>0</v>
      </c>
      <c r="AF62" s="464">
        <v>0</v>
      </c>
      <c r="AG62" s="464">
        <v>0</v>
      </c>
      <c r="AH62" s="12"/>
      <c r="AI62" s="12"/>
    </row>
    <row r="63" spans="1:35" ht="12.75" customHeight="1">
      <c r="A63" s="12"/>
      <c r="B63" s="12"/>
      <c r="C63" s="12"/>
      <c r="D63" s="12"/>
      <c r="E63" s="12"/>
      <c r="F63" s="323"/>
      <c r="G63" s="323"/>
      <c r="H63" s="323"/>
      <c r="I63" s="323"/>
      <c r="J63" s="324"/>
      <c r="K63" s="323"/>
      <c r="L63" s="323"/>
      <c r="M63" s="323"/>
      <c r="N63" s="323"/>
      <c r="O63" s="324"/>
      <c r="P63" s="323"/>
      <c r="Q63" s="323"/>
      <c r="R63" s="323"/>
      <c r="S63" s="323"/>
      <c r="T63" s="324"/>
      <c r="U63" s="323"/>
      <c r="V63" s="323"/>
      <c r="W63" s="323"/>
      <c r="X63" s="325"/>
      <c r="Y63" s="324"/>
      <c r="Z63" s="325"/>
      <c r="AA63" s="325"/>
      <c r="AB63" s="325"/>
      <c r="AC63" s="325"/>
      <c r="AD63" s="324"/>
      <c r="AE63" s="137"/>
      <c r="AF63" s="137"/>
      <c r="AG63" s="137"/>
      <c r="AH63" s="12"/>
      <c r="AI63" s="12"/>
    </row>
    <row r="64" spans="1:35" ht="12.75" customHeight="1">
      <c r="A64" s="12"/>
      <c r="B64" s="12"/>
      <c r="C64" s="12" t="str">
        <f>Model!C71</f>
        <v>Tax Rate</v>
      </c>
      <c r="D64" s="12"/>
      <c r="E64" s="12"/>
      <c r="F64" s="323">
        <f>Model!F71</f>
        <v>0.1114826731224053</v>
      </c>
      <c r="G64" s="323">
        <f>Model!G71</f>
        <v>0.11416563252531366</v>
      </c>
      <c r="H64" s="323">
        <f>Model!H71</f>
        <v>0.12133109207778324</v>
      </c>
      <c r="I64" s="323">
        <f>Model!I71</f>
        <v>-4.7069031903954464E-2</v>
      </c>
      <c r="J64" s="324">
        <f>Model!J71</f>
        <v>-0.20042590504822763</v>
      </c>
      <c r="K64" s="323">
        <f>Model!K71</f>
        <v>0.10799826664254551</v>
      </c>
      <c r="L64" s="323">
        <f>Model!L71</f>
        <v>0.14581185238931746</v>
      </c>
      <c r="M64" s="323">
        <f>Model!M71</f>
        <v>0.12558297329514304</v>
      </c>
      <c r="N64" s="323">
        <f>Model!N71</f>
        <v>0.23350866391207756</v>
      </c>
      <c r="O64" s="324">
        <f>Model!O71</f>
        <v>0.15167879671953</v>
      </c>
      <c r="P64" s="323">
        <f>Model!P71</f>
        <v>9.4756237123766435E-2</v>
      </c>
      <c r="Q64" s="323">
        <f>Model!Q71</f>
        <v>0.13070059888900151</v>
      </c>
      <c r="R64" s="323">
        <f>Model!R71</f>
        <v>0.16868078639450809</v>
      </c>
      <c r="S64" s="323">
        <f>Model!S71</f>
        <v>-0.60415225418412499</v>
      </c>
      <c r="T64" s="324">
        <f>Model!T71</f>
        <v>3.3310007958914686E-2</v>
      </c>
      <c r="U64" s="323">
        <f>Model!U71</f>
        <v>0.19935427481861243</v>
      </c>
      <c r="V64" s="323">
        <f>Model!V71</f>
        <v>0.2443665498247371</v>
      </c>
      <c r="W64" s="323">
        <f>Model!W71</f>
        <v>0.26110678098207324</v>
      </c>
      <c r="X64" s="325">
        <f>IF(Case_Scenario="Bull",X65,IF(Case_Scenario="Base",X66,IF(Case_Scenario="bear",X67,"N/A")))</f>
        <v>0.24</v>
      </c>
      <c r="Y64" s="324" t="str">
        <f ca="1">Model!Y71</f>
        <v/>
      </c>
      <c r="Z64" s="325">
        <f>IF(Case_Scenario="Bull",Z65,IF(Case_Scenario="Base",Z66,IF(Case_Scenario="bear",Z67,"N/A")))</f>
        <v>0.24</v>
      </c>
      <c r="AA64" s="325">
        <f>IF(Case_Scenario="Bull",AA65,IF(Case_Scenario="Base",AA66,IF(Case_Scenario="bear",AA67,"N/A")))</f>
        <v>0.24</v>
      </c>
      <c r="AB64" s="325">
        <f>IF(Case_Scenario="Bull",AB65,IF(Case_Scenario="Base",AB66,IF(Case_Scenario="bear",AB67,"N/A")))</f>
        <v>0.24</v>
      </c>
      <c r="AC64" s="325">
        <f>IF(Case_Scenario="Bull",AC65,IF(Case_Scenario="Base",AC66,IF(Case_Scenario="bear",AC67,"N/A")))</f>
        <v>0.24</v>
      </c>
      <c r="AD64" s="324" t="str">
        <f ca="1">Model!AD71</f>
        <v/>
      </c>
      <c r="AE64" s="324">
        <f>IF(Case_Scenario="Bull",AE65,IF(Case_Scenario="Base",AE66,IF(Case_Scenario="bear",AE67,"N/A")))</f>
        <v>0.24</v>
      </c>
      <c r="AF64" s="324">
        <f>IF(Case_Scenario="Bull",AF65,IF(Case_Scenario="Base",AF66,IF(Case_Scenario="bear",AF67,"N/A")))</f>
        <v>0.24</v>
      </c>
      <c r="AG64" s="324">
        <f>IF(Case_Scenario="Bull",AG65,IF(Case_Scenario="Base",AG66,IF(Case_Scenario="bear",AG67,"N/A")))</f>
        <v>0.24</v>
      </c>
      <c r="AH64" s="12"/>
      <c r="AI64" s="12"/>
    </row>
    <row r="65" spans="1:35" ht="12.75" customHeight="1">
      <c r="A65" s="211" t="s">
        <v>1</v>
      </c>
      <c r="B65" s="12"/>
      <c r="C65" s="108" t="s">
        <v>251</v>
      </c>
      <c r="D65" s="12"/>
      <c r="E65" s="12"/>
      <c r="F65" s="323"/>
      <c r="G65" s="323"/>
      <c r="H65" s="323"/>
      <c r="I65" s="323"/>
      <c r="J65" s="324"/>
      <c r="K65" s="323"/>
      <c r="L65" s="323"/>
      <c r="M65" s="323"/>
      <c r="N65" s="323"/>
      <c r="O65" s="324"/>
      <c r="P65" s="323"/>
      <c r="Q65" s="323"/>
      <c r="R65" s="323"/>
      <c r="S65" s="323"/>
      <c r="T65" s="324"/>
      <c r="U65" s="323"/>
      <c r="V65" s="323"/>
      <c r="W65" s="323"/>
      <c r="X65" s="266">
        <v>0.23</v>
      </c>
      <c r="Y65" s="324"/>
      <c r="Z65" s="266">
        <v>0.22</v>
      </c>
      <c r="AA65" s="266">
        <v>0.22</v>
      </c>
      <c r="AB65" s="266">
        <v>0.23</v>
      </c>
      <c r="AC65" s="266">
        <v>0.23</v>
      </c>
      <c r="AD65" s="324"/>
      <c r="AE65" s="267">
        <v>0.23</v>
      </c>
      <c r="AF65" s="267">
        <v>0.23</v>
      </c>
      <c r="AG65" s="267">
        <v>0.23</v>
      </c>
      <c r="AH65" s="211" t="s">
        <v>1</v>
      </c>
      <c r="AI65" s="211"/>
    </row>
    <row r="66" spans="1:35" ht="12.75" customHeight="1">
      <c r="A66" s="12"/>
      <c r="B66" s="12"/>
      <c r="C66" s="108" t="s">
        <v>252</v>
      </c>
      <c r="D66" s="12"/>
      <c r="E66" s="12"/>
      <c r="F66" s="323"/>
      <c r="G66" s="323"/>
      <c r="H66" s="323"/>
      <c r="I66" s="323"/>
      <c r="J66" s="324"/>
      <c r="K66" s="323"/>
      <c r="L66" s="323"/>
      <c r="M66" s="323"/>
      <c r="N66" s="323"/>
      <c r="O66" s="324"/>
      <c r="P66" s="323"/>
      <c r="Q66" s="323"/>
      <c r="R66" s="323"/>
      <c r="S66" s="323"/>
      <c r="T66" s="324"/>
      <c r="U66" s="323"/>
      <c r="V66" s="323"/>
      <c r="W66" s="323"/>
      <c r="X66" s="266">
        <v>0.24</v>
      </c>
      <c r="Y66" s="324"/>
      <c r="Z66" s="266">
        <v>0.24</v>
      </c>
      <c r="AA66" s="266">
        <v>0.24</v>
      </c>
      <c r="AB66" s="266">
        <v>0.24</v>
      </c>
      <c r="AC66" s="266">
        <v>0.24</v>
      </c>
      <c r="AD66" s="324"/>
      <c r="AE66" s="267">
        <v>0.24</v>
      </c>
      <c r="AF66" s="267">
        <v>0.24</v>
      </c>
      <c r="AG66" s="267">
        <v>0.24</v>
      </c>
      <c r="AH66" s="12"/>
      <c r="AI66" s="12"/>
    </row>
    <row r="67" spans="1:35" ht="12.75" customHeight="1">
      <c r="A67" s="12"/>
      <c r="B67" s="12"/>
      <c r="C67" s="108" t="s">
        <v>253</v>
      </c>
      <c r="D67" s="12"/>
      <c r="E67" s="12"/>
      <c r="F67" s="323"/>
      <c r="G67" s="323"/>
      <c r="H67" s="323"/>
      <c r="I67" s="323"/>
      <c r="J67" s="324"/>
      <c r="K67" s="323"/>
      <c r="L67" s="323"/>
      <c r="M67" s="323"/>
      <c r="N67" s="323"/>
      <c r="O67" s="324"/>
      <c r="P67" s="323"/>
      <c r="Q67" s="323"/>
      <c r="R67" s="323"/>
      <c r="S67" s="323"/>
      <c r="T67" s="324"/>
      <c r="U67" s="323"/>
      <c r="V67" s="323"/>
      <c r="W67" s="323"/>
      <c r="X67" s="266">
        <v>0.3</v>
      </c>
      <c r="Y67" s="324"/>
      <c r="Z67" s="266">
        <v>0.26</v>
      </c>
      <c r="AA67" s="266">
        <v>0.27</v>
      </c>
      <c r="AB67" s="266">
        <v>0.3</v>
      </c>
      <c r="AC67" s="266">
        <v>0.3</v>
      </c>
      <c r="AD67" s="324"/>
      <c r="AE67" s="267">
        <v>0.3</v>
      </c>
      <c r="AF67" s="267">
        <v>0.28000000000000003</v>
      </c>
      <c r="AG67" s="267">
        <v>0.27</v>
      </c>
      <c r="AH67" s="12"/>
      <c r="AI67" s="12"/>
    </row>
    <row r="68" spans="1:35" ht="12.75" customHeight="1">
      <c r="A68" s="12"/>
      <c r="B68" s="12"/>
      <c r="C68" s="12"/>
      <c r="D68" s="12"/>
      <c r="E68" s="12"/>
      <c r="F68" s="323"/>
      <c r="G68" s="323"/>
      <c r="H68" s="323"/>
      <c r="I68" s="323"/>
      <c r="J68" s="324"/>
      <c r="K68" s="323"/>
      <c r="L68" s="323"/>
      <c r="M68" s="323"/>
      <c r="N68" s="323"/>
      <c r="O68" s="324"/>
      <c r="P68" s="323"/>
      <c r="Q68" s="323"/>
      <c r="R68" s="323"/>
      <c r="S68" s="323"/>
      <c r="T68" s="324"/>
      <c r="U68" s="323"/>
      <c r="V68" s="323"/>
      <c r="W68" s="323"/>
      <c r="X68" s="325"/>
      <c r="Y68" s="324"/>
      <c r="Z68" s="325"/>
      <c r="AA68" s="325"/>
      <c r="AB68" s="325"/>
      <c r="AC68" s="325"/>
      <c r="AD68" s="324"/>
      <c r="AE68" s="137"/>
      <c r="AF68" s="137"/>
      <c r="AG68" s="137"/>
      <c r="AH68" s="12"/>
      <c r="AI68" s="12"/>
    </row>
    <row r="69" spans="1:35" ht="12.75" customHeight="1">
      <c r="A69" s="12"/>
      <c r="B69" s="12"/>
      <c r="C69" s="296" t="s">
        <v>480</v>
      </c>
      <c r="D69" s="319"/>
      <c r="E69" s="319"/>
      <c r="F69" s="297" t="str">
        <f>Model!F$25</f>
        <v>1Q23</v>
      </c>
      <c r="G69" s="147" t="str">
        <f>Model!G$25</f>
        <v>2Q23</v>
      </c>
      <c r="H69" s="147" t="str">
        <f>Model!H$25</f>
        <v>3Q23</v>
      </c>
      <c r="I69" s="147" t="str">
        <f>Model!I$25</f>
        <v>4Q23</v>
      </c>
      <c r="J69" s="147">
        <f>Model!J$25</f>
        <v>2023</v>
      </c>
      <c r="K69" s="147" t="str">
        <f>Model!K$25</f>
        <v>1Q24</v>
      </c>
      <c r="L69" s="147" t="str">
        <f>Model!L$25</f>
        <v>2Q24</v>
      </c>
      <c r="M69" s="147" t="str">
        <f>Model!M$25</f>
        <v>3Q24</v>
      </c>
      <c r="N69" s="147" t="str">
        <f>Model!N$25</f>
        <v>4Q24</v>
      </c>
      <c r="O69" s="147">
        <f>Model!O$25</f>
        <v>2024</v>
      </c>
      <c r="P69" s="147" t="str">
        <f>Model!P$25</f>
        <v>1Q25</v>
      </c>
      <c r="Q69" s="147" t="str">
        <f>Model!Q$25</f>
        <v>2Q25</v>
      </c>
      <c r="R69" s="147" t="str">
        <f>Model!R$25</f>
        <v>3Q25</v>
      </c>
      <c r="S69" s="147" t="str">
        <f>Model!S$25</f>
        <v>4Q25</v>
      </c>
      <c r="T69" s="147">
        <f>Model!T$25</f>
        <v>2025</v>
      </c>
      <c r="U69" s="147" t="str">
        <f>Model!U$25</f>
        <v>1Q26</v>
      </c>
      <c r="V69" s="147" t="str">
        <f>Model!V$25</f>
        <v>2Q26</v>
      </c>
      <c r="W69" s="147" t="str">
        <f>Model!W$25</f>
        <v>3Q26e</v>
      </c>
      <c r="X69" s="147" t="str">
        <f>Model!X$25</f>
        <v>4Q26e</v>
      </c>
      <c r="Y69" s="147" t="str">
        <f>Model!Y$25</f>
        <v>2026e</v>
      </c>
      <c r="Z69" s="147" t="str">
        <f>Model!Z$25</f>
        <v>1Q27e</v>
      </c>
      <c r="AA69" s="147" t="str">
        <f>Model!AA$25</f>
        <v>2Q27e</v>
      </c>
      <c r="AB69" s="147" t="str">
        <f>Model!AB$25</f>
        <v>3Q27e</v>
      </c>
      <c r="AC69" s="147" t="str">
        <f>Model!AC$25</f>
        <v>4Q27e</v>
      </c>
      <c r="AD69" s="147" t="str">
        <f>Model!AD$25</f>
        <v>2027e</v>
      </c>
      <c r="AE69" s="147" t="str">
        <f>Model!AE$25</f>
        <v>2028e</v>
      </c>
      <c r="AF69" s="147" t="str">
        <f>Model!AF$25</f>
        <v>2029e</v>
      </c>
      <c r="AG69" s="298" t="str">
        <f>Model!AG$25</f>
        <v>2030e</v>
      </c>
      <c r="AH69" s="12"/>
      <c r="AI69" s="12"/>
    </row>
    <row r="70" spans="1:35" ht="12.75" customHeight="1">
      <c r="A70" s="12"/>
      <c r="B70" s="12"/>
      <c r="C70" s="453" t="s">
        <v>481</v>
      </c>
      <c r="D70" s="454"/>
      <c r="E70" s="454"/>
      <c r="F70" s="465"/>
      <c r="G70" s="466"/>
      <c r="H70" s="466"/>
      <c r="I70" s="466"/>
      <c r="J70" s="466"/>
      <c r="K70" s="466"/>
      <c r="L70" s="466"/>
      <c r="M70" s="466"/>
      <c r="N70" s="466"/>
      <c r="O70" s="466"/>
      <c r="P70" s="466"/>
      <c r="Q70" s="466"/>
      <c r="R70" s="466"/>
      <c r="S70" s="466"/>
      <c r="T70" s="466"/>
      <c r="U70" s="466"/>
      <c r="V70" s="466"/>
      <c r="W70" s="466"/>
      <c r="X70" s="466"/>
      <c r="Y70" s="466"/>
      <c r="Z70" s="466"/>
      <c r="AA70" s="466"/>
      <c r="AB70" s="466"/>
      <c r="AC70" s="466"/>
      <c r="AD70" s="466"/>
      <c r="AE70" s="466"/>
      <c r="AF70" s="466"/>
      <c r="AG70" s="467"/>
      <c r="AH70" s="12"/>
      <c r="AI70" s="12"/>
    </row>
    <row r="71" spans="1:35" ht="12.75" customHeight="1">
      <c r="A71" s="12"/>
      <c r="B71" s="12"/>
      <c r="C71" s="12"/>
      <c r="D71" s="12"/>
      <c r="E71" s="12"/>
      <c r="F71" s="323"/>
      <c r="G71" s="323"/>
      <c r="H71" s="323"/>
      <c r="I71" s="323"/>
      <c r="J71" s="324"/>
      <c r="K71" s="323"/>
      <c r="L71" s="323"/>
      <c r="M71" s="323"/>
      <c r="N71" s="323"/>
      <c r="O71" s="324"/>
      <c r="P71" s="323"/>
      <c r="Q71" s="323"/>
      <c r="R71" s="323"/>
      <c r="S71" s="323"/>
      <c r="T71" s="324"/>
      <c r="U71" s="323"/>
      <c r="V71" s="323"/>
      <c r="W71" s="323"/>
      <c r="X71" s="325"/>
      <c r="Y71" s="324"/>
      <c r="Z71" s="325"/>
      <c r="AA71" s="325"/>
      <c r="AB71" s="325"/>
      <c r="AC71" s="325"/>
      <c r="AD71" s="324"/>
      <c r="AE71" s="137"/>
      <c r="AF71" s="137"/>
      <c r="AG71" s="137"/>
      <c r="AH71" s="12"/>
      <c r="AI71" s="12"/>
    </row>
    <row r="72" spans="1:35" ht="12.75" customHeight="1">
      <c r="A72" s="12"/>
      <c r="B72" s="12"/>
      <c r="C72" s="12" t="str">
        <f>Model!C201</f>
        <v>Depreciation as a % of Avg. PP&amp;E</v>
      </c>
      <c r="D72" s="12"/>
      <c r="E72" s="12"/>
      <c r="F72" s="323"/>
      <c r="G72" s="323">
        <f>Model!G201</f>
        <v>0</v>
      </c>
      <c r="H72" s="323">
        <f>Model!H201</f>
        <v>0</v>
      </c>
      <c r="I72" s="323">
        <f>Model!I201</f>
        <v>0</v>
      </c>
      <c r="J72" s="324">
        <f>Model!J201</f>
        <v>0</v>
      </c>
      <c r="K72" s="323">
        <f>Model!K201</f>
        <v>0</v>
      </c>
      <c r="L72" s="323">
        <f>Model!L201</f>
        <v>0</v>
      </c>
      <c r="M72" s="323">
        <f>Model!M201</f>
        <v>0</v>
      </c>
      <c r="N72" s="323">
        <f>Model!N201</f>
        <v>0</v>
      </c>
      <c r="O72" s="324">
        <f>Model!O201</f>
        <v>0</v>
      </c>
      <c r="P72" s="323">
        <f>Model!P201</f>
        <v>0</v>
      </c>
      <c r="Q72" s="323">
        <f>Model!Q201</f>
        <v>0</v>
      </c>
      <c r="R72" s="323">
        <f>Model!R201</f>
        <v>0</v>
      </c>
      <c r="S72" s="323">
        <f>Model!S201</f>
        <v>0</v>
      </c>
      <c r="T72" s="324">
        <f>Model!T201</f>
        <v>0</v>
      </c>
      <c r="U72" s="323">
        <f>Model!U201</f>
        <v>0</v>
      </c>
      <c r="V72" s="323">
        <f>Model!V201</f>
        <v>7.6302613331454716E-2</v>
      </c>
      <c r="W72" s="323">
        <f>Model!W201</f>
        <v>4.4051006428496152E-2</v>
      </c>
      <c r="X72" s="325">
        <f>IF(Case_Scenario="Bull",X73,IF(Case_Scenario="Base",X74,IF(Case_Scenario="bear",X75,"N/A")))</f>
        <v>7.0000000000000007E-2</v>
      </c>
      <c r="Y72" s="324">
        <f>Model!Y201</f>
        <v>7.0791424929003033E-2</v>
      </c>
      <c r="Z72" s="325">
        <f>IF(Case_Scenario="Bull",Z73,IF(Case_Scenario="Base",Z74,IF(Case_Scenario="bear",Z75,"N/A")))</f>
        <v>7.0000000000000007E-2</v>
      </c>
      <c r="AA72" s="325">
        <f>IF(Case_Scenario="Bull",AA73,IF(Case_Scenario="Base",AA74,IF(Case_Scenario="bear",AA75,"N/A")))</f>
        <v>7.0000000000000007E-2</v>
      </c>
      <c r="AB72" s="325">
        <f>IF(Case_Scenario="Bull",AB73,IF(Case_Scenario="Base",AB74,IF(Case_Scenario="bear",AB75,"N/A")))</f>
        <v>7.0000000000000007E-2</v>
      </c>
      <c r="AC72" s="325">
        <f>IF(Case_Scenario="Bull",AC73,IF(Case_Scenario="Base",AC74,IF(Case_Scenario="bear",AC75,"N/A")))</f>
        <v>7.0000000000000007E-2</v>
      </c>
      <c r="AD72" s="324">
        <f>Model!AD201</f>
        <v>7.0039939094284576E-2</v>
      </c>
      <c r="AE72" s="324">
        <f>IF(Case_Scenario="Bull",AE73,IF(Case_Scenario="Base",AE74,IF(Case_Scenario="bear",AE75,"N/A")))</f>
        <v>7.1999999999999995E-2</v>
      </c>
      <c r="AF72" s="324">
        <f>IF(Case_Scenario="Bull",AF73,IF(Case_Scenario="Base",AF74,IF(Case_Scenario="bear",AF75,"N/A")))</f>
        <v>7.1999999999999995E-2</v>
      </c>
      <c r="AG72" s="324">
        <f>IF(Case_Scenario="Bull",AG73,IF(Case_Scenario="Base",AG74,IF(Case_Scenario="bear",AG75,"N/A")))</f>
        <v>7.1999999999999995E-2</v>
      </c>
      <c r="AH72" s="12"/>
      <c r="AI72" s="12"/>
    </row>
    <row r="73" spans="1:35" ht="12.75" customHeight="1">
      <c r="A73" s="12"/>
      <c r="B73" s="12"/>
      <c r="C73" s="108" t="s">
        <v>251</v>
      </c>
      <c r="D73" s="12"/>
      <c r="E73" s="12"/>
      <c r="F73" s="323"/>
      <c r="G73" s="323"/>
      <c r="H73" s="323"/>
      <c r="I73" s="323"/>
      <c r="J73" s="324"/>
      <c r="K73" s="323"/>
      <c r="L73" s="323"/>
      <c r="M73" s="323"/>
      <c r="N73" s="323"/>
      <c r="O73" s="324"/>
      <c r="P73" s="323"/>
      <c r="Q73" s="323"/>
      <c r="R73" s="323"/>
      <c r="S73" s="323"/>
      <c r="T73" s="324"/>
      <c r="U73" s="323"/>
      <c r="V73" s="323"/>
      <c r="W73" s="323"/>
      <c r="X73" s="266">
        <v>0.06</v>
      </c>
      <c r="Y73" s="324"/>
      <c r="Z73" s="266">
        <v>0.06</v>
      </c>
      <c r="AA73" s="266">
        <v>0.06</v>
      </c>
      <c r="AB73" s="266">
        <v>0.06</v>
      </c>
      <c r="AC73" s="266">
        <v>0.06</v>
      </c>
      <c r="AD73" s="324"/>
      <c r="AE73" s="267">
        <v>7.0000000000000007E-2</v>
      </c>
      <c r="AF73" s="267">
        <v>7.0000000000000007E-2</v>
      </c>
      <c r="AG73" s="267">
        <v>7.0000000000000007E-2</v>
      </c>
      <c r="AH73" s="12"/>
      <c r="AI73" s="12"/>
    </row>
    <row r="74" spans="1:35" ht="12.75" customHeight="1">
      <c r="A74" s="12"/>
      <c r="B74" s="12"/>
      <c r="C74" s="108" t="s">
        <v>252</v>
      </c>
      <c r="D74" s="12"/>
      <c r="E74" s="12"/>
      <c r="F74" s="323"/>
      <c r="G74" s="323"/>
      <c r="H74" s="323"/>
      <c r="I74" s="323"/>
      <c r="J74" s="324"/>
      <c r="K74" s="323"/>
      <c r="L74" s="323"/>
      <c r="M74" s="323"/>
      <c r="N74" s="323"/>
      <c r="O74" s="324"/>
      <c r="P74" s="323"/>
      <c r="Q74" s="323"/>
      <c r="R74" s="323"/>
      <c r="S74" s="323"/>
      <c r="T74" s="324"/>
      <c r="U74" s="323"/>
      <c r="V74" s="323"/>
      <c r="W74" s="323"/>
      <c r="X74" s="266">
        <v>7.0000000000000007E-2</v>
      </c>
      <c r="Y74" s="324"/>
      <c r="Z74" s="266">
        <v>7.0000000000000007E-2</v>
      </c>
      <c r="AA74" s="266">
        <v>7.0000000000000007E-2</v>
      </c>
      <c r="AB74" s="266">
        <v>7.0000000000000007E-2</v>
      </c>
      <c r="AC74" s="266">
        <v>7.0000000000000007E-2</v>
      </c>
      <c r="AD74" s="324"/>
      <c r="AE74" s="267">
        <v>7.1999999999999995E-2</v>
      </c>
      <c r="AF74" s="267">
        <v>7.1999999999999995E-2</v>
      </c>
      <c r="AG74" s="267">
        <v>7.1999999999999995E-2</v>
      </c>
      <c r="AH74" s="12"/>
      <c r="AI74" s="12"/>
    </row>
    <row r="75" spans="1:35" ht="12.75" customHeight="1">
      <c r="A75" s="12"/>
      <c r="B75" s="12"/>
      <c r="C75" s="108" t="s">
        <v>253</v>
      </c>
      <c r="D75" s="12"/>
      <c r="E75" s="12"/>
      <c r="F75" s="323"/>
      <c r="G75" s="323"/>
      <c r="H75" s="323"/>
      <c r="I75" s="323"/>
      <c r="J75" s="324"/>
      <c r="K75" s="323"/>
      <c r="L75" s="323"/>
      <c r="M75" s="323"/>
      <c r="N75" s="323"/>
      <c r="O75" s="324"/>
      <c r="P75" s="323"/>
      <c r="Q75" s="323"/>
      <c r="R75" s="323"/>
      <c r="S75" s="323"/>
      <c r="T75" s="324"/>
      <c r="U75" s="323"/>
      <c r="V75" s="323"/>
      <c r="W75" s="323"/>
      <c r="X75" s="266">
        <v>0.08</v>
      </c>
      <c r="Y75" s="324"/>
      <c r="Z75" s="266">
        <v>0.08</v>
      </c>
      <c r="AA75" s="266">
        <v>0.08</v>
      </c>
      <c r="AB75" s="266">
        <v>0.08</v>
      </c>
      <c r="AC75" s="266">
        <v>0.08</v>
      </c>
      <c r="AD75" s="324"/>
      <c r="AE75" s="267">
        <v>7.4999999999999997E-2</v>
      </c>
      <c r="AF75" s="267">
        <v>7.4999999999999997E-2</v>
      </c>
      <c r="AG75" s="267">
        <v>7.4999999999999997E-2</v>
      </c>
      <c r="AH75" s="12"/>
      <c r="AI75" s="12"/>
    </row>
    <row r="76" spans="1:35" ht="12.75" customHeight="1">
      <c r="A76" s="12"/>
      <c r="B76" s="12"/>
      <c r="C76" s="108"/>
      <c r="D76" s="12"/>
      <c r="E76" s="12"/>
      <c r="F76" s="323"/>
      <c r="G76" s="323"/>
      <c r="H76" s="323"/>
      <c r="I76" s="323"/>
      <c r="J76" s="324"/>
      <c r="K76" s="323"/>
      <c r="L76" s="323"/>
      <c r="M76" s="323"/>
      <c r="N76" s="323"/>
      <c r="O76" s="324"/>
      <c r="P76" s="323"/>
      <c r="Q76" s="323"/>
      <c r="R76" s="323"/>
      <c r="S76" s="323"/>
      <c r="T76" s="324"/>
      <c r="U76" s="323"/>
      <c r="V76" s="323"/>
      <c r="W76" s="323"/>
      <c r="X76" s="266"/>
      <c r="Y76" s="324"/>
      <c r="Z76" s="266"/>
      <c r="AA76" s="266"/>
      <c r="AB76" s="266"/>
      <c r="AC76" s="266"/>
      <c r="AD76" s="324"/>
      <c r="AE76" s="267"/>
      <c r="AF76" s="267"/>
      <c r="AG76" s="267"/>
      <c r="AH76" s="12"/>
      <c r="AI76" s="12"/>
    </row>
    <row r="77" spans="1:35" ht="12.75" customHeight="1">
      <c r="A77" s="12"/>
      <c r="B77" s="12"/>
      <c r="C77" s="437" t="str">
        <f>'Segment Analysis'!C61</f>
        <v>Segment D&amp;A Mix</v>
      </c>
      <c r="D77" s="12"/>
      <c r="E77" s="12"/>
      <c r="F77" s="323"/>
      <c r="G77" s="323"/>
      <c r="H77" s="323"/>
      <c r="I77" s="323"/>
      <c r="J77" s="324"/>
      <c r="K77" s="323"/>
      <c r="L77" s="323"/>
      <c r="M77" s="323"/>
      <c r="N77" s="323"/>
      <c r="O77" s="324"/>
      <c r="P77" s="323"/>
      <c r="Q77" s="323"/>
      <c r="R77" s="323"/>
      <c r="S77" s="323"/>
      <c r="T77" s="324"/>
      <c r="U77" s="323"/>
      <c r="V77" s="323"/>
      <c r="W77" s="323"/>
      <c r="X77" s="266"/>
      <c r="Y77" s="324"/>
      <c r="Z77" s="266"/>
      <c r="AA77" s="266"/>
      <c r="AB77" s="266"/>
      <c r="AC77" s="266"/>
      <c r="AD77" s="324"/>
      <c r="AE77" s="267"/>
      <c r="AF77" s="267"/>
      <c r="AG77" s="267"/>
      <c r="AH77" s="12"/>
      <c r="AI77" s="12"/>
    </row>
    <row r="78" spans="1:35" ht="12.75" customHeight="1">
      <c r="A78" s="12"/>
      <c r="B78" s="12"/>
      <c r="C78" s="437" t="str">
        <f>'Segment Analysis'!C62</f>
        <v>Home Improvement Retail</v>
      </c>
      <c r="D78" s="12"/>
      <c r="E78" s="12"/>
      <c r="F78" s="468" t="str">
        <f>'Segment Analysis'!F62</f>
        <v>N/A</v>
      </c>
      <c r="G78" s="468" t="str">
        <f>'Segment Analysis'!G62</f>
        <v>N/A</v>
      </c>
      <c r="H78" s="468" t="str">
        <f>'Segment Analysis'!H62</f>
        <v>N/A</v>
      </c>
      <c r="I78" s="468" t="str">
        <f>'Segment Analysis'!I62</f>
        <v>N/A</v>
      </c>
      <c r="J78" s="327" t="str">
        <f>'Segment Analysis'!J62</f>
        <v>N/A</v>
      </c>
      <c r="K78" s="468" t="str">
        <f>'Segment Analysis'!K62</f>
        <v>N/A</v>
      </c>
      <c r="L78" s="468" t="str">
        <f>'Segment Analysis'!L62</f>
        <v>N/A</v>
      </c>
      <c r="M78" s="468" t="str">
        <f>'Segment Analysis'!M62</f>
        <v>N/A</v>
      </c>
      <c r="N78" s="468" t="str">
        <f>'Segment Analysis'!N62</f>
        <v>N/A</v>
      </c>
      <c r="O78" s="327" t="str">
        <f>'Segment Analysis'!O62</f>
        <v>N/A</v>
      </c>
      <c r="P78" s="468" t="str">
        <f>'Segment Analysis'!P62</f>
        <v>N/A</v>
      </c>
      <c r="Q78" s="468" t="str">
        <f>'Segment Analysis'!Q62</f>
        <v>N/A</v>
      </c>
      <c r="R78" s="468" t="str">
        <f>'Segment Analysis'!R62</f>
        <v>N/A</v>
      </c>
      <c r="S78" s="468" t="str">
        <f>'Segment Analysis'!S62</f>
        <v>N/A</v>
      </c>
      <c r="T78" s="327" t="str">
        <f>'Segment Analysis'!T62</f>
        <v>N/A</v>
      </c>
      <c r="U78" s="468" t="str">
        <f>'Segment Analysis'!U62</f>
        <v>N/A</v>
      </c>
      <c r="V78" s="468">
        <f>'Segment Analysis'!V62</f>
        <v>1</v>
      </c>
      <c r="W78" s="468">
        <f>'Segment Analysis'!W62</f>
        <v>1</v>
      </c>
      <c r="X78" s="266">
        <v>1</v>
      </c>
      <c r="Y78" s="327">
        <f>'Segment Analysis'!Y62</f>
        <v>1</v>
      </c>
      <c r="Z78" s="266">
        <v>1</v>
      </c>
      <c r="AA78" s="266">
        <v>1</v>
      </c>
      <c r="AB78" s="266">
        <v>1</v>
      </c>
      <c r="AC78" s="266">
        <v>1</v>
      </c>
      <c r="AD78" s="327">
        <f>'Segment Analysis'!AD62</f>
        <v>1</v>
      </c>
      <c r="AE78" s="267">
        <v>1</v>
      </c>
      <c r="AF78" s="267">
        <v>1</v>
      </c>
      <c r="AG78" s="267">
        <v>1</v>
      </c>
      <c r="AH78" s="12"/>
      <c r="AI78" s="12"/>
    </row>
    <row r="79" spans="1:35" ht="12.75" customHeight="1">
      <c r="A79" s="12"/>
      <c r="B79" s="12"/>
      <c r="C79" s="437" t="str">
        <f>'Segment Analysis'!C63</f>
        <v>Segment 2</v>
      </c>
      <c r="D79" s="12"/>
      <c r="E79" s="12"/>
      <c r="F79" s="468" t="str">
        <f>'Segment Analysis'!F63</f>
        <v>N/A</v>
      </c>
      <c r="G79" s="468" t="str">
        <f>'Segment Analysis'!G63</f>
        <v>N/A</v>
      </c>
      <c r="H79" s="468" t="str">
        <f>'Segment Analysis'!H63</f>
        <v>N/A</v>
      </c>
      <c r="I79" s="468" t="str">
        <f>'Segment Analysis'!I63</f>
        <v>N/A</v>
      </c>
      <c r="J79" s="327" t="str">
        <f>'Segment Analysis'!J63</f>
        <v>N/A</v>
      </c>
      <c r="K79" s="468" t="str">
        <f>'Segment Analysis'!K63</f>
        <v>N/A</v>
      </c>
      <c r="L79" s="468" t="str">
        <f>'Segment Analysis'!L63</f>
        <v>N/A</v>
      </c>
      <c r="M79" s="468" t="str">
        <f>'Segment Analysis'!M63</f>
        <v>N/A</v>
      </c>
      <c r="N79" s="468" t="str">
        <f>'Segment Analysis'!N63</f>
        <v>N/A</v>
      </c>
      <c r="O79" s="327" t="str">
        <f>'Segment Analysis'!O63</f>
        <v>N/A</v>
      </c>
      <c r="P79" s="468" t="str">
        <f>'Segment Analysis'!P63</f>
        <v>N/A</v>
      </c>
      <c r="Q79" s="468" t="str">
        <f>'Segment Analysis'!Q63</f>
        <v>N/A</v>
      </c>
      <c r="R79" s="468" t="str">
        <f>'Segment Analysis'!R63</f>
        <v>N/A</v>
      </c>
      <c r="S79" s="468" t="str">
        <f>'Segment Analysis'!S63</f>
        <v>N/A</v>
      </c>
      <c r="T79" s="327" t="str">
        <f>'Segment Analysis'!T63</f>
        <v>N/A</v>
      </c>
      <c r="U79" s="468" t="str">
        <f>'Segment Analysis'!U63</f>
        <v>N/A</v>
      </c>
      <c r="V79" s="468">
        <f>'Segment Analysis'!V63</f>
        <v>0</v>
      </c>
      <c r="W79" s="468">
        <f>'Segment Analysis'!W63</f>
        <v>0</v>
      </c>
      <c r="X79" s="266">
        <v>0</v>
      </c>
      <c r="Y79" s="327">
        <f>'Segment Analysis'!Y63</f>
        <v>0</v>
      </c>
      <c r="Z79" s="266">
        <v>0</v>
      </c>
      <c r="AA79" s="266">
        <v>0</v>
      </c>
      <c r="AB79" s="266">
        <v>0</v>
      </c>
      <c r="AC79" s="266">
        <v>0</v>
      </c>
      <c r="AD79" s="327">
        <f>'Segment Analysis'!AD63</f>
        <v>0</v>
      </c>
      <c r="AE79" s="267">
        <v>0</v>
      </c>
      <c r="AF79" s="267">
        <v>0</v>
      </c>
      <c r="AG79" s="267">
        <v>0</v>
      </c>
      <c r="AH79" s="12"/>
      <c r="AI79" s="12"/>
    </row>
    <row r="80" spans="1:35" ht="12.75" customHeight="1">
      <c r="A80" s="12"/>
      <c r="B80" s="12"/>
      <c r="C80" s="437" t="str">
        <f>'Segment Analysis'!C64</f>
        <v>Segment 3</v>
      </c>
      <c r="D80" s="12"/>
      <c r="E80" s="12"/>
      <c r="F80" s="468" t="str">
        <f>'Segment Analysis'!F64</f>
        <v>N/A</v>
      </c>
      <c r="G80" s="468" t="str">
        <f>'Segment Analysis'!G64</f>
        <v>N/A</v>
      </c>
      <c r="H80" s="468" t="str">
        <f>'Segment Analysis'!H64</f>
        <v>N/A</v>
      </c>
      <c r="I80" s="468" t="str">
        <f>'Segment Analysis'!I64</f>
        <v>N/A</v>
      </c>
      <c r="J80" s="327" t="str">
        <f>'Segment Analysis'!J64</f>
        <v>N/A</v>
      </c>
      <c r="K80" s="468" t="str">
        <f>'Segment Analysis'!K64</f>
        <v>N/A</v>
      </c>
      <c r="L80" s="468" t="str">
        <f>'Segment Analysis'!L64</f>
        <v>N/A</v>
      </c>
      <c r="M80" s="468" t="str">
        <f>'Segment Analysis'!M64</f>
        <v>N/A</v>
      </c>
      <c r="N80" s="468" t="str">
        <f>'Segment Analysis'!N64</f>
        <v>N/A</v>
      </c>
      <c r="O80" s="327" t="str">
        <f>'Segment Analysis'!O64</f>
        <v>N/A</v>
      </c>
      <c r="P80" s="468" t="str">
        <f>'Segment Analysis'!P64</f>
        <v>N/A</v>
      </c>
      <c r="Q80" s="468" t="str">
        <f>'Segment Analysis'!Q64</f>
        <v>N/A</v>
      </c>
      <c r="R80" s="468" t="str">
        <f>'Segment Analysis'!R64</f>
        <v>N/A</v>
      </c>
      <c r="S80" s="468" t="str">
        <f>'Segment Analysis'!S64</f>
        <v>N/A</v>
      </c>
      <c r="T80" s="327" t="str">
        <f>'Segment Analysis'!T64</f>
        <v>N/A</v>
      </c>
      <c r="U80" s="468" t="str">
        <f>'Segment Analysis'!U64</f>
        <v>N/A</v>
      </c>
      <c r="V80" s="468">
        <f>'Segment Analysis'!V64</f>
        <v>0</v>
      </c>
      <c r="W80" s="468">
        <f>'Segment Analysis'!W64</f>
        <v>0</v>
      </c>
      <c r="X80" s="266">
        <v>0</v>
      </c>
      <c r="Y80" s="327">
        <f>'Segment Analysis'!Y64</f>
        <v>0</v>
      </c>
      <c r="Z80" s="266">
        <v>0</v>
      </c>
      <c r="AA80" s="266">
        <v>0</v>
      </c>
      <c r="AB80" s="266">
        <v>0</v>
      </c>
      <c r="AC80" s="266">
        <v>0</v>
      </c>
      <c r="AD80" s="327">
        <f>'Segment Analysis'!AD64</f>
        <v>0</v>
      </c>
      <c r="AE80" s="267">
        <v>0</v>
      </c>
      <c r="AF80" s="267">
        <v>0</v>
      </c>
      <c r="AG80" s="267">
        <v>0</v>
      </c>
      <c r="AH80" s="12"/>
      <c r="AI80" s="12"/>
    </row>
    <row r="81" spans="1:35" ht="12.75" customHeight="1">
      <c r="A81" s="12"/>
      <c r="B81" s="12"/>
      <c r="C81" s="437" t="str">
        <f>'Segment Analysis'!C65</f>
        <v>Segment 4</v>
      </c>
      <c r="D81" s="12"/>
      <c r="E81" s="12"/>
      <c r="F81" s="468" t="str">
        <f>'Segment Analysis'!F65</f>
        <v>N/A</v>
      </c>
      <c r="G81" s="468" t="str">
        <f>'Segment Analysis'!G65</f>
        <v>N/A</v>
      </c>
      <c r="H81" s="468" t="str">
        <f>'Segment Analysis'!H65</f>
        <v>N/A</v>
      </c>
      <c r="I81" s="468" t="str">
        <f>'Segment Analysis'!I65</f>
        <v>N/A</v>
      </c>
      <c r="J81" s="327" t="str">
        <f>'Segment Analysis'!J65</f>
        <v>N/A</v>
      </c>
      <c r="K81" s="468" t="str">
        <f>'Segment Analysis'!K65</f>
        <v>N/A</v>
      </c>
      <c r="L81" s="468" t="str">
        <f>'Segment Analysis'!L65</f>
        <v>N/A</v>
      </c>
      <c r="M81" s="468" t="str">
        <f>'Segment Analysis'!M65</f>
        <v>N/A</v>
      </c>
      <c r="N81" s="468" t="str">
        <f>'Segment Analysis'!N65</f>
        <v>N/A</v>
      </c>
      <c r="O81" s="327" t="str">
        <f>'Segment Analysis'!O65</f>
        <v>N/A</v>
      </c>
      <c r="P81" s="468" t="str">
        <f>'Segment Analysis'!P65</f>
        <v>N/A</v>
      </c>
      <c r="Q81" s="468" t="str">
        <f>'Segment Analysis'!Q65</f>
        <v>N/A</v>
      </c>
      <c r="R81" s="468" t="str">
        <f>'Segment Analysis'!R65</f>
        <v>N/A</v>
      </c>
      <c r="S81" s="468" t="str">
        <f>'Segment Analysis'!S65</f>
        <v>N/A</v>
      </c>
      <c r="T81" s="327" t="str">
        <f>'Segment Analysis'!T65</f>
        <v>N/A</v>
      </c>
      <c r="U81" s="468" t="str">
        <f>'Segment Analysis'!U65</f>
        <v>N/A</v>
      </c>
      <c r="V81" s="468">
        <f>'Segment Analysis'!V65</f>
        <v>0</v>
      </c>
      <c r="W81" s="468">
        <f>'Segment Analysis'!W65</f>
        <v>0</v>
      </c>
      <c r="X81" s="266">
        <v>0</v>
      </c>
      <c r="Y81" s="327">
        <f>'Segment Analysis'!Y65</f>
        <v>0</v>
      </c>
      <c r="Z81" s="266">
        <v>0</v>
      </c>
      <c r="AA81" s="266">
        <v>0</v>
      </c>
      <c r="AB81" s="266">
        <v>0</v>
      </c>
      <c r="AC81" s="266">
        <v>0</v>
      </c>
      <c r="AD81" s="327">
        <f>'Segment Analysis'!AD65</f>
        <v>0</v>
      </c>
      <c r="AE81" s="267">
        <v>0</v>
      </c>
      <c r="AF81" s="267">
        <v>0</v>
      </c>
      <c r="AG81" s="267">
        <v>0</v>
      </c>
      <c r="AH81" s="12"/>
      <c r="AI81" s="12"/>
    </row>
    <row r="82" spans="1:35" ht="12.75" customHeight="1">
      <c r="A82" s="12"/>
      <c r="B82" s="12"/>
      <c r="C82" s="437" t="str">
        <f>'Segment Analysis'!C66</f>
        <v>Segment 5</v>
      </c>
      <c r="D82" s="12"/>
      <c r="E82" s="12"/>
      <c r="F82" s="468" t="str">
        <f>'Segment Analysis'!F66</f>
        <v>N/A</v>
      </c>
      <c r="G82" s="468" t="str">
        <f>'Segment Analysis'!G66</f>
        <v>N/A</v>
      </c>
      <c r="H82" s="468" t="str">
        <f>'Segment Analysis'!H66</f>
        <v>N/A</v>
      </c>
      <c r="I82" s="468" t="str">
        <f>'Segment Analysis'!I66</f>
        <v>N/A</v>
      </c>
      <c r="J82" s="327" t="str">
        <f>'Segment Analysis'!J66</f>
        <v>N/A</v>
      </c>
      <c r="K82" s="468" t="str">
        <f>'Segment Analysis'!K66</f>
        <v>N/A</v>
      </c>
      <c r="L82" s="468" t="str">
        <f>'Segment Analysis'!L66</f>
        <v>N/A</v>
      </c>
      <c r="M82" s="468" t="str">
        <f>'Segment Analysis'!M66</f>
        <v>N/A</v>
      </c>
      <c r="N82" s="468" t="str">
        <f>'Segment Analysis'!N66</f>
        <v>N/A</v>
      </c>
      <c r="O82" s="327" t="str">
        <f>'Segment Analysis'!O66</f>
        <v>N/A</v>
      </c>
      <c r="P82" s="468" t="str">
        <f>'Segment Analysis'!P66</f>
        <v>N/A</v>
      </c>
      <c r="Q82" s="468" t="str">
        <f>'Segment Analysis'!Q66</f>
        <v>N/A</v>
      </c>
      <c r="R82" s="468" t="str">
        <f>'Segment Analysis'!R66</f>
        <v>N/A</v>
      </c>
      <c r="S82" s="468" t="str">
        <f>'Segment Analysis'!S66</f>
        <v>N/A</v>
      </c>
      <c r="T82" s="327" t="str">
        <f>'Segment Analysis'!T66</f>
        <v>N/A</v>
      </c>
      <c r="U82" s="468" t="str">
        <f>'Segment Analysis'!U66</f>
        <v>N/A</v>
      </c>
      <c r="V82" s="468">
        <f>'Segment Analysis'!V66</f>
        <v>0</v>
      </c>
      <c r="W82" s="468">
        <f>'Segment Analysis'!W66</f>
        <v>0</v>
      </c>
      <c r="X82" s="266">
        <v>0</v>
      </c>
      <c r="Y82" s="327">
        <f>'Segment Analysis'!Y66</f>
        <v>0</v>
      </c>
      <c r="Z82" s="266">
        <v>0</v>
      </c>
      <c r="AA82" s="266">
        <v>0</v>
      </c>
      <c r="AB82" s="266">
        <v>0</v>
      </c>
      <c r="AC82" s="266">
        <v>0</v>
      </c>
      <c r="AD82" s="327">
        <f>'Segment Analysis'!AD66</f>
        <v>0</v>
      </c>
      <c r="AE82" s="267">
        <v>0</v>
      </c>
      <c r="AF82" s="267">
        <v>0</v>
      </c>
      <c r="AG82" s="267">
        <v>0</v>
      </c>
      <c r="AH82" s="12"/>
      <c r="AI82" s="12"/>
    </row>
    <row r="83" spans="1:35" ht="12.75" customHeight="1">
      <c r="A83" s="12"/>
      <c r="B83" s="12"/>
      <c r="C83" s="437" t="str">
        <f>'Segment Analysis'!C67</f>
        <v>Segment 6</v>
      </c>
      <c r="D83" s="12"/>
      <c r="E83" s="12"/>
      <c r="F83" s="468" t="str">
        <f>'Segment Analysis'!F67</f>
        <v>N/A</v>
      </c>
      <c r="G83" s="468" t="str">
        <f>'Segment Analysis'!G67</f>
        <v>N/A</v>
      </c>
      <c r="H83" s="468" t="str">
        <f>'Segment Analysis'!H67</f>
        <v>N/A</v>
      </c>
      <c r="I83" s="468" t="str">
        <f>'Segment Analysis'!I67</f>
        <v>N/A</v>
      </c>
      <c r="J83" s="327" t="str">
        <f>'Segment Analysis'!J67</f>
        <v>N/A</v>
      </c>
      <c r="K83" s="468" t="str">
        <f>'Segment Analysis'!K67</f>
        <v>N/A</v>
      </c>
      <c r="L83" s="468" t="str">
        <f>'Segment Analysis'!L67</f>
        <v>N/A</v>
      </c>
      <c r="M83" s="468" t="str">
        <f>'Segment Analysis'!M67</f>
        <v>N/A</v>
      </c>
      <c r="N83" s="468" t="str">
        <f>'Segment Analysis'!N67</f>
        <v>N/A</v>
      </c>
      <c r="O83" s="327" t="str">
        <f>'Segment Analysis'!O67</f>
        <v>N/A</v>
      </c>
      <c r="P83" s="468" t="str">
        <f>'Segment Analysis'!P67</f>
        <v>N/A</v>
      </c>
      <c r="Q83" s="468" t="str">
        <f>'Segment Analysis'!Q67</f>
        <v>N/A</v>
      </c>
      <c r="R83" s="468" t="str">
        <f>'Segment Analysis'!R67</f>
        <v>N/A</v>
      </c>
      <c r="S83" s="468" t="str">
        <f>'Segment Analysis'!S67</f>
        <v>N/A</v>
      </c>
      <c r="T83" s="327" t="str">
        <f>'Segment Analysis'!T67</f>
        <v>N/A</v>
      </c>
      <c r="U83" s="468" t="str">
        <f>'Segment Analysis'!U67</f>
        <v>N/A</v>
      </c>
      <c r="V83" s="468">
        <f>'Segment Analysis'!V67</f>
        <v>0</v>
      </c>
      <c r="W83" s="468">
        <f>'Segment Analysis'!W67</f>
        <v>0</v>
      </c>
      <c r="X83" s="266">
        <v>0</v>
      </c>
      <c r="Y83" s="327">
        <f>'Segment Analysis'!Y67</f>
        <v>0</v>
      </c>
      <c r="Z83" s="266">
        <v>0</v>
      </c>
      <c r="AA83" s="266">
        <v>0</v>
      </c>
      <c r="AB83" s="266">
        <v>0</v>
      </c>
      <c r="AC83" s="266">
        <v>0</v>
      </c>
      <c r="AD83" s="327">
        <f>'Segment Analysis'!AD67</f>
        <v>0</v>
      </c>
      <c r="AE83" s="267">
        <v>0</v>
      </c>
      <c r="AF83" s="267">
        <v>0</v>
      </c>
      <c r="AG83" s="267">
        <v>0</v>
      </c>
      <c r="AH83" s="12"/>
      <c r="AI83" s="12"/>
    </row>
    <row r="84" spans="1:35" ht="12.75" customHeight="1">
      <c r="A84" s="211" t="s">
        <v>1</v>
      </c>
      <c r="B84" s="12"/>
      <c r="C84" s="12"/>
      <c r="D84" s="12"/>
      <c r="E84" s="12"/>
      <c r="F84" s="323"/>
      <c r="G84" s="323"/>
      <c r="H84" s="323"/>
      <c r="I84" s="323"/>
      <c r="J84" s="324"/>
      <c r="K84" s="323"/>
      <c r="L84" s="323"/>
      <c r="M84" s="323"/>
      <c r="N84" s="323"/>
      <c r="O84" s="324"/>
      <c r="P84" s="323"/>
      <c r="Q84" s="323"/>
      <c r="R84" s="323"/>
      <c r="S84" s="323"/>
      <c r="T84" s="324"/>
      <c r="U84" s="323"/>
      <c r="V84" s="323"/>
      <c r="W84" s="323"/>
      <c r="X84" s="266"/>
      <c r="Y84" s="324"/>
      <c r="Z84" s="266"/>
      <c r="AA84" s="266"/>
      <c r="AB84" s="266"/>
      <c r="AC84" s="266"/>
      <c r="AD84" s="324"/>
      <c r="AE84" s="267"/>
      <c r="AF84" s="267"/>
      <c r="AG84" s="267"/>
      <c r="AH84" s="211" t="s">
        <v>1</v>
      </c>
      <c r="AI84" s="211"/>
    </row>
    <row r="85" spans="1:35" ht="12.75" customHeight="1">
      <c r="A85" s="211"/>
      <c r="B85" s="12"/>
      <c r="C85" s="12" t="str">
        <f>Model!C214</f>
        <v>Amortization as a % of Avg. Intangibles</v>
      </c>
      <c r="D85" s="12"/>
      <c r="E85" s="12"/>
      <c r="F85" s="323"/>
      <c r="G85" s="323">
        <f>Model!G214</f>
        <v>1.1023284460890202E-2</v>
      </c>
      <c r="H85" s="323">
        <f>Model!H214</f>
        <v>1.1284780366648003E-2</v>
      </c>
      <c r="I85" s="323">
        <f>Model!I214</f>
        <v>1.0915987036760723E-2</v>
      </c>
      <c r="J85" s="324">
        <f>Model!J214</f>
        <v>-2.2547183566798919E-2</v>
      </c>
      <c r="K85" s="323">
        <f>Model!K214</f>
        <v>1.1021324710570832E-2</v>
      </c>
      <c r="L85" s="323">
        <f>Model!L214</f>
        <v>1.0218927021783722E-2</v>
      </c>
      <c r="M85" s="323">
        <f>Model!M214</f>
        <v>1.009803996356661E-2</v>
      </c>
      <c r="N85" s="323">
        <f>Model!N214</f>
        <v>9.8457872120877189E-3</v>
      </c>
      <c r="O85" s="324">
        <f>Model!O214</f>
        <v>-1.0260843626314173E-2</v>
      </c>
      <c r="P85" s="323">
        <f>Model!P214</f>
        <v>1.9737670442384309E-2</v>
      </c>
      <c r="Q85" s="323" t="e">
        <f>Model!Q214</f>
        <v>#DIV/0!</v>
      </c>
      <c r="R85" s="323" t="e">
        <f>Model!R214</f>
        <v>#DIV/0!</v>
      </c>
      <c r="S85" s="323" t="e">
        <f>Model!S214</f>
        <v>#DIV/0!</v>
      </c>
      <c r="T85" s="324">
        <f>Model!T214</f>
        <v>-2.0546299384003593E-2</v>
      </c>
      <c r="U85" s="323" t="e">
        <f>Model!U214</f>
        <v>#DIV/0!</v>
      </c>
      <c r="V85" s="323" t="e">
        <f>Model!V214</f>
        <v>#DIV/0!</v>
      </c>
      <c r="W85" s="323" t="e">
        <f>Model!W214</f>
        <v>#DIV/0!</v>
      </c>
      <c r="X85" s="325">
        <f>IF(Case_Scenario="Bull",X86,IF(Case_Scenario="Base",X87,IF(Case_Scenario="bear",X88,"N/A")))</f>
        <v>0</v>
      </c>
      <c r="Y85" s="324" t="e">
        <f>Model!Y214</f>
        <v>#DIV/0!</v>
      </c>
      <c r="Z85" s="325">
        <f>IF(Case_Scenario="Bull",Z86,IF(Case_Scenario="Base",Z87,IF(Case_Scenario="bear",Z88,"N/A")))</f>
        <v>0</v>
      </c>
      <c r="AA85" s="325">
        <f>IF(Case_Scenario="Bull",AA86,IF(Case_Scenario="Base",AA87,IF(Case_Scenario="bear",AA88,"N/A")))</f>
        <v>0</v>
      </c>
      <c r="AB85" s="325">
        <f>IF(Case_Scenario="Bull",AB86,IF(Case_Scenario="Base",AB87,IF(Case_Scenario="bear",AB88,"N/A")))</f>
        <v>0</v>
      </c>
      <c r="AC85" s="325">
        <f>IF(Case_Scenario="Bull",AC86,IF(Case_Scenario="Base",AC87,IF(Case_Scenario="bear",AC88,"N/A")))</f>
        <v>0</v>
      </c>
      <c r="AD85" s="324" t="e">
        <f>Model!AD214</f>
        <v>#DIV/0!</v>
      </c>
      <c r="AE85" s="324">
        <f>IF(Case_Scenario="Bull",AE86,IF(Case_Scenario="Base",AE87,IF(Case_Scenario="bear",AE88,"N/A")))</f>
        <v>0</v>
      </c>
      <c r="AF85" s="324">
        <f>IF(Case_Scenario="Bull",AF86,IF(Case_Scenario="Base",AF87,IF(Case_Scenario="bear",AF88,"N/A")))</f>
        <v>0</v>
      </c>
      <c r="AG85" s="324">
        <f>IF(Case_Scenario="Bull",AG86,IF(Case_Scenario="Base",AG87,IF(Case_Scenario="bear",AG88,"N/A")))</f>
        <v>0</v>
      </c>
      <c r="AH85" s="12"/>
      <c r="AI85" s="12"/>
    </row>
    <row r="86" spans="1:35" ht="12.75" customHeight="1">
      <c r="A86" s="12"/>
      <c r="B86" s="12"/>
      <c r="C86" s="108" t="s">
        <v>251</v>
      </c>
      <c r="D86" s="12"/>
      <c r="E86" s="12"/>
      <c r="F86" s="323"/>
      <c r="G86" s="323"/>
      <c r="H86" s="323"/>
      <c r="I86" s="323"/>
      <c r="J86" s="324"/>
      <c r="K86" s="323"/>
      <c r="L86" s="323"/>
      <c r="M86" s="323"/>
      <c r="N86" s="323"/>
      <c r="O86" s="324"/>
      <c r="P86" s="323"/>
      <c r="Q86" s="323"/>
      <c r="R86" s="323"/>
      <c r="S86" s="323"/>
      <c r="T86" s="324"/>
      <c r="U86" s="323"/>
      <c r="V86" s="323"/>
      <c r="W86" s="323"/>
      <c r="X86" s="266">
        <v>0</v>
      </c>
      <c r="Y86" s="324"/>
      <c r="Z86" s="266">
        <v>0</v>
      </c>
      <c r="AA86" s="266">
        <v>0</v>
      </c>
      <c r="AB86" s="266">
        <v>0</v>
      </c>
      <c r="AC86" s="266">
        <v>0</v>
      </c>
      <c r="AD86" s="324"/>
      <c r="AE86" s="267">
        <v>0</v>
      </c>
      <c r="AF86" s="267">
        <v>0</v>
      </c>
      <c r="AG86" s="267">
        <v>0</v>
      </c>
      <c r="AH86" s="12"/>
      <c r="AI86" s="12"/>
    </row>
    <row r="87" spans="1:35" ht="12.75" customHeight="1">
      <c r="A87" s="12"/>
      <c r="B87" s="12"/>
      <c r="C87" s="108" t="s">
        <v>252</v>
      </c>
      <c r="D87" s="12"/>
      <c r="E87" s="12"/>
      <c r="F87" s="323"/>
      <c r="G87" s="323"/>
      <c r="H87" s="323"/>
      <c r="I87" s="323"/>
      <c r="J87" s="324"/>
      <c r="K87" s="323"/>
      <c r="L87" s="323"/>
      <c r="M87" s="323"/>
      <c r="N87" s="323"/>
      <c r="O87" s="324"/>
      <c r="P87" s="323"/>
      <c r="Q87" s="323"/>
      <c r="R87" s="323"/>
      <c r="S87" s="323"/>
      <c r="T87" s="324"/>
      <c r="U87" s="323"/>
      <c r="V87" s="323"/>
      <c r="W87" s="323"/>
      <c r="X87" s="266">
        <v>0</v>
      </c>
      <c r="Y87" s="324"/>
      <c r="Z87" s="266">
        <v>0</v>
      </c>
      <c r="AA87" s="266">
        <v>0</v>
      </c>
      <c r="AB87" s="266">
        <v>0</v>
      </c>
      <c r="AC87" s="266">
        <v>0</v>
      </c>
      <c r="AD87" s="324"/>
      <c r="AE87" s="267">
        <v>0</v>
      </c>
      <c r="AF87" s="267">
        <v>0</v>
      </c>
      <c r="AG87" s="267">
        <v>0</v>
      </c>
      <c r="AH87" s="12"/>
      <c r="AI87" s="12"/>
    </row>
    <row r="88" spans="1:35" ht="12.75" customHeight="1">
      <c r="A88" s="12"/>
      <c r="B88" s="12"/>
      <c r="C88" s="108" t="s">
        <v>253</v>
      </c>
      <c r="D88" s="12"/>
      <c r="E88" s="12"/>
      <c r="F88" s="323"/>
      <c r="G88" s="323"/>
      <c r="H88" s="323"/>
      <c r="I88" s="323"/>
      <c r="J88" s="324"/>
      <c r="K88" s="323"/>
      <c r="L88" s="323"/>
      <c r="M88" s="323"/>
      <c r="N88" s="323"/>
      <c r="O88" s="324"/>
      <c r="P88" s="323"/>
      <c r="Q88" s="323"/>
      <c r="R88" s="323"/>
      <c r="S88" s="323"/>
      <c r="T88" s="324"/>
      <c r="U88" s="323"/>
      <c r="V88" s="323"/>
      <c r="W88" s="323"/>
      <c r="X88" s="266">
        <v>0</v>
      </c>
      <c r="Y88" s="324"/>
      <c r="Z88" s="266">
        <v>0</v>
      </c>
      <c r="AA88" s="266">
        <v>0</v>
      </c>
      <c r="AB88" s="266">
        <v>0</v>
      </c>
      <c r="AC88" s="266">
        <v>0</v>
      </c>
      <c r="AD88" s="324"/>
      <c r="AE88" s="267">
        <v>0</v>
      </c>
      <c r="AF88" s="267">
        <v>0</v>
      </c>
      <c r="AG88" s="267">
        <v>0</v>
      </c>
      <c r="AH88" s="12"/>
      <c r="AI88" s="12"/>
    </row>
    <row r="89" spans="1:35" ht="12.75" customHeight="1">
      <c r="A89" s="12"/>
      <c r="B89" s="12"/>
      <c r="C89" s="12"/>
      <c r="D89" s="12"/>
      <c r="E89" s="12"/>
      <c r="F89" s="323"/>
      <c r="G89" s="323"/>
      <c r="H89" s="323"/>
      <c r="I89" s="323"/>
      <c r="J89" s="324"/>
      <c r="K89" s="323"/>
      <c r="L89" s="323"/>
      <c r="M89" s="323"/>
      <c r="N89" s="323"/>
      <c r="O89" s="324"/>
      <c r="P89" s="323"/>
      <c r="Q89" s="323"/>
      <c r="R89" s="323"/>
      <c r="S89" s="323"/>
      <c r="T89" s="324"/>
      <c r="U89" s="323"/>
      <c r="V89" s="323"/>
      <c r="W89" s="323"/>
      <c r="X89" s="266"/>
      <c r="Y89" s="324"/>
      <c r="Z89" s="266"/>
      <c r="AA89" s="266"/>
      <c r="AB89" s="266"/>
      <c r="AC89" s="266"/>
      <c r="AD89" s="324"/>
      <c r="AE89" s="267"/>
      <c r="AF89" s="267"/>
      <c r="AG89" s="267"/>
      <c r="AH89" s="12"/>
      <c r="AI89" s="12"/>
    </row>
    <row r="90" spans="1:35" ht="12.75" customHeight="1">
      <c r="A90" s="12"/>
      <c r="B90" s="12"/>
      <c r="C90" s="458" t="s">
        <v>482</v>
      </c>
      <c r="D90" s="459"/>
      <c r="E90" s="459"/>
      <c r="F90" s="460"/>
      <c r="G90" s="461"/>
      <c r="H90" s="461"/>
      <c r="I90" s="461"/>
      <c r="J90" s="461"/>
      <c r="K90" s="461"/>
      <c r="L90" s="461"/>
      <c r="M90" s="461"/>
      <c r="N90" s="461"/>
      <c r="O90" s="461"/>
      <c r="P90" s="461"/>
      <c r="Q90" s="461"/>
      <c r="R90" s="461"/>
      <c r="S90" s="461"/>
      <c r="T90" s="461"/>
      <c r="U90" s="461"/>
      <c r="V90" s="461"/>
      <c r="W90" s="461"/>
      <c r="X90" s="461"/>
      <c r="Y90" s="461"/>
      <c r="Z90" s="461"/>
      <c r="AA90" s="461"/>
      <c r="AB90" s="461"/>
      <c r="AC90" s="461"/>
      <c r="AD90" s="461"/>
      <c r="AE90" s="461"/>
      <c r="AF90" s="461"/>
      <c r="AG90" s="462"/>
      <c r="AH90" s="12"/>
      <c r="AI90" s="12"/>
    </row>
    <row r="91" spans="1:35" ht="12.75" customHeight="1">
      <c r="A91" s="12"/>
      <c r="B91" s="12"/>
      <c r="C91" s="12"/>
      <c r="D91" s="12"/>
      <c r="E91" s="12"/>
      <c r="F91" s="323"/>
      <c r="G91" s="323"/>
      <c r="H91" s="323"/>
      <c r="I91" s="323"/>
      <c r="J91" s="324"/>
      <c r="K91" s="323"/>
      <c r="L91" s="323"/>
      <c r="M91" s="323"/>
      <c r="N91" s="323"/>
      <c r="O91" s="324"/>
      <c r="P91" s="323"/>
      <c r="Q91" s="323"/>
      <c r="R91" s="323"/>
      <c r="S91" s="323"/>
      <c r="T91" s="324"/>
      <c r="U91" s="323"/>
      <c r="V91" s="323"/>
      <c r="W91" s="323"/>
      <c r="X91" s="325"/>
      <c r="Y91" s="324"/>
      <c r="Z91" s="325"/>
      <c r="AA91" s="325"/>
      <c r="AB91" s="325"/>
      <c r="AC91" s="325"/>
      <c r="AD91" s="324"/>
      <c r="AE91" s="137"/>
      <c r="AF91" s="137"/>
      <c r="AG91" s="137"/>
      <c r="AH91" s="12"/>
      <c r="AI91" s="12"/>
    </row>
    <row r="92" spans="1:35" ht="12.75" customHeight="1">
      <c r="A92" s="12"/>
      <c r="B92" s="12"/>
      <c r="C92" s="12" t="str">
        <f>Model!C200</f>
        <v>Capex as a % of Sales</v>
      </c>
      <c r="D92" s="12"/>
      <c r="E92" s="12"/>
      <c r="F92" s="323">
        <f>Model!F200</f>
        <v>2.7445925094924307E-2</v>
      </c>
      <c r="G92" s="323">
        <f>Model!G200</f>
        <v>3.8962779064798031E-2</v>
      </c>
      <c r="H92" s="323">
        <f>Model!H200</f>
        <v>3.5473165194432749E-2</v>
      </c>
      <c r="I92" s="323">
        <f>Model!I200</f>
        <v>3.7134212440527233E-2</v>
      </c>
      <c r="J92" s="324">
        <f>Model!J200</f>
        <v>3.4812729016382944E-2</v>
      </c>
      <c r="K92" s="323">
        <f>Model!K200</f>
        <v>2.1877307789175321E-2</v>
      </c>
      <c r="L92" s="323">
        <f>Model!L200</f>
        <v>3.3579829506522961E-2</v>
      </c>
      <c r="M92" s="323">
        <f>Model!M200</f>
        <v>4.0815483175420164E-2</v>
      </c>
      <c r="N92" s="323">
        <f>Model!N200</f>
        <v>5.4359956406633159E-2</v>
      </c>
      <c r="O92" s="324">
        <f>Model!O200</f>
        <v>3.8050339573640304E-2</v>
      </c>
      <c r="P92" s="323">
        <f>Model!P200</f>
        <v>3.1111276784983422E-2</v>
      </c>
      <c r="Q92" s="323">
        <f>Model!Q200</f>
        <v>3.4479129566250745E-2</v>
      </c>
      <c r="R92" s="323">
        <f>Model!R200</f>
        <v>4.0137938979386036E-2</v>
      </c>
      <c r="S92" s="323">
        <f>Model!S200</f>
        <v>4.6221143526027644E-2</v>
      </c>
      <c r="T92" s="324">
        <f>Model!T200</f>
        <v>3.826657420718696E-2</v>
      </c>
      <c r="U92" s="323">
        <f>Model!U200</f>
        <v>3.7633399584987688E-2</v>
      </c>
      <c r="V92" s="323">
        <f>Model!V200</f>
        <v>1.3964454116793616E-2</v>
      </c>
      <c r="W92" s="323">
        <f>Model!W200</f>
        <v>1.7889868225848676E-2</v>
      </c>
      <c r="X92" s="325">
        <f>IF(Case_Scenario="Bull",X93,IF(Case_Scenario="Base",X94,IF(Case_Scenario="bear",X95,"N/A")))</f>
        <v>1.7000000000000001E-2</v>
      </c>
      <c r="Y92" s="324">
        <f>Model!Y200</f>
        <v>1.9241846545782232E-2</v>
      </c>
      <c r="Z92" s="325">
        <f>IF(Case_Scenario="Bull",Z93,IF(Case_Scenario="Base",Z94,IF(Case_Scenario="bear",Z95,"N/A")))</f>
        <v>2.4E-2</v>
      </c>
      <c r="AA92" s="325">
        <f>IF(Case_Scenario="Bull",AA93,IF(Case_Scenario="Base",AA94,IF(Case_Scenario="bear",AA95,"N/A")))</f>
        <v>2.1999999999999999E-2</v>
      </c>
      <c r="AB92" s="325">
        <f>IF(Case_Scenario="Bull",AB93,IF(Case_Scenario="Base",AB94,IF(Case_Scenario="bear",AB95,"N/A")))</f>
        <v>1.7000000000000001E-2</v>
      </c>
      <c r="AC92" s="325">
        <f>IF(Case_Scenario="Bull",AC93,IF(Case_Scenario="Base",AC94,IF(Case_Scenario="bear",AC95,"N/A")))</f>
        <v>1.7000000000000001E-2</v>
      </c>
      <c r="AD92" s="324">
        <f>Model!AD200</f>
        <v>2.0100404273187121E-2</v>
      </c>
      <c r="AE92" s="324">
        <f>IF(Case_Scenario="Bull",AE93,IF(Case_Scenario="Base",AE94,IF(Case_Scenario="bear",AE95,"N/A")))</f>
        <v>0.02</v>
      </c>
      <c r="AF92" s="324">
        <f>IF(Case_Scenario="Bull",AF93,IF(Case_Scenario="Base",AF94,IF(Case_Scenario="bear",AF95,"N/A")))</f>
        <v>0.02</v>
      </c>
      <c r="AG92" s="324">
        <f>IF(Case_Scenario="Bull",AG93,IF(Case_Scenario="Base",AG94,IF(Case_Scenario="bear",AG95,"N/A")))</f>
        <v>2.1000000000000001E-2</v>
      </c>
      <c r="AH92" s="12"/>
      <c r="AI92" s="12"/>
    </row>
    <row r="93" spans="1:35" ht="12.75" customHeight="1">
      <c r="A93" s="12"/>
      <c r="B93" s="12"/>
      <c r="C93" s="108" t="s">
        <v>251</v>
      </c>
      <c r="D93" s="12"/>
      <c r="E93" s="12"/>
      <c r="F93" s="323"/>
      <c r="G93" s="323"/>
      <c r="H93" s="323"/>
      <c r="I93" s="323"/>
      <c r="J93" s="324"/>
      <c r="K93" s="323"/>
      <c r="L93" s="323"/>
      <c r="M93" s="323"/>
      <c r="N93" s="323"/>
      <c r="O93" s="324"/>
      <c r="P93" s="323"/>
      <c r="Q93" s="323"/>
      <c r="R93" s="323"/>
      <c r="S93" s="323"/>
      <c r="T93" s="324"/>
      <c r="U93" s="323"/>
      <c r="V93" s="323"/>
      <c r="W93" s="323"/>
      <c r="X93" s="266">
        <v>0.01</v>
      </c>
      <c r="Y93" s="324"/>
      <c r="Z93" s="266">
        <v>0.01</v>
      </c>
      <c r="AA93" s="266">
        <v>0.01</v>
      </c>
      <c r="AB93" s="266">
        <v>0.01</v>
      </c>
      <c r="AC93" s="266">
        <v>0.01</v>
      </c>
      <c r="AD93" s="324"/>
      <c r="AE93" s="267">
        <v>0.01</v>
      </c>
      <c r="AF93" s="267">
        <v>1.2E-2</v>
      </c>
      <c r="AG93" s="267">
        <v>1.2E-2</v>
      </c>
      <c r="AH93" s="12"/>
      <c r="AI93" s="12"/>
    </row>
    <row r="94" spans="1:35" ht="12.75" customHeight="1">
      <c r="A94" s="12"/>
      <c r="B94" s="12"/>
      <c r="C94" s="108" t="s">
        <v>252</v>
      </c>
      <c r="D94" s="12"/>
      <c r="E94" s="12"/>
      <c r="F94" s="323"/>
      <c r="G94" s="323"/>
      <c r="H94" s="323"/>
      <c r="I94" s="323"/>
      <c r="J94" s="324"/>
      <c r="K94" s="323"/>
      <c r="L94" s="323"/>
      <c r="M94" s="323"/>
      <c r="N94" s="323"/>
      <c r="O94" s="324"/>
      <c r="P94" s="323"/>
      <c r="Q94" s="323"/>
      <c r="R94" s="323"/>
      <c r="S94" s="323"/>
      <c r="T94" s="324"/>
      <c r="U94" s="323"/>
      <c r="V94" s="323"/>
      <c r="W94" s="323"/>
      <c r="X94" s="266">
        <v>1.7000000000000001E-2</v>
      </c>
      <c r="Y94" s="324"/>
      <c r="Z94" s="266">
        <v>2.4E-2</v>
      </c>
      <c r="AA94" s="266">
        <v>2.1999999999999999E-2</v>
      </c>
      <c r="AB94" s="266">
        <v>1.7000000000000001E-2</v>
      </c>
      <c r="AC94" s="266">
        <v>1.7000000000000001E-2</v>
      </c>
      <c r="AD94" s="324"/>
      <c r="AE94" s="267">
        <v>0.02</v>
      </c>
      <c r="AF94" s="267">
        <v>0.02</v>
      </c>
      <c r="AG94" s="267">
        <v>2.1000000000000001E-2</v>
      </c>
      <c r="AH94" s="12"/>
      <c r="AI94" s="12"/>
    </row>
    <row r="95" spans="1:35" ht="12.75" customHeight="1">
      <c r="A95" s="12"/>
      <c r="B95" s="12"/>
      <c r="C95" s="108" t="s">
        <v>253</v>
      </c>
      <c r="D95" s="12"/>
      <c r="E95" s="12"/>
      <c r="F95" s="323"/>
      <c r="G95" s="323"/>
      <c r="H95" s="323"/>
      <c r="I95" s="323"/>
      <c r="J95" s="324"/>
      <c r="K95" s="323"/>
      <c r="L95" s="323"/>
      <c r="M95" s="323"/>
      <c r="N95" s="323"/>
      <c r="O95" s="324"/>
      <c r="P95" s="323"/>
      <c r="Q95" s="323"/>
      <c r="R95" s="323"/>
      <c r="S95" s="323"/>
      <c r="T95" s="324"/>
      <c r="U95" s="323"/>
      <c r="V95" s="323"/>
      <c r="W95" s="323"/>
      <c r="X95" s="266">
        <v>0.03</v>
      </c>
      <c r="Y95" s="324"/>
      <c r="Z95" s="266">
        <v>0.03</v>
      </c>
      <c r="AA95" s="266">
        <v>0.03</v>
      </c>
      <c r="AB95" s="266">
        <v>0.03</v>
      </c>
      <c r="AC95" s="266">
        <v>0.03</v>
      </c>
      <c r="AD95" s="324"/>
      <c r="AE95" s="267">
        <v>0.03</v>
      </c>
      <c r="AF95" s="267">
        <v>0.03</v>
      </c>
      <c r="AG95" s="267">
        <v>0.03</v>
      </c>
      <c r="AH95" s="12"/>
      <c r="AI95" s="12"/>
    </row>
    <row r="96" spans="1:35" ht="12.75" customHeight="1">
      <c r="A96" s="12"/>
      <c r="B96" s="12"/>
      <c r="C96" s="12"/>
      <c r="D96" s="12"/>
      <c r="E96" s="12"/>
      <c r="F96" s="323"/>
      <c r="G96" s="323"/>
      <c r="H96" s="323"/>
      <c r="I96" s="323"/>
      <c r="J96" s="324"/>
      <c r="K96" s="323"/>
      <c r="L96" s="323"/>
      <c r="M96" s="323"/>
      <c r="N96" s="323"/>
      <c r="O96" s="324"/>
      <c r="P96" s="323"/>
      <c r="Q96" s="323"/>
      <c r="R96" s="323"/>
      <c r="S96" s="323"/>
      <c r="T96" s="324"/>
      <c r="U96" s="323"/>
      <c r="V96" s="323"/>
      <c r="W96" s="323"/>
      <c r="X96" s="266"/>
      <c r="Y96" s="324"/>
      <c r="Z96" s="266"/>
      <c r="AA96" s="266"/>
      <c r="AB96" s="266"/>
      <c r="AC96" s="266"/>
      <c r="AD96" s="324"/>
      <c r="AE96" s="267"/>
      <c r="AF96" s="267"/>
      <c r="AG96" s="267"/>
      <c r="AH96" s="12"/>
      <c r="AI96" s="12"/>
    </row>
    <row r="97" spans="1:35" ht="12.75" customHeight="1">
      <c r="A97" s="12"/>
      <c r="B97" s="12"/>
      <c r="C97" s="12" t="str">
        <f>Model!C84</f>
        <v>Proceeds From/(Acquisitions of) Businesses</v>
      </c>
      <c r="D97" s="12"/>
      <c r="E97" s="12"/>
      <c r="F97" s="271">
        <f>Model!F84</f>
        <v>0</v>
      </c>
      <c r="G97" s="271">
        <f>Model!G84</f>
        <v>0</v>
      </c>
      <c r="H97" s="271">
        <f>Model!H84</f>
        <v>0</v>
      </c>
      <c r="I97" s="271">
        <f>Model!I84</f>
        <v>0</v>
      </c>
      <c r="J97" s="272">
        <f>Model!J84</f>
        <v>0</v>
      </c>
      <c r="K97" s="271">
        <f>Model!K84</f>
        <v>0</v>
      </c>
      <c r="L97" s="271">
        <f>Model!L84</f>
        <v>0</v>
      </c>
      <c r="M97" s="271">
        <f>Model!M84</f>
        <v>0</v>
      </c>
      <c r="N97" s="271">
        <f>Model!N84</f>
        <v>0</v>
      </c>
      <c r="O97" s="272">
        <f>Model!O84</f>
        <v>0</v>
      </c>
      <c r="P97" s="271">
        <f>Model!P84</f>
        <v>0</v>
      </c>
      <c r="Q97" s="271">
        <f>Model!Q84</f>
        <v>0</v>
      </c>
      <c r="R97" s="271">
        <f>Model!R84</f>
        <v>0</v>
      </c>
      <c r="S97" s="271">
        <f>Model!S84</f>
        <v>0</v>
      </c>
      <c r="T97" s="272">
        <f>Model!T84</f>
        <v>0</v>
      </c>
      <c r="U97" s="271">
        <f>Model!U84</f>
        <v>0</v>
      </c>
      <c r="V97" s="271">
        <f>Model!V84</f>
        <v>0</v>
      </c>
      <c r="W97" s="271">
        <f>Model!W84</f>
        <v>0</v>
      </c>
      <c r="X97" s="463">
        <v>0</v>
      </c>
      <c r="Y97" s="272">
        <f>Model!Y84</f>
        <v>0</v>
      </c>
      <c r="Z97" s="463">
        <v>0</v>
      </c>
      <c r="AA97" s="463">
        <v>0</v>
      </c>
      <c r="AB97" s="463">
        <v>0</v>
      </c>
      <c r="AC97" s="463">
        <v>0</v>
      </c>
      <c r="AD97" s="272">
        <f>Model!AD84</f>
        <v>0</v>
      </c>
      <c r="AE97" s="464">
        <v>0</v>
      </c>
      <c r="AF97" s="464">
        <v>0</v>
      </c>
      <c r="AG97" s="464">
        <v>0</v>
      </c>
      <c r="AH97" s="12"/>
      <c r="AI97" s="12"/>
    </row>
    <row r="98" spans="1:35" ht="12.75" customHeight="1">
      <c r="A98" s="12"/>
      <c r="B98" s="12"/>
      <c r="C98" s="12"/>
      <c r="D98" s="12"/>
      <c r="E98" s="12"/>
      <c r="F98" s="323"/>
      <c r="G98" s="323"/>
      <c r="H98" s="323"/>
      <c r="I98" s="323"/>
      <c r="J98" s="324"/>
      <c r="K98" s="323"/>
      <c r="L98" s="323"/>
      <c r="M98" s="323"/>
      <c r="N98" s="323"/>
      <c r="O98" s="324"/>
      <c r="P98" s="323"/>
      <c r="Q98" s="323"/>
      <c r="R98" s="323"/>
      <c r="S98" s="323"/>
      <c r="T98" s="324"/>
      <c r="U98" s="323"/>
      <c r="V98" s="323"/>
      <c r="W98" s="323"/>
      <c r="X98" s="266"/>
      <c r="Y98" s="324"/>
      <c r="Z98" s="266"/>
      <c r="AA98" s="266"/>
      <c r="AB98" s="266"/>
      <c r="AC98" s="266"/>
      <c r="AD98" s="324"/>
      <c r="AE98" s="267"/>
      <c r="AF98" s="267"/>
      <c r="AG98" s="267"/>
      <c r="AH98" s="12"/>
      <c r="AI98" s="12"/>
    </row>
    <row r="99" spans="1:35" ht="12.75" customHeight="1">
      <c r="A99" s="12"/>
      <c r="B99" s="12"/>
      <c r="C99" s="458" t="s">
        <v>483</v>
      </c>
      <c r="D99" s="459"/>
      <c r="E99" s="459"/>
      <c r="F99" s="460"/>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2"/>
      <c r="AH99" s="12"/>
      <c r="AI99" s="12"/>
    </row>
    <row r="100" spans="1:35" ht="12.75" customHeight="1">
      <c r="A100" s="12"/>
      <c r="B100" s="12"/>
      <c r="C100" s="12"/>
      <c r="D100" s="12"/>
      <c r="E100" s="12"/>
      <c r="F100" s="323"/>
      <c r="G100" s="323"/>
      <c r="H100" s="323"/>
      <c r="I100" s="323"/>
      <c r="J100" s="324"/>
      <c r="K100" s="323"/>
      <c r="L100" s="323"/>
      <c r="M100" s="323"/>
      <c r="N100" s="323"/>
      <c r="O100" s="324"/>
      <c r="P100" s="323"/>
      <c r="Q100" s="323"/>
      <c r="R100" s="323"/>
      <c r="S100" s="323"/>
      <c r="T100" s="324"/>
      <c r="U100" s="323"/>
      <c r="V100" s="323"/>
      <c r="W100" s="323"/>
      <c r="X100" s="325"/>
      <c r="Y100" s="324"/>
      <c r="Z100" s="325"/>
      <c r="AA100" s="325"/>
      <c r="AB100" s="325"/>
      <c r="AC100" s="325"/>
      <c r="AD100" s="324"/>
      <c r="AE100" s="137"/>
      <c r="AF100" s="137"/>
      <c r="AG100" s="137"/>
      <c r="AH100" s="12"/>
      <c r="AI100" s="12"/>
    </row>
    <row r="101" spans="1:35" ht="12.75" customHeight="1">
      <c r="A101" s="12"/>
      <c r="B101" s="12"/>
      <c r="C101" s="12" t="str">
        <f>Model!C273</f>
        <v>Dividends YoY Growth Rate</v>
      </c>
      <c r="D101" s="12"/>
      <c r="E101" s="12"/>
      <c r="F101" s="323"/>
      <c r="G101" s="323"/>
      <c r="H101" s="323"/>
      <c r="I101" s="323"/>
      <c r="J101" s="324"/>
      <c r="K101" s="323">
        <f>Model!K273</f>
        <v>0.13235294117647056</v>
      </c>
      <c r="L101" s="323">
        <f>Model!L273</f>
        <v>0.13017751479289941</v>
      </c>
      <c r="M101" s="323">
        <f>Model!M273</f>
        <v>9.7435897435897534E-2</v>
      </c>
      <c r="N101" s="323">
        <f>Model!N273</f>
        <v>9.3023255813953432E-2</v>
      </c>
      <c r="O101" s="324"/>
      <c r="P101" s="323">
        <f>Model!P273</f>
        <v>9.0909090909090828E-2</v>
      </c>
      <c r="Q101" s="323">
        <f>Model!Q273</f>
        <v>8.9005235602094279E-2</v>
      </c>
      <c r="R101" s="323">
        <f>Model!R273</f>
        <v>-2.8037383177570097E-2</v>
      </c>
      <c r="S101" s="323">
        <f>Model!S273</f>
        <v>6.8557919621749397E-2</v>
      </c>
      <c r="T101" s="324"/>
      <c r="U101" s="323">
        <f>Model!U273</f>
        <v>4.7619047619047672E-2</v>
      </c>
      <c r="V101" s="323">
        <f>Model!V273</f>
        <v>3.3653846153846256E-2</v>
      </c>
      <c r="W101" s="323">
        <f>Model!W273</f>
        <v>0.35336538461538458</v>
      </c>
      <c r="X101" s="325">
        <f>IF(Case_Scenario="Bull",X102,IF(Case_Scenario="Base",X103,IF(Case_Scenario="bear",X104,"N/A")))</f>
        <v>0.15</v>
      </c>
      <c r="Y101" s="324"/>
      <c r="Z101" s="325">
        <f>IF(Case_Scenario="Bull",Z102,IF(Case_Scenario="Base",Z103,IF(Case_Scenario="bear",Z104,"N/A")))</f>
        <v>0.15</v>
      </c>
      <c r="AA101" s="325">
        <f>IF(Case_Scenario="Bull",AA102,IF(Case_Scenario="Base",AA103,IF(Case_Scenario="bear",AA104,"N/A")))</f>
        <v>0.15</v>
      </c>
      <c r="AB101" s="325">
        <f>IF(Case_Scenario="Bull",AB102,IF(Case_Scenario="Base",AB103,IF(Case_Scenario="bear",AB104,"N/A")))</f>
        <v>0.15</v>
      </c>
      <c r="AC101" s="325">
        <f>IF(Case_Scenario="Bull",AC102,IF(Case_Scenario="Base",AC103,IF(Case_Scenario="bear",AC104,"N/A")))</f>
        <v>0.15</v>
      </c>
      <c r="AD101" s="324"/>
      <c r="AE101" s="324">
        <f>IF(Case_Scenario="Bull",AE102,IF(Case_Scenario="Base",AE103,IF(Case_Scenario="bear",AE104,"N/A")))</f>
        <v>0.1</v>
      </c>
      <c r="AF101" s="324">
        <f>IF(Case_Scenario="Bull",AF102,IF(Case_Scenario="Base",AF103,IF(Case_Scenario="bear",AF104,"N/A")))</f>
        <v>0.1</v>
      </c>
      <c r="AG101" s="324">
        <f>IF(Case_Scenario="Bull",AG102,IF(Case_Scenario="Base",AG103,IF(Case_Scenario="bear",AG104,"N/A")))</f>
        <v>0.1</v>
      </c>
      <c r="AH101" s="12"/>
      <c r="AI101" s="12"/>
    </row>
    <row r="102" spans="1:35" ht="12.75" customHeight="1">
      <c r="A102" s="12"/>
      <c r="B102" s="12"/>
      <c r="C102" s="108" t="s">
        <v>251</v>
      </c>
      <c r="D102" s="12"/>
      <c r="E102" s="12"/>
      <c r="F102" s="323"/>
      <c r="G102" s="323"/>
      <c r="H102" s="323"/>
      <c r="I102" s="323"/>
      <c r="J102" s="324"/>
      <c r="K102" s="323"/>
      <c r="L102" s="323"/>
      <c r="M102" s="323"/>
      <c r="N102" s="323"/>
      <c r="O102" s="324"/>
      <c r="P102" s="323"/>
      <c r="Q102" s="323"/>
      <c r="R102" s="323"/>
      <c r="S102" s="323"/>
      <c r="T102" s="324"/>
      <c r="U102" s="323"/>
      <c r="V102" s="323"/>
      <c r="W102" s="323"/>
      <c r="X102" s="266">
        <v>0.2</v>
      </c>
      <c r="Y102" s="324"/>
      <c r="Z102" s="266">
        <v>0.2</v>
      </c>
      <c r="AA102" s="266">
        <v>0.2</v>
      </c>
      <c r="AB102" s="266">
        <v>0.2</v>
      </c>
      <c r="AC102" s="266">
        <v>0.2</v>
      </c>
      <c r="AD102" s="324"/>
      <c r="AE102" s="267">
        <v>0.15</v>
      </c>
      <c r="AF102" s="267">
        <v>0.15</v>
      </c>
      <c r="AG102" s="267">
        <v>0.15</v>
      </c>
      <c r="AH102" s="12"/>
      <c r="AI102" s="12"/>
    </row>
    <row r="103" spans="1:35" ht="12.75" customHeight="1">
      <c r="A103" s="12"/>
      <c r="B103" s="12"/>
      <c r="C103" s="108" t="s">
        <v>252</v>
      </c>
      <c r="D103" s="12"/>
      <c r="E103" s="12"/>
      <c r="F103" s="323"/>
      <c r="G103" s="323"/>
      <c r="H103" s="323"/>
      <c r="I103" s="323"/>
      <c r="J103" s="324"/>
      <c r="K103" s="323"/>
      <c r="L103" s="323"/>
      <c r="M103" s="323"/>
      <c r="N103" s="323"/>
      <c r="O103" s="324"/>
      <c r="P103" s="323"/>
      <c r="Q103" s="323"/>
      <c r="R103" s="323"/>
      <c r="S103" s="323"/>
      <c r="T103" s="324"/>
      <c r="U103" s="323"/>
      <c r="V103" s="323"/>
      <c r="W103" s="323"/>
      <c r="X103" s="266">
        <v>0.15</v>
      </c>
      <c r="Y103" s="324"/>
      <c r="Z103" s="266">
        <v>0.15</v>
      </c>
      <c r="AA103" s="266">
        <v>0.15</v>
      </c>
      <c r="AB103" s="266">
        <v>0.15</v>
      </c>
      <c r="AC103" s="266">
        <v>0.15</v>
      </c>
      <c r="AD103" s="324"/>
      <c r="AE103" s="267">
        <v>0.1</v>
      </c>
      <c r="AF103" s="267">
        <v>0.1</v>
      </c>
      <c r="AG103" s="267">
        <v>0.1</v>
      </c>
      <c r="AH103" s="12"/>
      <c r="AI103" s="12"/>
    </row>
    <row r="104" spans="1:35" ht="12.75" customHeight="1">
      <c r="A104" s="12"/>
      <c r="B104" s="12"/>
      <c r="C104" s="108" t="s">
        <v>253</v>
      </c>
      <c r="D104" s="12"/>
      <c r="E104" s="12"/>
      <c r="F104" s="323"/>
      <c r="G104" s="323"/>
      <c r="H104" s="323"/>
      <c r="I104" s="323"/>
      <c r="J104" s="324"/>
      <c r="K104" s="323"/>
      <c r="L104" s="323"/>
      <c r="M104" s="323"/>
      <c r="N104" s="323"/>
      <c r="O104" s="324"/>
      <c r="P104" s="323"/>
      <c r="Q104" s="323"/>
      <c r="R104" s="323"/>
      <c r="S104" s="323"/>
      <c r="T104" s="324"/>
      <c r="U104" s="323"/>
      <c r="V104" s="323"/>
      <c r="W104" s="323"/>
      <c r="X104" s="266">
        <v>0.05</v>
      </c>
      <c r="Y104" s="324"/>
      <c r="Z104" s="266">
        <v>0</v>
      </c>
      <c r="AA104" s="266">
        <v>0</v>
      </c>
      <c r="AB104" s="266">
        <v>0.05</v>
      </c>
      <c r="AC104" s="266">
        <v>0.05</v>
      </c>
      <c r="AD104" s="324"/>
      <c r="AE104" s="267">
        <v>0.05</v>
      </c>
      <c r="AF104" s="267">
        <v>0.05</v>
      </c>
      <c r="AG104" s="267">
        <v>0.05</v>
      </c>
      <c r="AH104" s="12"/>
      <c r="AI104" s="12"/>
    </row>
    <row r="105" spans="1:35" ht="12.75" customHeight="1">
      <c r="A105" s="12"/>
      <c r="B105" s="12"/>
      <c r="C105" s="12"/>
      <c r="D105" s="12"/>
      <c r="E105" s="12"/>
      <c r="F105" s="323"/>
      <c r="G105" s="323"/>
      <c r="H105" s="323"/>
      <c r="I105" s="323"/>
      <c r="J105" s="324"/>
      <c r="K105" s="323"/>
      <c r="L105" s="323"/>
      <c r="M105" s="323"/>
      <c r="N105" s="323"/>
      <c r="O105" s="324"/>
      <c r="P105" s="323"/>
      <c r="Q105" s="323"/>
      <c r="R105" s="323"/>
      <c r="S105" s="323"/>
      <c r="T105" s="324"/>
      <c r="U105" s="323"/>
      <c r="V105" s="323"/>
      <c r="W105" s="323"/>
      <c r="X105" s="266"/>
      <c r="Y105" s="324"/>
      <c r="Z105" s="266"/>
      <c r="AA105" s="266"/>
      <c r="AB105" s="266"/>
      <c r="AC105" s="266"/>
      <c r="AD105" s="324"/>
      <c r="AE105" s="267"/>
      <c r="AF105" s="267"/>
      <c r="AG105" s="267"/>
      <c r="AH105" s="12"/>
      <c r="AI105" s="12"/>
    </row>
    <row r="106" spans="1:35" ht="12.75" customHeight="1">
      <c r="A106" s="12"/>
      <c r="B106" s="12"/>
      <c r="C106" s="12" t="str">
        <f>Model!C95</f>
        <v>Change in Noncontrolling Interests</v>
      </c>
      <c r="D106" s="12"/>
      <c r="E106" s="12"/>
      <c r="F106" s="271">
        <f>Model!F95</f>
        <v>0</v>
      </c>
      <c r="G106" s="271">
        <f>Model!G95</f>
        <v>0</v>
      </c>
      <c r="H106" s="271">
        <f>Model!H95</f>
        <v>0</v>
      </c>
      <c r="I106" s="271">
        <f>Model!I95</f>
        <v>0</v>
      </c>
      <c r="J106" s="272">
        <f>Model!J95</f>
        <v>0</v>
      </c>
      <c r="K106" s="271">
        <f>Model!K95</f>
        <v>0</v>
      </c>
      <c r="L106" s="271">
        <f>Model!L95</f>
        <v>0</v>
      </c>
      <c r="M106" s="271">
        <f>Model!M95</f>
        <v>0</v>
      </c>
      <c r="N106" s="271">
        <f>Model!N95</f>
        <v>0</v>
      </c>
      <c r="O106" s="272">
        <f>Model!O95</f>
        <v>0</v>
      </c>
      <c r="P106" s="271">
        <f>Model!P95</f>
        <v>0</v>
      </c>
      <c r="Q106" s="271">
        <f>Model!Q95</f>
        <v>0</v>
      </c>
      <c r="R106" s="271">
        <f>Model!R95</f>
        <v>0</v>
      </c>
      <c r="S106" s="271">
        <f>Model!S95</f>
        <v>0</v>
      </c>
      <c r="T106" s="272">
        <f>Model!T95</f>
        <v>0</v>
      </c>
      <c r="U106" s="271">
        <f>Model!U95</f>
        <v>0</v>
      </c>
      <c r="V106" s="271">
        <f>Model!V95</f>
        <v>0</v>
      </c>
      <c r="W106" s="271">
        <f>Model!W95</f>
        <v>0</v>
      </c>
      <c r="X106" s="463">
        <v>0</v>
      </c>
      <c r="Y106" s="272">
        <f>Model!Y95</f>
        <v>0</v>
      </c>
      <c r="Z106" s="463">
        <v>0</v>
      </c>
      <c r="AA106" s="463">
        <v>0</v>
      </c>
      <c r="AB106" s="463">
        <v>0</v>
      </c>
      <c r="AC106" s="463">
        <v>0</v>
      </c>
      <c r="AD106" s="272">
        <f>Model!AD95</f>
        <v>0</v>
      </c>
      <c r="AE106" s="464">
        <v>0</v>
      </c>
      <c r="AF106" s="464">
        <v>0</v>
      </c>
      <c r="AG106" s="464">
        <v>0</v>
      </c>
      <c r="AH106" s="12"/>
      <c r="AI106" s="12"/>
    </row>
    <row r="107" spans="1:35" ht="12.75" customHeight="1">
      <c r="A107" s="211" t="s">
        <v>1</v>
      </c>
      <c r="B107" s="12"/>
      <c r="C107" s="12"/>
      <c r="D107" s="12"/>
      <c r="E107" s="12"/>
      <c r="F107" s="323"/>
      <c r="G107" s="323"/>
      <c r="H107" s="323"/>
      <c r="I107" s="323"/>
      <c r="J107" s="324"/>
      <c r="K107" s="323"/>
      <c r="L107" s="323"/>
      <c r="M107" s="323"/>
      <c r="N107" s="323"/>
      <c r="O107" s="324"/>
      <c r="P107" s="323"/>
      <c r="Q107" s="323"/>
      <c r="R107" s="323"/>
      <c r="S107" s="323"/>
      <c r="T107" s="324"/>
      <c r="U107" s="323"/>
      <c r="V107" s="323"/>
      <c r="W107" s="323"/>
      <c r="X107" s="266"/>
      <c r="Y107" s="324"/>
      <c r="Z107" s="266"/>
      <c r="AA107" s="266"/>
      <c r="AB107" s="266"/>
      <c r="AC107" s="266"/>
      <c r="AD107" s="324"/>
      <c r="AE107" s="267"/>
      <c r="AF107" s="267"/>
      <c r="AG107" s="267"/>
      <c r="AH107" s="211" t="s">
        <v>1</v>
      </c>
      <c r="AI107" s="211"/>
    </row>
    <row r="108" spans="1:35" ht="12.75" customHeight="1">
      <c r="A108" s="12"/>
      <c r="B108" s="12"/>
      <c r="C108" s="12" t="str">
        <f>Model!C98</f>
        <v>Effect of FX Rate Changes on Cash</v>
      </c>
      <c r="D108" s="12"/>
      <c r="E108" s="12"/>
      <c r="F108" s="271">
        <f>Model!F98</f>
        <v>0</v>
      </c>
      <c r="G108" s="271">
        <f>Model!G98</f>
        <v>0</v>
      </c>
      <c r="H108" s="271">
        <f>Model!H98</f>
        <v>0</v>
      </c>
      <c r="I108" s="271">
        <f>Model!I98</f>
        <v>0</v>
      </c>
      <c r="J108" s="272">
        <f>Model!J98</f>
        <v>0</v>
      </c>
      <c r="K108" s="271">
        <f>Model!K98</f>
        <v>0</v>
      </c>
      <c r="L108" s="271">
        <f>Model!L98</f>
        <v>0</v>
      </c>
      <c r="M108" s="271">
        <f>Model!M98</f>
        <v>0</v>
      </c>
      <c r="N108" s="271">
        <f>Model!N98</f>
        <v>0</v>
      </c>
      <c r="O108" s="272">
        <f>Model!O98</f>
        <v>0</v>
      </c>
      <c r="P108" s="271">
        <f>Model!P98</f>
        <v>0</v>
      </c>
      <c r="Q108" s="271">
        <f>Model!Q98</f>
        <v>0</v>
      </c>
      <c r="R108" s="271">
        <f>Model!R98</f>
        <v>0</v>
      </c>
      <c r="S108" s="271">
        <f>Model!S98</f>
        <v>0</v>
      </c>
      <c r="T108" s="272">
        <f>Model!T98</f>
        <v>0</v>
      </c>
      <c r="U108" s="271">
        <f>Model!U98</f>
        <v>0</v>
      </c>
      <c r="V108" s="271">
        <f>Model!V98</f>
        <v>0</v>
      </c>
      <c r="W108" s="271">
        <f>Model!W98</f>
        <v>0</v>
      </c>
      <c r="X108" s="463">
        <v>0</v>
      </c>
      <c r="Y108" s="272">
        <f>Model!Y98</f>
        <v>0</v>
      </c>
      <c r="Z108" s="463">
        <v>0</v>
      </c>
      <c r="AA108" s="463">
        <v>0</v>
      </c>
      <c r="AB108" s="463">
        <v>0</v>
      </c>
      <c r="AC108" s="463">
        <v>0</v>
      </c>
      <c r="AD108" s="272">
        <f>Model!AD98</f>
        <v>0</v>
      </c>
      <c r="AE108" s="464">
        <v>0</v>
      </c>
      <c r="AF108" s="464">
        <v>0</v>
      </c>
      <c r="AG108" s="464">
        <v>0</v>
      </c>
      <c r="AH108" s="12"/>
      <c r="AI108" s="12"/>
    </row>
    <row r="109" spans="1:35" ht="12.75" customHeight="1">
      <c r="A109" s="12"/>
      <c r="B109" s="12"/>
      <c r="C109" s="12"/>
      <c r="D109" s="12"/>
      <c r="E109" s="12"/>
      <c r="F109" s="323"/>
      <c r="G109" s="323"/>
      <c r="H109" s="323"/>
      <c r="I109" s="323"/>
      <c r="J109" s="324"/>
      <c r="K109" s="323"/>
      <c r="L109" s="323"/>
      <c r="M109" s="323"/>
      <c r="N109" s="323"/>
      <c r="O109" s="324"/>
      <c r="P109" s="323"/>
      <c r="Q109" s="323"/>
      <c r="R109" s="323"/>
      <c r="S109" s="323"/>
      <c r="T109" s="324"/>
      <c r="U109" s="323"/>
      <c r="V109" s="323"/>
      <c r="W109" s="323"/>
      <c r="X109" s="266"/>
      <c r="Y109" s="324"/>
      <c r="Z109" s="266"/>
      <c r="AA109" s="266"/>
      <c r="AB109" s="266"/>
      <c r="AC109" s="266"/>
      <c r="AD109" s="324"/>
      <c r="AE109" s="267"/>
      <c r="AF109" s="267"/>
      <c r="AG109" s="267"/>
      <c r="AH109" s="12"/>
      <c r="AI109" s="12"/>
    </row>
    <row r="110" spans="1:35" ht="12.75" customHeight="1">
      <c r="A110" s="12"/>
      <c r="B110" s="12"/>
      <c r="C110" s="296" t="s">
        <v>484</v>
      </c>
      <c r="D110" s="319"/>
      <c r="E110" s="319"/>
      <c r="F110" s="297" t="str">
        <f>Model!F$25</f>
        <v>1Q23</v>
      </c>
      <c r="G110" s="147" t="str">
        <f>Model!G$25</f>
        <v>2Q23</v>
      </c>
      <c r="H110" s="147" t="str">
        <f>Model!H$25</f>
        <v>3Q23</v>
      </c>
      <c r="I110" s="147" t="str">
        <f>Model!I$25</f>
        <v>4Q23</v>
      </c>
      <c r="J110" s="147">
        <f>Model!J$25</f>
        <v>2023</v>
      </c>
      <c r="K110" s="147" t="str">
        <f>Model!K$25</f>
        <v>1Q24</v>
      </c>
      <c r="L110" s="147" t="str">
        <f>Model!L$25</f>
        <v>2Q24</v>
      </c>
      <c r="M110" s="147" t="str">
        <f>Model!M$25</f>
        <v>3Q24</v>
      </c>
      <c r="N110" s="147" t="str">
        <f>Model!N$25</f>
        <v>4Q24</v>
      </c>
      <c r="O110" s="147">
        <f>Model!O$25</f>
        <v>2024</v>
      </c>
      <c r="P110" s="147" t="str">
        <f>Model!P$25</f>
        <v>1Q25</v>
      </c>
      <c r="Q110" s="147" t="str">
        <f>Model!Q$25</f>
        <v>2Q25</v>
      </c>
      <c r="R110" s="147" t="str">
        <f>Model!R$25</f>
        <v>3Q25</v>
      </c>
      <c r="S110" s="147" t="str">
        <f>Model!S$25</f>
        <v>4Q25</v>
      </c>
      <c r="T110" s="147">
        <f>Model!T$25</f>
        <v>2025</v>
      </c>
      <c r="U110" s="147" t="str">
        <f>Model!U$25</f>
        <v>1Q26</v>
      </c>
      <c r="V110" s="147" t="str">
        <f>Model!V$25</f>
        <v>2Q26</v>
      </c>
      <c r="W110" s="147" t="str">
        <f>Model!W$25</f>
        <v>3Q26e</v>
      </c>
      <c r="X110" s="147" t="str">
        <f>Model!X$25</f>
        <v>4Q26e</v>
      </c>
      <c r="Y110" s="147" t="str">
        <f>Model!Y$25</f>
        <v>2026e</v>
      </c>
      <c r="Z110" s="147" t="str">
        <f>Model!Z$25</f>
        <v>1Q27e</v>
      </c>
      <c r="AA110" s="147" t="str">
        <f>Model!AA$25</f>
        <v>2Q27e</v>
      </c>
      <c r="AB110" s="147" t="str">
        <f>Model!AB$25</f>
        <v>3Q27e</v>
      </c>
      <c r="AC110" s="147" t="str">
        <f>Model!AC$25</f>
        <v>4Q27e</v>
      </c>
      <c r="AD110" s="147" t="str">
        <f>Model!AD$25</f>
        <v>2027e</v>
      </c>
      <c r="AE110" s="147" t="str">
        <f>Model!AE$25</f>
        <v>2028e</v>
      </c>
      <c r="AF110" s="147" t="str">
        <f>Model!AF$25</f>
        <v>2029e</v>
      </c>
      <c r="AG110" s="298" t="str">
        <f>Model!AG$25</f>
        <v>2030e</v>
      </c>
      <c r="AH110" s="12"/>
      <c r="AI110" s="12"/>
    </row>
    <row r="111" spans="1:35" ht="12.75" customHeight="1">
      <c r="A111" s="12"/>
      <c r="B111" s="12"/>
      <c r="C111" s="453" t="s">
        <v>485</v>
      </c>
      <c r="D111" s="454"/>
      <c r="E111" s="454"/>
      <c r="F111" s="465"/>
      <c r="G111" s="466"/>
      <c r="H111" s="466"/>
      <c r="I111" s="466"/>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6"/>
      <c r="AG111" s="467"/>
      <c r="AH111" s="12"/>
      <c r="AI111" s="12"/>
    </row>
    <row r="112" spans="1:35" ht="12.75" customHeight="1">
      <c r="A112" s="12"/>
      <c r="B112" s="12"/>
      <c r="C112" s="12"/>
      <c r="D112" s="12"/>
      <c r="E112" s="12"/>
      <c r="F112" s="323"/>
      <c r="G112" s="323"/>
      <c r="H112" s="323"/>
      <c r="I112" s="323"/>
      <c r="J112" s="324"/>
      <c r="K112" s="323"/>
      <c r="L112" s="323"/>
      <c r="M112" s="323"/>
      <c r="N112" s="323"/>
      <c r="O112" s="324"/>
      <c r="P112" s="323"/>
      <c r="Q112" s="323"/>
      <c r="R112" s="323"/>
      <c r="S112" s="323"/>
      <c r="T112" s="324"/>
      <c r="U112" s="323"/>
      <c r="V112" s="323"/>
      <c r="W112" s="323"/>
      <c r="X112" s="325"/>
      <c r="Y112" s="324"/>
      <c r="Z112" s="325"/>
      <c r="AA112" s="325"/>
      <c r="AB112" s="325"/>
      <c r="AC112" s="325"/>
      <c r="AD112" s="324"/>
      <c r="AE112" s="137"/>
      <c r="AF112" s="137"/>
      <c r="AG112" s="137"/>
      <c r="AH112" s="12"/>
      <c r="AI112" s="12"/>
    </row>
    <row r="113" spans="1:35" ht="12.75" customHeight="1">
      <c r="A113" s="12"/>
      <c r="B113" s="12"/>
      <c r="C113" s="12" t="str">
        <f>Model!C182</f>
        <v>Days Sales Outstanding</v>
      </c>
      <c r="D113" s="12"/>
      <c r="E113" s="12"/>
      <c r="F113" s="323"/>
      <c r="G113" s="271">
        <f>Model!G182</f>
        <v>0</v>
      </c>
      <c r="H113" s="271">
        <f>Model!H182</f>
        <v>0</v>
      </c>
      <c r="I113" s="271">
        <f>Model!I182</f>
        <v>0</v>
      </c>
      <c r="J113" s="272">
        <f>Model!J182</f>
        <v>0</v>
      </c>
      <c r="K113" s="271">
        <f>Model!K182</f>
        <v>0</v>
      </c>
      <c r="L113" s="271">
        <f>Model!L182</f>
        <v>0</v>
      </c>
      <c r="M113" s="271">
        <f>Model!M182</f>
        <v>0</v>
      </c>
      <c r="N113" s="271">
        <f>Model!N182</f>
        <v>0</v>
      </c>
      <c r="O113" s="272">
        <f>Model!O182</f>
        <v>0</v>
      </c>
      <c r="P113" s="271">
        <f>Model!P182</f>
        <v>0</v>
      </c>
      <c r="Q113" s="271">
        <f>Model!Q182</f>
        <v>0</v>
      </c>
      <c r="R113" s="271">
        <f>Model!R182</f>
        <v>0</v>
      </c>
      <c r="S113" s="271">
        <f>Model!S182</f>
        <v>0</v>
      </c>
      <c r="T113" s="272">
        <f>Model!T182</f>
        <v>0</v>
      </c>
      <c r="U113" s="271">
        <f>Model!U182</f>
        <v>0</v>
      </c>
      <c r="V113" s="271">
        <f>Model!V182</f>
        <v>0</v>
      </c>
      <c r="W113" s="271">
        <f>Model!W182</f>
        <v>0</v>
      </c>
      <c r="X113" s="273">
        <f>IF(Case_Scenario="Bull",X114,IF(Case_Scenario="Base",X115,IF(Case_Scenario="bear",X116,"N/A")))</f>
        <v>0</v>
      </c>
      <c r="Y113" s="272">
        <f>Model!Y182</f>
        <v>0</v>
      </c>
      <c r="Z113" s="273">
        <f>IF(Case_Scenario="Bull",Z114,IF(Case_Scenario="Base",Z115,IF(Case_Scenario="bear",Z116,"N/A")))</f>
        <v>0</v>
      </c>
      <c r="AA113" s="273">
        <f>IF(Case_Scenario="Bull",AA114,IF(Case_Scenario="Base",AA115,IF(Case_Scenario="bear",AA116,"N/A")))</f>
        <v>0</v>
      </c>
      <c r="AB113" s="273">
        <f>IF(Case_Scenario="Bull",AB114,IF(Case_Scenario="Base",AB115,IF(Case_Scenario="bear",AB116,"N/A")))</f>
        <v>0</v>
      </c>
      <c r="AC113" s="273">
        <f>IF(Case_Scenario="Bull",AC114,IF(Case_Scenario="Base",AC115,IF(Case_Scenario="bear",AC116,"N/A")))</f>
        <v>0</v>
      </c>
      <c r="AD113" s="272">
        <f>Model!AD182</f>
        <v>0</v>
      </c>
      <c r="AE113" s="272">
        <f>IF(Case_Scenario="Bull",AE114,IF(Case_Scenario="Base",AE115,IF(Case_Scenario="bear",AE116,"N/A")))</f>
        <v>0</v>
      </c>
      <c r="AF113" s="272">
        <f>IF(Case_Scenario="Bull",AF114,IF(Case_Scenario="Base",AF115,IF(Case_Scenario="bear",AF116,"N/A")))</f>
        <v>0</v>
      </c>
      <c r="AG113" s="272">
        <f>IF(Case_Scenario="Bull",AG114,IF(Case_Scenario="Base",AG115,IF(Case_Scenario="bear",AG116,"N/A")))</f>
        <v>0</v>
      </c>
      <c r="AH113" s="12"/>
      <c r="AI113" s="12"/>
    </row>
    <row r="114" spans="1:35" ht="12.75" customHeight="1">
      <c r="A114" s="12"/>
      <c r="B114" s="12"/>
      <c r="C114" s="108" t="s">
        <v>251</v>
      </c>
      <c r="D114" s="12"/>
      <c r="E114" s="12"/>
      <c r="F114" s="323"/>
      <c r="G114" s="323"/>
      <c r="H114" s="323"/>
      <c r="I114" s="323"/>
      <c r="J114" s="324"/>
      <c r="K114" s="323"/>
      <c r="L114" s="323"/>
      <c r="M114" s="323"/>
      <c r="N114" s="323"/>
      <c r="O114" s="324"/>
      <c r="P114" s="323"/>
      <c r="Q114" s="323"/>
      <c r="R114" s="323"/>
      <c r="S114" s="323"/>
      <c r="T114" s="324"/>
      <c r="U114" s="323"/>
      <c r="V114" s="323"/>
      <c r="W114" s="323"/>
      <c r="X114" s="469">
        <v>0</v>
      </c>
      <c r="Y114" s="324"/>
      <c r="Z114" s="469">
        <v>0</v>
      </c>
      <c r="AA114" s="469">
        <v>0</v>
      </c>
      <c r="AB114" s="469">
        <v>0</v>
      </c>
      <c r="AC114" s="469">
        <v>0</v>
      </c>
      <c r="AD114" s="324"/>
      <c r="AE114" s="470">
        <v>0</v>
      </c>
      <c r="AF114" s="470">
        <v>0</v>
      </c>
      <c r="AG114" s="470">
        <v>0</v>
      </c>
      <c r="AH114" s="12"/>
      <c r="AI114" s="12"/>
    </row>
    <row r="115" spans="1:35" ht="12.75" customHeight="1">
      <c r="A115" s="12"/>
      <c r="B115" s="12"/>
      <c r="C115" s="108" t="s">
        <v>252</v>
      </c>
      <c r="D115" s="12"/>
      <c r="E115" s="12"/>
      <c r="F115" s="323"/>
      <c r="G115" s="323"/>
      <c r="H115" s="323"/>
      <c r="I115" s="323"/>
      <c r="J115" s="324"/>
      <c r="K115" s="323"/>
      <c r="L115" s="323"/>
      <c r="M115" s="323"/>
      <c r="N115" s="323"/>
      <c r="O115" s="324"/>
      <c r="P115" s="323"/>
      <c r="Q115" s="323"/>
      <c r="R115" s="323"/>
      <c r="S115" s="323"/>
      <c r="T115" s="324"/>
      <c r="U115" s="323"/>
      <c r="V115" s="323"/>
      <c r="W115" s="323"/>
      <c r="X115" s="469">
        <v>0</v>
      </c>
      <c r="Y115" s="324"/>
      <c r="Z115" s="469">
        <v>0</v>
      </c>
      <c r="AA115" s="469">
        <v>0</v>
      </c>
      <c r="AB115" s="469">
        <v>0</v>
      </c>
      <c r="AC115" s="469">
        <v>0</v>
      </c>
      <c r="AD115" s="324"/>
      <c r="AE115" s="470">
        <v>0</v>
      </c>
      <c r="AF115" s="470">
        <v>0</v>
      </c>
      <c r="AG115" s="470">
        <v>0</v>
      </c>
      <c r="AH115" s="12"/>
      <c r="AI115" s="12"/>
    </row>
    <row r="116" spans="1:35" ht="12.75" customHeight="1">
      <c r="A116" s="12"/>
      <c r="B116" s="12"/>
      <c r="C116" s="108" t="s">
        <v>253</v>
      </c>
      <c r="D116" s="12"/>
      <c r="E116" s="12"/>
      <c r="F116" s="323"/>
      <c r="G116" s="323"/>
      <c r="H116" s="323"/>
      <c r="I116" s="323"/>
      <c r="J116" s="324"/>
      <c r="K116" s="323"/>
      <c r="L116" s="323"/>
      <c r="M116" s="323"/>
      <c r="N116" s="323"/>
      <c r="O116" s="324"/>
      <c r="P116" s="323"/>
      <c r="Q116" s="323"/>
      <c r="R116" s="323"/>
      <c r="S116" s="323"/>
      <c r="T116" s="324"/>
      <c r="U116" s="323"/>
      <c r="V116" s="323"/>
      <c r="W116" s="323"/>
      <c r="X116" s="469">
        <v>0</v>
      </c>
      <c r="Y116" s="324"/>
      <c r="Z116" s="469">
        <v>0</v>
      </c>
      <c r="AA116" s="469">
        <v>0</v>
      </c>
      <c r="AB116" s="469">
        <v>0</v>
      </c>
      <c r="AC116" s="469">
        <v>0</v>
      </c>
      <c r="AD116" s="324"/>
      <c r="AE116" s="470">
        <v>0</v>
      </c>
      <c r="AF116" s="470">
        <v>0</v>
      </c>
      <c r="AG116" s="470">
        <v>0</v>
      </c>
      <c r="AH116" s="12"/>
      <c r="AI116" s="12"/>
    </row>
    <row r="117" spans="1:35" ht="12.75" customHeight="1">
      <c r="A117" s="12"/>
      <c r="B117" s="12"/>
      <c r="C117" s="12"/>
      <c r="D117" s="12"/>
      <c r="E117" s="12"/>
      <c r="F117" s="323"/>
      <c r="G117" s="323"/>
      <c r="H117" s="323"/>
      <c r="I117" s="323"/>
      <c r="J117" s="324"/>
      <c r="K117" s="323"/>
      <c r="L117" s="323"/>
      <c r="M117" s="323"/>
      <c r="N117" s="323"/>
      <c r="O117" s="324"/>
      <c r="P117" s="323"/>
      <c r="Q117" s="323"/>
      <c r="R117" s="323"/>
      <c r="S117" s="323"/>
      <c r="T117" s="324"/>
      <c r="U117" s="323"/>
      <c r="V117" s="323"/>
      <c r="W117" s="323"/>
      <c r="X117" s="266"/>
      <c r="Y117" s="324"/>
      <c r="Z117" s="266"/>
      <c r="AA117" s="266"/>
      <c r="AB117" s="266"/>
      <c r="AC117" s="266"/>
      <c r="AD117" s="324"/>
      <c r="AE117" s="267"/>
      <c r="AF117" s="267"/>
      <c r="AG117" s="267"/>
      <c r="AH117" s="12"/>
      <c r="AI117" s="12"/>
    </row>
    <row r="118" spans="1:35" ht="12.75" customHeight="1">
      <c r="A118" s="12"/>
      <c r="B118" s="12"/>
      <c r="C118" s="12" t="str">
        <f>Model!C183</f>
        <v>Days Inventory Outstanding</v>
      </c>
      <c r="D118" s="12"/>
      <c r="E118" s="12"/>
      <c r="F118" s="323"/>
      <c r="G118" s="271">
        <f>Model!G183</f>
        <v>244.26165140677057</v>
      </c>
      <c r="H118" s="271">
        <f>Model!H183</f>
        <v>226.23158813560835</v>
      </c>
      <c r="I118" s="271">
        <f>Model!I183</f>
        <v>216.03246866661004</v>
      </c>
      <c r="J118" s="272">
        <f>Model!J183</f>
        <v>232.12171703338504</v>
      </c>
      <c r="K118" s="271">
        <f>Model!K183</f>
        <v>249.42672128779304</v>
      </c>
      <c r="L118" s="271">
        <f>Model!L183</f>
        <v>252.87240804902376</v>
      </c>
      <c r="M118" s="271">
        <f>Model!M183</f>
        <v>246.5907430715227</v>
      </c>
      <c r="N118" s="271">
        <f>Model!N183</f>
        <v>214.51221043096984</v>
      </c>
      <c r="O118" s="272">
        <f>Model!O183</f>
        <v>223.28388612400602</v>
      </c>
      <c r="P118" s="271">
        <f>Model!P183</f>
        <v>234.80058603721309</v>
      </c>
      <c r="Q118" s="271">
        <f>Model!Q183</f>
        <v>240.20888169723798</v>
      </c>
      <c r="R118" s="271">
        <f>Model!R183</f>
        <v>220.46120777061282</v>
      </c>
      <c r="S118" s="271">
        <f>Model!S183</f>
        <v>225.00617466506179</v>
      </c>
      <c r="T118" s="272">
        <f>Model!T183</f>
        <v>230.30351149923598</v>
      </c>
      <c r="U118" s="271">
        <f>Model!U183</f>
        <v>264.23439405812059</v>
      </c>
      <c r="V118" s="271">
        <f>Model!V183</f>
        <v>88.976448680030671</v>
      </c>
      <c r="W118" s="271">
        <f>Model!W183</f>
        <v>102.03652729763225</v>
      </c>
      <c r="X118" s="273">
        <f>IF(Case_Scenario="Bull",X119,IF(Case_Scenario="Base",X120,IF(Case_Scenario="bear",X121,"N/A")))</f>
        <v>90</v>
      </c>
      <c r="Y118" s="272">
        <f>Model!Y183</f>
        <v>108.47399358257836</v>
      </c>
      <c r="Z118" s="273">
        <f>IF(Case_Scenario="Bull",Z119,IF(Case_Scenario="Base",Z120,IF(Case_Scenario="bear",Z121,"N/A")))</f>
        <v>95</v>
      </c>
      <c r="AA118" s="273">
        <f>IF(Case_Scenario="Bull",AA119,IF(Case_Scenario="Base",AA120,IF(Case_Scenario="bear",AA121,"N/A")))</f>
        <v>80</v>
      </c>
      <c r="AB118" s="273">
        <f>IF(Case_Scenario="Bull",AB119,IF(Case_Scenario="Base",AB120,IF(Case_Scenario="bear",AB121,"N/A")))</f>
        <v>85</v>
      </c>
      <c r="AC118" s="273">
        <f>IF(Case_Scenario="Bull",AC119,IF(Case_Scenario="Base",AC120,IF(Case_Scenario="bear",AC121,"N/A")))</f>
        <v>90</v>
      </c>
      <c r="AD118" s="272">
        <f>Model!AD183</f>
        <v>78.93300806770992</v>
      </c>
      <c r="AE118" s="272">
        <f>IF(Case_Scenario="Bull",AE119,IF(Case_Scenario="Base",AE120,IF(Case_Scenario="bear",AE121,"N/A")))</f>
        <v>84</v>
      </c>
      <c r="AF118" s="272">
        <f>IF(Case_Scenario="Bull",AF119,IF(Case_Scenario="Base",AF120,IF(Case_Scenario="bear",AF121,"N/A")))</f>
        <v>84</v>
      </c>
      <c r="AG118" s="272">
        <f>IF(Case_Scenario="Bull",AG119,IF(Case_Scenario="Base",AG120,IF(Case_Scenario="bear",AG121,"N/A")))</f>
        <v>84</v>
      </c>
      <c r="AH118" s="12"/>
      <c r="AI118" s="12"/>
    </row>
    <row r="119" spans="1:35" ht="12.75" customHeight="1">
      <c r="A119" s="12"/>
      <c r="B119" s="12"/>
      <c r="C119" s="108" t="s">
        <v>251</v>
      </c>
      <c r="D119" s="12"/>
      <c r="E119" s="12"/>
      <c r="F119" s="323"/>
      <c r="G119" s="323"/>
      <c r="H119" s="323"/>
      <c r="I119" s="323"/>
      <c r="J119" s="324"/>
      <c r="K119" s="323"/>
      <c r="L119" s="323"/>
      <c r="M119" s="323"/>
      <c r="N119" s="323"/>
      <c r="O119" s="324"/>
      <c r="P119" s="323"/>
      <c r="Q119" s="323"/>
      <c r="R119" s="323"/>
      <c r="S119" s="323"/>
      <c r="T119" s="324"/>
      <c r="U119" s="323"/>
      <c r="V119" s="323"/>
      <c r="W119" s="323"/>
      <c r="X119" s="469">
        <v>85</v>
      </c>
      <c r="Y119" s="324"/>
      <c r="Z119" s="469">
        <v>90</v>
      </c>
      <c r="AA119" s="469">
        <v>78</v>
      </c>
      <c r="AB119" s="469">
        <v>78</v>
      </c>
      <c r="AC119" s="469">
        <v>85</v>
      </c>
      <c r="AD119" s="324"/>
      <c r="AE119" s="470">
        <v>78</v>
      </c>
      <c r="AF119" s="470">
        <v>78</v>
      </c>
      <c r="AG119" s="470">
        <v>78</v>
      </c>
      <c r="AH119" s="12"/>
      <c r="AI119" s="12"/>
    </row>
    <row r="120" spans="1:35" ht="12.75" customHeight="1">
      <c r="A120" s="12"/>
      <c r="B120" s="12"/>
      <c r="C120" s="108" t="s">
        <v>252</v>
      </c>
      <c r="D120" s="12"/>
      <c r="E120" s="12"/>
      <c r="F120" s="323"/>
      <c r="G120" s="323"/>
      <c r="H120" s="323"/>
      <c r="I120" s="323"/>
      <c r="J120" s="324"/>
      <c r="K120" s="323"/>
      <c r="L120" s="323"/>
      <c r="M120" s="323"/>
      <c r="N120" s="323"/>
      <c r="O120" s="324"/>
      <c r="P120" s="323"/>
      <c r="Q120" s="323"/>
      <c r="R120" s="323"/>
      <c r="S120" s="323"/>
      <c r="T120" s="324"/>
      <c r="U120" s="323"/>
      <c r="V120" s="323"/>
      <c r="W120" s="323"/>
      <c r="X120" s="469">
        <v>90</v>
      </c>
      <c r="Y120" s="324"/>
      <c r="Z120" s="469">
        <v>95</v>
      </c>
      <c r="AA120" s="469">
        <v>80</v>
      </c>
      <c r="AB120" s="469">
        <v>85</v>
      </c>
      <c r="AC120" s="469">
        <v>90</v>
      </c>
      <c r="AD120" s="324"/>
      <c r="AE120" s="470">
        <v>84</v>
      </c>
      <c r="AF120" s="470">
        <v>84</v>
      </c>
      <c r="AG120" s="470">
        <v>84</v>
      </c>
      <c r="AH120" s="12"/>
      <c r="AI120" s="12"/>
    </row>
    <row r="121" spans="1:35" ht="12.75" customHeight="1">
      <c r="A121" s="12"/>
      <c r="B121" s="12"/>
      <c r="C121" s="108" t="s">
        <v>253</v>
      </c>
      <c r="D121" s="12"/>
      <c r="E121" s="12"/>
      <c r="F121" s="323"/>
      <c r="G121" s="323"/>
      <c r="H121" s="323"/>
      <c r="I121" s="323"/>
      <c r="J121" s="324"/>
      <c r="K121" s="323"/>
      <c r="L121" s="323"/>
      <c r="M121" s="323"/>
      <c r="N121" s="323"/>
      <c r="O121" s="324"/>
      <c r="P121" s="323"/>
      <c r="Q121" s="323"/>
      <c r="R121" s="323"/>
      <c r="S121" s="323"/>
      <c r="T121" s="324"/>
      <c r="U121" s="323"/>
      <c r="V121" s="323"/>
      <c r="W121" s="323"/>
      <c r="X121" s="469">
        <v>95</v>
      </c>
      <c r="Y121" s="324"/>
      <c r="Z121" s="469">
        <v>105</v>
      </c>
      <c r="AA121" s="469">
        <v>90</v>
      </c>
      <c r="AB121" s="469">
        <v>90</v>
      </c>
      <c r="AC121" s="469">
        <v>95</v>
      </c>
      <c r="AD121" s="324"/>
      <c r="AE121" s="470">
        <v>90</v>
      </c>
      <c r="AF121" s="470">
        <v>90</v>
      </c>
      <c r="AG121" s="470">
        <v>90</v>
      </c>
      <c r="AH121" s="12"/>
      <c r="AI121" s="12"/>
    </row>
    <row r="122" spans="1:35" ht="12.75" customHeight="1">
      <c r="A122" s="12"/>
      <c r="B122" s="12"/>
      <c r="C122" s="12"/>
      <c r="D122" s="12"/>
      <c r="E122" s="12"/>
      <c r="F122" s="323"/>
      <c r="G122" s="323"/>
      <c r="H122" s="323"/>
      <c r="I122" s="323"/>
      <c r="J122" s="324"/>
      <c r="K122" s="323"/>
      <c r="L122" s="323"/>
      <c r="M122" s="323"/>
      <c r="N122" s="323"/>
      <c r="O122" s="324"/>
      <c r="P122" s="323"/>
      <c r="Q122" s="323"/>
      <c r="R122" s="323"/>
      <c r="S122" s="323"/>
      <c r="T122" s="324"/>
      <c r="U122" s="323"/>
      <c r="V122" s="323"/>
      <c r="W122" s="323"/>
      <c r="X122" s="266"/>
      <c r="Y122" s="324"/>
      <c r="Z122" s="266"/>
      <c r="AA122" s="266"/>
      <c r="AB122" s="266"/>
      <c r="AC122" s="266"/>
      <c r="AD122" s="324"/>
      <c r="AE122" s="267"/>
      <c r="AF122" s="267"/>
      <c r="AG122" s="267"/>
      <c r="AH122" s="12"/>
      <c r="AI122" s="12"/>
    </row>
    <row r="123" spans="1:35" ht="12.75" customHeight="1">
      <c r="A123" s="12"/>
      <c r="B123" s="12"/>
      <c r="C123" s="12" t="str">
        <f>Model!C186</f>
        <v>Prepaid &amp; Other Current Assets as a % of Sales</v>
      </c>
      <c r="D123" s="12"/>
      <c r="E123" s="12"/>
      <c r="F123" s="323">
        <f>Model!F186</f>
        <v>0.11542080545703408</v>
      </c>
      <c r="G123" s="323">
        <f>Model!G186</f>
        <v>0.11736309682519305</v>
      </c>
      <c r="H123" s="323">
        <f>Model!H186</f>
        <v>0.10027985751729053</v>
      </c>
      <c r="I123" s="323">
        <f>Model!I186</f>
        <v>7.9284373912083608E-2</v>
      </c>
      <c r="J123" s="324">
        <f>Model!J186</f>
        <v>8.3064832006194397E-2</v>
      </c>
      <c r="K123" s="323">
        <f>Model!K186</f>
        <v>7.7278841761966352E-2</v>
      </c>
      <c r="L123" s="323">
        <f>Model!L186</f>
        <v>7.8212078068396154E-2</v>
      </c>
      <c r="M123" s="323">
        <f>Model!M186</f>
        <v>0.11888588387862717</v>
      </c>
      <c r="N123" s="323">
        <f>Model!N186</f>
        <v>0.12920605282987488</v>
      </c>
      <c r="O123" s="324">
        <f>Model!O186</f>
        <v>0.13578243164541104</v>
      </c>
      <c r="P123" s="323">
        <f>Model!P186</f>
        <v>0.10665533760904716</v>
      </c>
      <c r="Q123" s="323">
        <f>Model!Q186</f>
        <v>8.6100817516408731E-2</v>
      </c>
      <c r="R123" s="323">
        <f>Model!R186</f>
        <v>7.983383935806404E-2</v>
      </c>
      <c r="S123" s="323">
        <f>Model!S186</f>
        <v>8.2702446534086399E-2</v>
      </c>
      <c r="T123" s="324">
        <f>Model!T186</f>
        <v>8.8230237560840322E-2</v>
      </c>
      <c r="U123" s="323">
        <f>Model!U186</f>
        <v>9.8189906950807274E-2</v>
      </c>
      <c r="V123" s="323">
        <f>Model!V186</f>
        <v>1.3656147986942329E-2</v>
      </c>
      <c r="W123" s="323">
        <f>Model!W186</f>
        <v>1.6264508246792913E-2</v>
      </c>
      <c r="X123" s="325">
        <f>IF(Case_Scenario="Bull",X124,IF(Case_Scenario="Base",X125,IF(Case_Scenario="bear",X126,"N/A")))</f>
        <v>0</v>
      </c>
      <c r="Y123" s="324">
        <f>Model!Y186</f>
        <v>0</v>
      </c>
      <c r="Z123" s="325">
        <f>IF(Case_Scenario="Bull",Z124,IF(Case_Scenario="Base",Z125,IF(Case_Scenario="bear",Z126,"N/A")))</f>
        <v>1.7999999999999999E-2</v>
      </c>
      <c r="AA123" s="325">
        <f>IF(Case_Scenario="Bull",AA124,IF(Case_Scenario="Base",AA125,IF(Case_Scenario="bear",AA126,"N/A")))</f>
        <v>1.7999999999999999E-2</v>
      </c>
      <c r="AB123" s="325">
        <f>IF(Case_Scenario="Bull",AB124,IF(Case_Scenario="Base",AB125,IF(Case_Scenario="bear",AB126,"N/A")))</f>
        <v>1.7999999999999999E-2</v>
      </c>
      <c r="AC123" s="325">
        <f>IF(Case_Scenario="Bull",AC124,IF(Case_Scenario="Base",AC125,IF(Case_Scenario="bear",AC126,"N/A")))</f>
        <v>1.7999999999999999E-2</v>
      </c>
      <c r="AD123" s="324">
        <f>Model!AD186</f>
        <v>1.6751674706560162E-2</v>
      </c>
      <c r="AE123" s="324">
        <f>IF(Case_Scenario="Bull",AE124,IF(Case_Scenario="Base",AE125,IF(Case_Scenario="bear",AE126,"N/A")))</f>
        <v>1.7999999999999999E-2</v>
      </c>
      <c r="AF123" s="324">
        <f>IF(Case_Scenario="Bull",AF124,IF(Case_Scenario="Base",AF125,IF(Case_Scenario="bear",AF126,"N/A")))</f>
        <v>1.7999999999999999E-2</v>
      </c>
      <c r="AG123" s="324">
        <f>IF(Case_Scenario="Bull",AG124,IF(Case_Scenario="Base",AG125,IF(Case_Scenario="bear",AG126,"N/A")))</f>
        <v>1.7999999999999999E-2</v>
      </c>
      <c r="AH123" s="12"/>
      <c r="AI123" s="12"/>
    </row>
    <row r="124" spans="1:35" ht="12.75" customHeight="1">
      <c r="A124" s="12"/>
      <c r="B124" s="12"/>
      <c r="C124" s="108" t="s">
        <v>251</v>
      </c>
      <c r="D124" s="12"/>
      <c r="E124" s="12"/>
      <c r="F124" s="323"/>
      <c r="G124" s="323"/>
      <c r="H124" s="323"/>
      <c r="I124" s="323"/>
      <c r="J124" s="324"/>
      <c r="K124" s="323"/>
      <c r="L124" s="323"/>
      <c r="M124" s="323"/>
      <c r="N124" s="323"/>
      <c r="O124" s="324"/>
      <c r="P124" s="323"/>
      <c r="Q124" s="323"/>
      <c r="R124" s="323"/>
      <c r="S124" s="323"/>
      <c r="T124" s="324"/>
      <c r="U124" s="323"/>
      <c r="V124" s="323"/>
      <c r="W124" s="323"/>
      <c r="X124" s="266">
        <v>2.1999999999999999E-2</v>
      </c>
      <c r="Y124" s="324"/>
      <c r="Z124" s="266">
        <v>2.1999999999999999E-2</v>
      </c>
      <c r="AA124" s="266">
        <v>2.1999999999999999E-2</v>
      </c>
      <c r="AB124" s="266">
        <v>2.1999999999999999E-2</v>
      </c>
      <c r="AC124" s="266">
        <v>2.1999999999999999E-2</v>
      </c>
      <c r="AD124" s="324"/>
      <c r="AE124" s="267">
        <v>2.4E-2</v>
      </c>
      <c r="AF124" s="267">
        <v>2.4E-2</v>
      </c>
      <c r="AG124" s="267">
        <v>2.4E-2</v>
      </c>
      <c r="AH124" s="12"/>
      <c r="AI124" s="12"/>
    </row>
    <row r="125" spans="1:35" ht="12.75" customHeight="1">
      <c r="A125" s="12"/>
      <c r="B125" s="12"/>
      <c r="C125" s="108" t="s">
        <v>252</v>
      </c>
      <c r="D125" s="12"/>
      <c r="E125" s="12"/>
      <c r="F125" s="323"/>
      <c r="G125" s="323"/>
      <c r="H125" s="323"/>
      <c r="I125" s="323"/>
      <c r="J125" s="324"/>
      <c r="K125" s="323"/>
      <c r="L125" s="323"/>
      <c r="M125" s="323"/>
      <c r="N125" s="323"/>
      <c r="O125" s="324"/>
      <c r="P125" s="323"/>
      <c r="Q125" s="323"/>
      <c r="R125" s="323"/>
      <c r="S125" s="323"/>
      <c r="T125" s="324"/>
      <c r="U125" s="323"/>
      <c r="V125" s="323"/>
      <c r="W125" s="323"/>
      <c r="X125" s="266">
        <f>W125</f>
        <v>0</v>
      </c>
      <c r="Y125" s="324"/>
      <c r="Z125" s="266">
        <v>1.7999999999999999E-2</v>
      </c>
      <c r="AA125" s="266">
        <f t="shared" ref="AA125:AC125" si="0">Z125</f>
        <v>1.7999999999999999E-2</v>
      </c>
      <c r="AB125" s="266">
        <f t="shared" si="0"/>
        <v>1.7999999999999999E-2</v>
      </c>
      <c r="AC125" s="266">
        <f t="shared" si="0"/>
        <v>1.7999999999999999E-2</v>
      </c>
      <c r="AD125" s="324"/>
      <c r="AE125" s="267">
        <f>AC125</f>
        <v>1.7999999999999999E-2</v>
      </c>
      <c r="AF125" s="267">
        <f t="shared" ref="AF125:AG125" si="1">AE125</f>
        <v>1.7999999999999999E-2</v>
      </c>
      <c r="AG125" s="267">
        <f t="shared" si="1"/>
        <v>1.7999999999999999E-2</v>
      </c>
      <c r="AH125" s="12"/>
      <c r="AI125" s="12"/>
    </row>
    <row r="126" spans="1:35" ht="12.75" customHeight="1">
      <c r="A126" s="12"/>
      <c r="B126" s="12"/>
      <c r="C126" s="108" t="s">
        <v>253</v>
      </c>
      <c r="D126" s="12"/>
      <c r="E126" s="12"/>
      <c r="F126" s="323"/>
      <c r="G126" s="323"/>
      <c r="H126" s="323"/>
      <c r="I126" s="323"/>
      <c r="J126" s="324"/>
      <c r="K126" s="323"/>
      <c r="L126" s="323"/>
      <c r="M126" s="323"/>
      <c r="N126" s="323"/>
      <c r="O126" s="324"/>
      <c r="P126" s="323"/>
      <c r="Q126" s="323"/>
      <c r="R126" s="323"/>
      <c r="S126" s="323"/>
      <c r="T126" s="324"/>
      <c r="U126" s="323"/>
      <c r="V126" s="323"/>
      <c r="W126" s="323"/>
      <c r="X126" s="266">
        <v>0.02</v>
      </c>
      <c r="Y126" s="324"/>
      <c r="Z126" s="266">
        <v>0.02</v>
      </c>
      <c r="AA126" s="266">
        <v>0.02</v>
      </c>
      <c r="AB126" s="266">
        <v>0.02</v>
      </c>
      <c r="AC126" s="266">
        <v>0.02</v>
      </c>
      <c r="AD126" s="324"/>
      <c r="AE126" s="267">
        <v>2.1999999999999999E-2</v>
      </c>
      <c r="AF126" s="267">
        <v>2.1999999999999999E-2</v>
      </c>
      <c r="AG126" s="267">
        <v>2.1999999999999999E-2</v>
      </c>
      <c r="AH126" s="12"/>
      <c r="AI126" s="12"/>
    </row>
    <row r="127" spans="1:35" ht="12.75" customHeight="1">
      <c r="A127" s="12"/>
      <c r="B127" s="12"/>
      <c r="C127" s="108"/>
      <c r="D127" s="12"/>
      <c r="E127" s="12"/>
      <c r="F127" s="323"/>
      <c r="G127" s="323"/>
      <c r="H127" s="323"/>
      <c r="I127" s="323"/>
      <c r="J127" s="324"/>
      <c r="K127" s="323"/>
      <c r="L127" s="323"/>
      <c r="M127" s="323"/>
      <c r="N127" s="323"/>
      <c r="O127" s="324"/>
      <c r="P127" s="323"/>
      <c r="Q127" s="323"/>
      <c r="R127" s="323"/>
      <c r="S127" s="323"/>
      <c r="T127" s="324"/>
      <c r="U127" s="323"/>
      <c r="V127" s="323"/>
      <c r="W127" s="323"/>
      <c r="X127" s="266"/>
      <c r="Y127" s="324"/>
      <c r="Z127" s="266"/>
      <c r="AA127" s="266"/>
      <c r="AB127" s="266"/>
      <c r="AC127" s="266"/>
      <c r="AD127" s="324"/>
      <c r="AE127" s="267"/>
      <c r="AF127" s="267"/>
      <c r="AG127" s="267"/>
      <c r="AH127" s="12"/>
      <c r="AI127" s="12"/>
    </row>
    <row r="128" spans="1:35" ht="12.75" customHeight="1">
      <c r="A128" s="12"/>
      <c r="B128" s="12"/>
      <c r="C128" s="12" t="str">
        <f>Model!C232</f>
        <v>% Change in LT Assets</v>
      </c>
      <c r="D128" s="12"/>
      <c r="E128" s="12"/>
      <c r="F128" s="323">
        <f>Model!F232</f>
        <v>0</v>
      </c>
      <c r="G128" s="323">
        <f>Model!G232</f>
        <v>-0.1673728813559322</v>
      </c>
      <c r="H128" s="323">
        <f>Model!H232</f>
        <v>0.17048346055979646</v>
      </c>
      <c r="I128" s="323">
        <f>Model!I232</f>
        <v>0.11956521739130443</v>
      </c>
      <c r="J128" s="324">
        <f>Model!J232</f>
        <v>0</v>
      </c>
      <c r="K128" s="323">
        <f>Model!K232</f>
        <v>2.5152103559870551</v>
      </c>
      <c r="L128" s="323">
        <f>Model!L232</f>
        <v>-6.9968698213956904E-3</v>
      </c>
      <c r="M128" s="323">
        <f>Model!M232</f>
        <v>6.4898943074356286E-3</v>
      </c>
      <c r="N128" s="323">
        <f>Model!N232</f>
        <v>-4.5504789977892424E-2</v>
      </c>
      <c r="O128" s="324">
        <f>Model!O232</f>
        <v>2.3533980582524272</v>
      </c>
      <c r="P128" s="323">
        <f>Model!P232</f>
        <v>4.3103580389886123</v>
      </c>
      <c r="Q128" s="323">
        <f>Model!Q232</f>
        <v>7.6869832095522339E-2</v>
      </c>
      <c r="R128" s="323">
        <f>Model!R232</f>
        <v>-1.6963311788536828E-2</v>
      </c>
      <c r="S128" s="323">
        <f>Model!S232</f>
        <v>-3.7333973784643204E-2</v>
      </c>
      <c r="T128" s="324">
        <f>Model!T232</f>
        <v>4.4116834587917397</v>
      </c>
      <c r="U128" s="323">
        <f>Model!U232</f>
        <v>0.40720175082812826</v>
      </c>
      <c r="V128" s="323">
        <f>Model!V232</f>
        <v>-0.86592329540162272</v>
      </c>
      <c r="W128" s="323">
        <f>Model!W232</f>
        <v>6.3516068052930086E-2</v>
      </c>
      <c r="X128" s="325">
        <f>IF(Case_Scenario="Bull",X129,IF(Case_Scenario="Base",X130,IF(Case_Scenario="bear",X131,"N/A")))</f>
        <v>0.02</v>
      </c>
      <c r="Y128" s="324">
        <f>Model!Y232</f>
        <v>-0.79533012634455358</v>
      </c>
      <c r="Z128" s="325">
        <f>IF(Case_Scenario="Bull",Z129,IF(Case_Scenario="Base",Z130,IF(Case_Scenario="bear",Z131,"N/A")))</f>
        <v>0.02</v>
      </c>
      <c r="AA128" s="325">
        <f>IF(Case_Scenario="Bull",AA129,IF(Case_Scenario="Base",AA130,IF(Case_Scenario="bear",AA131,"N/A")))</f>
        <v>0.02</v>
      </c>
      <c r="AB128" s="325">
        <f>IF(Case_Scenario="Bull",AB129,IF(Case_Scenario="Base",AB130,IF(Case_Scenario="bear",AB131,"N/A")))</f>
        <v>0.02</v>
      </c>
      <c r="AC128" s="325">
        <f>IF(Case_Scenario="Bull",AC129,IF(Case_Scenario="Base",AC130,IF(Case_Scenario="bear",AC131,"N/A")))</f>
        <v>0.02</v>
      </c>
      <c r="AD128" s="324">
        <f>Model!AD232</f>
        <v>8.2432160000000199E-2</v>
      </c>
      <c r="AE128" s="324">
        <f>IF(Case_Scenario="Bull",AE129,IF(Case_Scenario="Base",AE130,IF(Case_Scenario="bear",AE131,"N/A")))</f>
        <v>0.02</v>
      </c>
      <c r="AF128" s="324">
        <f>IF(Case_Scenario="Bull",AF129,IF(Case_Scenario="Base",AF130,IF(Case_Scenario="bear",AF131,"N/A")))</f>
        <v>0.02</v>
      </c>
      <c r="AG128" s="324">
        <f>IF(Case_Scenario="Bull",AG129,IF(Case_Scenario="Base",AG130,IF(Case_Scenario="bear",AG131,"N/A")))</f>
        <v>0.02</v>
      </c>
      <c r="AH128" s="12"/>
      <c r="AI128" s="12"/>
    </row>
    <row r="129" spans="1:35" ht="12.75" customHeight="1">
      <c r="A129" s="12"/>
      <c r="B129" s="12"/>
      <c r="C129" s="108" t="s">
        <v>251</v>
      </c>
      <c r="D129" s="12"/>
      <c r="E129" s="12"/>
      <c r="F129" s="323"/>
      <c r="G129" s="323"/>
      <c r="H129" s="323"/>
      <c r="I129" s="323"/>
      <c r="J129" s="324"/>
      <c r="K129" s="323"/>
      <c r="L129" s="323"/>
      <c r="M129" s="323"/>
      <c r="N129" s="323"/>
      <c r="O129" s="324"/>
      <c r="P129" s="323"/>
      <c r="Q129" s="323"/>
      <c r="R129" s="323"/>
      <c r="S129" s="323"/>
      <c r="T129" s="324"/>
      <c r="U129" s="323"/>
      <c r="V129" s="323"/>
      <c r="W129" s="323"/>
      <c r="X129" s="266">
        <v>0.02</v>
      </c>
      <c r="Y129" s="324"/>
      <c r="Z129" s="266">
        <v>0.02</v>
      </c>
      <c r="AA129" s="266">
        <v>0.02</v>
      </c>
      <c r="AB129" s="266">
        <v>0.02</v>
      </c>
      <c r="AC129" s="266">
        <v>0.02</v>
      </c>
      <c r="AD129" s="324"/>
      <c r="AE129" s="267">
        <v>0.02</v>
      </c>
      <c r="AF129" s="267">
        <v>0.02</v>
      </c>
      <c r="AG129" s="267">
        <v>0.02</v>
      </c>
      <c r="AH129" s="12"/>
      <c r="AI129" s="12"/>
    </row>
    <row r="130" spans="1:35" ht="12.75" customHeight="1">
      <c r="A130" s="12"/>
      <c r="B130" s="12"/>
      <c r="C130" s="108" t="s">
        <v>252</v>
      </c>
      <c r="D130" s="12"/>
      <c r="E130" s="12"/>
      <c r="F130" s="323"/>
      <c r="G130" s="323"/>
      <c r="H130" s="323"/>
      <c r="I130" s="323"/>
      <c r="J130" s="324"/>
      <c r="K130" s="323"/>
      <c r="L130" s="323"/>
      <c r="M130" s="323"/>
      <c r="N130" s="323"/>
      <c r="O130" s="324"/>
      <c r="P130" s="323"/>
      <c r="Q130" s="323"/>
      <c r="R130" s="323"/>
      <c r="S130" s="323"/>
      <c r="T130" s="324"/>
      <c r="U130" s="323"/>
      <c r="V130" s="323"/>
      <c r="W130" s="323"/>
      <c r="X130" s="266">
        <v>0.02</v>
      </c>
      <c r="Y130" s="324"/>
      <c r="Z130" s="266">
        <v>0.02</v>
      </c>
      <c r="AA130" s="266">
        <v>0.02</v>
      </c>
      <c r="AB130" s="266">
        <v>0.02</v>
      </c>
      <c r="AC130" s="266">
        <v>0.02</v>
      </c>
      <c r="AD130" s="324"/>
      <c r="AE130" s="267">
        <v>0.02</v>
      </c>
      <c r="AF130" s="267">
        <v>0.02</v>
      </c>
      <c r="AG130" s="267">
        <v>0.02</v>
      </c>
      <c r="AH130" s="12"/>
      <c r="AI130" s="12"/>
    </row>
    <row r="131" spans="1:35" ht="12.75" customHeight="1">
      <c r="A131" s="12"/>
      <c r="B131" s="12"/>
      <c r="C131" s="108" t="s">
        <v>253</v>
      </c>
      <c r="D131" s="12"/>
      <c r="E131" s="12"/>
      <c r="F131" s="323"/>
      <c r="G131" s="323"/>
      <c r="H131" s="323"/>
      <c r="I131" s="323"/>
      <c r="J131" s="324"/>
      <c r="K131" s="323"/>
      <c r="L131" s="323"/>
      <c r="M131" s="323"/>
      <c r="N131" s="323"/>
      <c r="O131" s="324"/>
      <c r="P131" s="323"/>
      <c r="Q131" s="323"/>
      <c r="R131" s="323"/>
      <c r="S131" s="323"/>
      <c r="T131" s="324"/>
      <c r="U131" s="323"/>
      <c r="V131" s="323"/>
      <c r="W131" s="323"/>
      <c r="X131" s="266">
        <v>-0.01</v>
      </c>
      <c r="Y131" s="324"/>
      <c r="Z131" s="266">
        <v>-0.01</v>
      </c>
      <c r="AA131" s="266">
        <v>-0.01</v>
      </c>
      <c r="AB131" s="266">
        <v>-0.01</v>
      </c>
      <c r="AC131" s="266">
        <v>-0.01</v>
      </c>
      <c r="AD131" s="324"/>
      <c r="AE131" s="267">
        <v>-0.01</v>
      </c>
      <c r="AF131" s="267">
        <v>-0.01</v>
      </c>
      <c r="AG131" s="267">
        <v>-0.01</v>
      </c>
      <c r="AH131" s="12"/>
      <c r="AI131" s="12"/>
    </row>
    <row r="132" spans="1:35" ht="12.75" customHeight="1">
      <c r="A132" s="12"/>
      <c r="B132" s="12"/>
      <c r="C132" s="12"/>
      <c r="D132" s="12"/>
      <c r="E132" s="12"/>
      <c r="F132" s="323"/>
      <c r="G132" s="323"/>
      <c r="H132" s="323"/>
      <c r="I132" s="323"/>
      <c r="J132" s="324"/>
      <c r="K132" s="323"/>
      <c r="L132" s="323"/>
      <c r="M132" s="323"/>
      <c r="N132" s="323"/>
      <c r="O132" s="324"/>
      <c r="P132" s="323"/>
      <c r="Q132" s="323"/>
      <c r="R132" s="323"/>
      <c r="S132" s="323"/>
      <c r="T132" s="324"/>
      <c r="U132" s="323"/>
      <c r="V132" s="323"/>
      <c r="W132" s="323"/>
      <c r="X132" s="266"/>
      <c r="Y132" s="324"/>
      <c r="Z132" s="266"/>
      <c r="AA132" s="266"/>
      <c r="AB132" s="266"/>
      <c r="AC132" s="266"/>
      <c r="AD132" s="324"/>
      <c r="AE132" s="267"/>
      <c r="AF132" s="267"/>
      <c r="AG132" s="267"/>
      <c r="AH132" s="12"/>
      <c r="AI132" s="12"/>
    </row>
    <row r="133" spans="1:35" ht="12.75" customHeight="1">
      <c r="A133" s="12"/>
      <c r="B133" s="12"/>
      <c r="C133" s="458" t="s">
        <v>486</v>
      </c>
      <c r="D133" s="459"/>
      <c r="E133" s="459"/>
      <c r="F133" s="460"/>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2"/>
      <c r="AH133" s="12"/>
      <c r="AI133" s="12"/>
    </row>
    <row r="134" spans="1:35" ht="12.75" customHeight="1">
      <c r="A134" s="12"/>
      <c r="B134" s="12"/>
      <c r="C134" s="12"/>
      <c r="D134" s="12"/>
      <c r="E134" s="12"/>
      <c r="F134" s="323"/>
      <c r="G134" s="323"/>
      <c r="H134" s="323"/>
      <c r="I134" s="323"/>
      <c r="J134" s="324"/>
      <c r="K134" s="323"/>
      <c r="L134" s="323"/>
      <c r="M134" s="323"/>
      <c r="N134" s="323"/>
      <c r="O134" s="324"/>
      <c r="P134" s="323"/>
      <c r="Q134" s="323"/>
      <c r="R134" s="323"/>
      <c r="S134" s="323"/>
      <c r="T134" s="324"/>
      <c r="U134" s="323"/>
      <c r="V134" s="323"/>
      <c r="W134" s="323"/>
      <c r="X134" s="325"/>
      <c r="Y134" s="324"/>
      <c r="Z134" s="325"/>
      <c r="AA134" s="325"/>
      <c r="AB134" s="325"/>
      <c r="AC134" s="325"/>
      <c r="AD134" s="324"/>
      <c r="AE134" s="137"/>
      <c r="AF134" s="137"/>
      <c r="AG134" s="137"/>
      <c r="AH134" s="12"/>
      <c r="AI134" s="12"/>
    </row>
    <row r="135" spans="1:35" ht="12.75" customHeight="1">
      <c r="A135" s="12"/>
      <c r="B135" s="12"/>
      <c r="C135" s="12" t="str">
        <f>Model!C184</f>
        <v>Days Payables Outstanding</v>
      </c>
      <c r="D135" s="12"/>
      <c r="E135" s="12"/>
      <c r="F135" s="323"/>
      <c r="G135" s="271">
        <f>Model!G184</f>
        <v>11.754633174065521</v>
      </c>
      <c r="H135" s="271">
        <f>Model!H184</f>
        <v>10.726670463220078</v>
      </c>
      <c r="I135" s="271">
        <f>Model!I184</f>
        <v>11.109655607320711</v>
      </c>
      <c r="J135" s="272">
        <f>Model!J184</f>
        <v>11.552491098329225</v>
      </c>
      <c r="K135" s="271">
        <f>Model!K184</f>
        <v>12.24900659483998</v>
      </c>
      <c r="L135" s="271">
        <f>Model!L184</f>
        <v>10.604399124647308</v>
      </c>
      <c r="M135" s="271">
        <f>Model!M184</f>
        <v>11.14545954556783</v>
      </c>
      <c r="N135" s="271">
        <f>Model!N184</f>
        <v>12.297758906842018</v>
      </c>
      <c r="O135" s="272">
        <f>Model!O184</f>
        <v>14.289830403018014</v>
      </c>
      <c r="P135" s="271">
        <f>Model!P184</f>
        <v>12.948129702628485</v>
      </c>
      <c r="Q135" s="271">
        <f>Model!Q184</f>
        <v>10.656263737460591</v>
      </c>
      <c r="R135" s="271">
        <f>Model!R184</f>
        <v>10.640993794865556</v>
      </c>
      <c r="S135" s="271">
        <f>Model!S184</f>
        <v>11.945638110814656</v>
      </c>
      <c r="T135" s="272">
        <f>Model!T184</f>
        <v>14.11774168691665</v>
      </c>
      <c r="U135" s="271">
        <f>Model!U184</f>
        <v>13.720264873804354</v>
      </c>
      <c r="V135" s="271">
        <f>Model!V184</f>
        <v>32.161709141198379</v>
      </c>
      <c r="W135" s="271">
        <f>Model!W184</f>
        <v>70.04565912204032</v>
      </c>
      <c r="X135" s="273">
        <f>IF(Case_Scenario="Bull",X136,IF(Case_Scenario="Base",X137,IF(Case_Scenario="bear",X138,"N/A")))</f>
        <v>55</v>
      </c>
      <c r="Y135" s="272">
        <f>Model!Y184</f>
        <v>38.18906877588617</v>
      </c>
      <c r="Z135" s="273">
        <f>IF(Case_Scenario="Bull",Z136,IF(Case_Scenario="Base",Z137,IF(Case_Scenario="bear",Z138,"N/A")))</f>
        <v>58</v>
      </c>
      <c r="AA135" s="273">
        <f>IF(Case_Scenario="Bull",AA136,IF(Case_Scenario="Base",AA137,IF(Case_Scenario="bear",AA138,"N/A")))</f>
        <v>48</v>
      </c>
      <c r="AB135" s="273">
        <f>IF(Case_Scenario="Bull",AB136,IF(Case_Scenario="Base",AB137,IF(Case_Scenario="bear",AB138,"N/A")))</f>
        <v>53</v>
      </c>
      <c r="AC135" s="273">
        <f>IF(Case_Scenario="Bull",AC136,IF(Case_Scenario="Base",AC137,IF(Case_Scenario="bear",AC138,"N/A")))</f>
        <v>55</v>
      </c>
      <c r="AD135" s="272">
        <f>Model!AD184</f>
        <v>48.236838263600504</v>
      </c>
      <c r="AE135" s="272">
        <f>IF(Case_Scenario="Bull",AE136,IF(Case_Scenario="Base",AE137,IF(Case_Scenario="bear",AE138,"N/A")))</f>
        <v>54</v>
      </c>
      <c r="AF135" s="272">
        <f>IF(Case_Scenario="Bull",AF136,IF(Case_Scenario="Base",AF137,IF(Case_Scenario="bear",AF138,"N/A")))</f>
        <v>54</v>
      </c>
      <c r="AG135" s="272">
        <f>IF(Case_Scenario="Bull",AG136,IF(Case_Scenario="Base",AG137,IF(Case_Scenario="bear",AG138,"N/A")))</f>
        <v>54</v>
      </c>
      <c r="AH135" s="12"/>
      <c r="AI135" s="12"/>
    </row>
    <row r="136" spans="1:35" ht="12.75" customHeight="1">
      <c r="A136" s="12"/>
      <c r="B136" s="12"/>
      <c r="C136" s="108" t="s">
        <v>251</v>
      </c>
      <c r="D136" s="12"/>
      <c r="E136" s="12"/>
      <c r="F136" s="323"/>
      <c r="G136" s="323"/>
      <c r="H136" s="323"/>
      <c r="I136" s="323"/>
      <c r="J136" s="324"/>
      <c r="K136" s="323"/>
      <c r="L136" s="323"/>
      <c r="M136" s="323"/>
      <c r="N136" s="323"/>
      <c r="O136" s="324"/>
      <c r="P136" s="323"/>
      <c r="Q136" s="323"/>
      <c r="R136" s="323"/>
      <c r="S136" s="323"/>
      <c r="T136" s="324"/>
      <c r="U136" s="323"/>
      <c r="V136" s="323"/>
      <c r="W136" s="323"/>
      <c r="X136" s="469">
        <v>60</v>
      </c>
      <c r="Y136" s="324"/>
      <c r="Z136" s="469">
        <v>55</v>
      </c>
      <c r="AA136" s="469">
        <v>55</v>
      </c>
      <c r="AB136" s="469">
        <v>52</v>
      </c>
      <c r="AC136" s="469">
        <v>60</v>
      </c>
      <c r="AD136" s="324"/>
      <c r="AE136" s="470">
        <v>52</v>
      </c>
      <c r="AF136" s="470">
        <v>52</v>
      </c>
      <c r="AG136" s="470">
        <v>52</v>
      </c>
      <c r="AH136" s="12"/>
      <c r="AI136" s="12"/>
    </row>
    <row r="137" spans="1:35" ht="12.75" customHeight="1">
      <c r="A137" s="12"/>
      <c r="B137" s="12"/>
      <c r="C137" s="108" t="s">
        <v>252</v>
      </c>
      <c r="D137" s="12"/>
      <c r="E137" s="12"/>
      <c r="F137" s="323"/>
      <c r="G137" s="323"/>
      <c r="H137" s="323"/>
      <c r="I137" s="323"/>
      <c r="J137" s="324"/>
      <c r="K137" s="323"/>
      <c r="L137" s="323"/>
      <c r="M137" s="323"/>
      <c r="N137" s="323"/>
      <c r="O137" s="324"/>
      <c r="P137" s="323"/>
      <c r="Q137" s="323"/>
      <c r="R137" s="323"/>
      <c r="S137" s="323"/>
      <c r="T137" s="324"/>
      <c r="U137" s="323"/>
      <c r="V137" s="323"/>
      <c r="W137" s="323"/>
      <c r="X137" s="469">
        <v>55</v>
      </c>
      <c r="Y137" s="324"/>
      <c r="Z137" s="469">
        <v>58</v>
      </c>
      <c r="AA137" s="469">
        <v>48</v>
      </c>
      <c r="AB137" s="469">
        <v>53</v>
      </c>
      <c r="AC137" s="469">
        <v>55</v>
      </c>
      <c r="AD137" s="324"/>
      <c r="AE137" s="470">
        <v>54</v>
      </c>
      <c r="AF137" s="470">
        <v>54</v>
      </c>
      <c r="AG137" s="470">
        <v>54</v>
      </c>
      <c r="AH137" s="12"/>
      <c r="AI137" s="12"/>
    </row>
    <row r="138" spans="1:35" ht="12.75" customHeight="1">
      <c r="A138" s="12"/>
      <c r="B138" s="12"/>
      <c r="C138" s="108" t="s">
        <v>253</v>
      </c>
      <c r="D138" s="12"/>
      <c r="E138" s="12"/>
      <c r="F138" s="323"/>
      <c r="G138" s="323"/>
      <c r="H138" s="323"/>
      <c r="I138" s="323"/>
      <c r="J138" s="324"/>
      <c r="K138" s="323"/>
      <c r="L138" s="323"/>
      <c r="M138" s="323"/>
      <c r="N138" s="323"/>
      <c r="O138" s="324"/>
      <c r="P138" s="323"/>
      <c r="Q138" s="323"/>
      <c r="R138" s="323"/>
      <c r="S138" s="323"/>
      <c r="T138" s="324"/>
      <c r="U138" s="323"/>
      <c r="V138" s="323"/>
      <c r="W138" s="323"/>
      <c r="X138" s="469">
        <v>62</v>
      </c>
      <c r="Y138" s="324"/>
      <c r="Z138" s="469">
        <v>65</v>
      </c>
      <c r="AA138" s="469">
        <v>55</v>
      </c>
      <c r="AB138" s="469">
        <v>60</v>
      </c>
      <c r="AC138" s="469">
        <v>62</v>
      </c>
      <c r="AD138" s="324"/>
      <c r="AE138" s="470">
        <v>58</v>
      </c>
      <c r="AF138" s="470">
        <v>58</v>
      </c>
      <c r="AG138" s="470">
        <v>58</v>
      </c>
      <c r="AH138" s="12"/>
      <c r="AI138" s="12"/>
    </row>
    <row r="139" spans="1:35" ht="12.75" customHeight="1">
      <c r="A139" s="12"/>
      <c r="B139" s="12"/>
      <c r="C139" s="12"/>
      <c r="D139" s="12"/>
      <c r="E139" s="12"/>
      <c r="F139" s="323"/>
      <c r="G139" s="323"/>
      <c r="H139" s="323"/>
      <c r="I139" s="323"/>
      <c r="J139" s="324"/>
      <c r="K139" s="323"/>
      <c r="L139" s="323"/>
      <c r="M139" s="323"/>
      <c r="N139" s="323"/>
      <c r="O139" s="324"/>
      <c r="P139" s="323"/>
      <c r="Q139" s="323"/>
      <c r="R139" s="323"/>
      <c r="S139" s="323"/>
      <c r="T139" s="324"/>
      <c r="U139" s="323"/>
      <c r="V139" s="323"/>
      <c r="W139" s="323"/>
      <c r="X139" s="266"/>
      <c r="Y139" s="324"/>
      <c r="Z139" s="266"/>
      <c r="AA139" s="266"/>
      <c r="AB139" s="266"/>
      <c r="AC139" s="266"/>
      <c r="AD139" s="324"/>
      <c r="AE139" s="267"/>
      <c r="AF139" s="267"/>
      <c r="AG139" s="267"/>
      <c r="AH139" s="12"/>
      <c r="AI139" s="12"/>
    </row>
    <row r="140" spans="1:35" ht="12.75" customHeight="1">
      <c r="A140" s="12"/>
      <c r="B140" s="12"/>
      <c r="C140" s="12" t="str">
        <f>Model!C187</f>
        <v>Accrued Liabilities as a % of COGS</v>
      </c>
      <c r="D140" s="12"/>
      <c r="E140" s="12"/>
      <c r="F140" s="323">
        <f>Model!F187</f>
        <v>8.9415233287361104E-2</v>
      </c>
      <c r="G140" s="323">
        <f>Model!G187</f>
        <v>0.10210368313052186</v>
      </c>
      <c r="H140" s="323">
        <f>Model!H187</f>
        <v>9.3236010146856854E-2</v>
      </c>
      <c r="I140" s="323">
        <f>Model!I187</f>
        <v>8.4971936971657377E-2</v>
      </c>
      <c r="J140" s="324">
        <f>Model!J187</f>
        <v>9.1500045649593714E-2</v>
      </c>
      <c r="K140" s="323">
        <f>Model!K187</f>
        <v>9.9326853353366523E-2</v>
      </c>
      <c r="L140" s="323">
        <f>Model!L187</f>
        <v>9.065481955175958E-2</v>
      </c>
      <c r="M140" s="323">
        <f>Model!M187</f>
        <v>0.10946331987209085</v>
      </c>
      <c r="N140" s="323">
        <f>Model!N187</f>
        <v>9.3480487793036818E-2</v>
      </c>
      <c r="O140" s="324">
        <f>Model!O187</f>
        <v>0.10250482164477406</v>
      </c>
      <c r="P140" s="323">
        <f>Model!P187</f>
        <v>0.1120773370000876</v>
      </c>
      <c r="Q140" s="323">
        <f>Model!Q187</f>
        <v>0.11687045132199791</v>
      </c>
      <c r="R140" s="323">
        <f>Model!R187</f>
        <v>0.12618368009084641</v>
      </c>
      <c r="S140" s="323">
        <f>Model!S187</f>
        <v>0.12344995209747739</v>
      </c>
      <c r="T140" s="324">
        <f>Model!T187</f>
        <v>0.13838124479357522</v>
      </c>
      <c r="U140" s="323">
        <f>Model!U187</f>
        <v>0.18859572252344417</v>
      </c>
      <c r="V140" s="323">
        <f>Model!V187</f>
        <v>1.8224887720451308E-2</v>
      </c>
      <c r="W140" s="323">
        <f>Model!W187</f>
        <v>2.2063140043050031E-2</v>
      </c>
      <c r="X140" s="325">
        <f>IF(Case_Scenario="Bull",X141,IF(Case_Scenario="Base",X142,IF(Case_Scenario="bear",X143,"N/A")))</f>
        <v>1.2500000000000001E-2</v>
      </c>
      <c r="Y140" s="324">
        <f>Model!Y187</f>
        <v>1.6211967295209698E-2</v>
      </c>
      <c r="Z140" s="325">
        <f>IF(Case_Scenario="Bull",Z141,IF(Case_Scenario="Base",Z142,IF(Case_Scenario="bear",Z143,"N/A")))</f>
        <v>1.2500000000000001E-2</v>
      </c>
      <c r="AA140" s="325">
        <f>IF(Case_Scenario="Bull",AA141,IF(Case_Scenario="Base",AA142,IF(Case_Scenario="bear",AA143,"N/A")))</f>
        <v>1.2500000000000001E-2</v>
      </c>
      <c r="AB140" s="325">
        <f>IF(Case_Scenario="Bull",AB141,IF(Case_Scenario="Base",AB142,IF(Case_Scenario="bear",AB143,"N/A")))</f>
        <v>1.2500000000000001E-2</v>
      </c>
      <c r="AC140" s="325">
        <f>IF(Case_Scenario="Bull",AC141,IF(Case_Scenario="Base",AC142,IF(Case_Scenario="bear",AC143,"N/A")))</f>
        <v>1.2500000000000001E-2</v>
      </c>
      <c r="AD140" s="324">
        <f>Model!AD187</f>
        <v>1.163754798419242E-2</v>
      </c>
      <c r="AE140" s="324">
        <f>IF(Case_Scenario="Bull",AE141,IF(Case_Scenario="Base",AE142,IF(Case_Scenario="bear",AE143,"N/A")))</f>
        <v>1.2999999999999999E-2</v>
      </c>
      <c r="AF140" s="324">
        <f>IF(Case_Scenario="Bull",AF141,IF(Case_Scenario="Base",AF142,IF(Case_Scenario="bear",AF143,"N/A")))</f>
        <v>1.2999999999999999E-2</v>
      </c>
      <c r="AG140" s="324">
        <f>IF(Case_Scenario="Bull",AG141,IF(Case_Scenario="Base",AG142,IF(Case_Scenario="bear",AG143,"N/A")))</f>
        <v>1.2999999999999999E-2</v>
      </c>
      <c r="AH140" s="12"/>
      <c r="AI140" s="12"/>
    </row>
    <row r="141" spans="1:35" ht="12.75" customHeight="1">
      <c r="A141" s="12"/>
      <c r="B141" s="12"/>
      <c r="C141" s="108" t="s">
        <v>251</v>
      </c>
      <c r="D141" s="12"/>
      <c r="E141" s="12"/>
      <c r="F141" s="323"/>
      <c r="G141" s="323"/>
      <c r="H141" s="323"/>
      <c r="I141" s="323"/>
      <c r="J141" s="324"/>
      <c r="K141" s="323"/>
      <c r="L141" s="323"/>
      <c r="M141" s="323"/>
      <c r="N141" s="323"/>
      <c r="O141" s="324"/>
      <c r="P141" s="323"/>
      <c r="Q141" s="323"/>
      <c r="R141" s="323"/>
      <c r="S141" s="323"/>
      <c r="T141" s="324"/>
      <c r="U141" s="323"/>
      <c r="V141" s="323"/>
      <c r="W141" s="323"/>
      <c r="X141" s="266">
        <v>1.0999999999999999E-2</v>
      </c>
      <c r="Y141" s="324"/>
      <c r="Z141" s="266">
        <v>1.0999999999999999E-2</v>
      </c>
      <c r="AA141" s="266">
        <v>1.0999999999999999E-2</v>
      </c>
      <c r="AB141" s="266">
        <v>1.0999999999999999E-2</v>
      </c>
      <c r="AC141" s="266">
        <v>1.0999999999999999E-2</v>
      </c>
      <c r="AD141" s="324"/>
      <c r="AE141" s="267">
        <v>1.0999999999999999E-2</v>
      </c>
      <c r="AF141" s="267">
        <v>1.0999999999999999E-2</v>
      </c>
      <c r="AG141" s="267">
        <v>1.0999999999999999E-2</v>
      </c>
      <c r="AH141" s="12"/>
      <c r="AI141" s="12"/>
    </row>
    <row r="142" spans="1:35" ht="12.75" customHeight="1">
      <c r="A142" s="12"/>
      <c r="B142" s="12"/>
      <c r="C142" s="108" t="s">
        <v>252</v>
      </c>
      <c r="D142" s="12"/>
      <c r="E142" s="12"/>
      <c r="F142" s="323"/>
      <c r="G142" s="323"/>
      <c r="H142" s="323"/>
      <c r="I142" s="323"/>
      <c r="J142" s="324"/>
      <c r="K142" s="323"/>
      <c r="L142" s="323"/>
      <c r="M142" s="323"/>
      <c r="N142" s="323"/>
      <c r="O142" s="324"/>
      <c r="P142" s="323"/>
      <c r="Q142" s="323"/>
      <c r="R142" s="323"/>
      <c r="S142" s="323"/>
      <c r="T142" s="324"/>
      <c r="U142" s="323"/>
      <c r="V142" s="323"/>
      <c r="W142" s="323"/>
      <c r="X142" s="266">
        <v>1.2500000000000001E-2</v>
      </c>
      <c r="Y142" s="324"/>
      <c r="Z142" s="266">
        <v>1.2500000000000001E-2</v>
      </c>
      <c r="AA142" s="266">
        <v>1.2500000000000001E-2</v>
      </c>
      <c r="AB142" s="266">
        <v>1.2500000000000001E-2</v>
      </c>
      <c r="AC142" s="266">
        <v>1.2500000000000001E-2</v>
      </c>
      <c r="AD142" s="324"/>
      <c r="AE142" s="267">
        <v>1.2999999999999999E-2</v>
      </c>
      <c r="AF142" s="267">
        <v>1.2999999999999999E-2</v>
      </c>
      <c r="AG142" s="267">
        <v>1.2999999999999999E-2</v>
      </c>
      <c r="AH142" s="12"/>
      <c r="AI142" s="12"/>
    </row>
    <row r="143" spans="1:35" ht="12.75" customHeight="1">
      <c r="A143" s="211" t="s">
        <v>1</v>
      </c>
      <c r="B143" s="211" t="s">
        <v>1</v>
      </c>
      <c r="C143" s="108" t="s">
        <v>253</v>
      </c>
      <c r="D143" s="12"/>
      <c r="E143" s="12"/>
      <c r="F143" s="323"/>
      <c r="G143" s="323"/>
      <c r="H143" s="323"/>
      <c r="I143" s="323"/>
      <c r="J143" s="324"/>
      <c r="K143" s="323"/>
      <c r="L143" s="323"/>
      <c r="M143" s="323"/>
      <c r="N143" s="323"/>
      <c r="O143" s="324"/>
      <c r="P143" s="323"/>
      <c r="Q143" s="323"/>
      <c r="R143" s="323"/>
      <c r="S143" s="323"/>
      <c r="T143" s="324"/>
      <c r="U143" s="323"/>
      <c r="V143" s="323"/>
      <c r="W143" s="323"/>
      <c r="X143" s="266">
        <v>1.7000000000000001E-2</v>
      </c>
      <c r="Y143" s="324"/>
      <c r="Z143" s="266">
        <v>1.7000000000000001E-2</v>
      </c>
      <c r="AA143" s="266">
        <v>1.7000000000000001E-2</v>
      </c>
      <c r="AB143" s="266">
        <v>1.7000000000000001E-2</v>
      </c>
      <c r="AC143" s="266">
        <v>1.7000000000000001E-2</v>
      </c>
      <c r="AD143" s="324"/>
      <c r="AE143" s="267">
        <v>1.7000000000000001E-2</v>
      </c>
      <c r="AF143" s="267">
        <v>1.7000000000000001E-2</v>
      </c>
      <c r="AG143" s="267">
        <v>1.7000000000000001E-2</v>
      </c>
      <c r="AH143" s="211" t="s">
        <v>1</v>
      </c>
      <c r="AI143" s="211"/>
    </row>
    <row r="144" spans="1:35" ht="12.75" customHeight="1">
      <c r="A144" s="12"/>
      <c r="B144" s="12"/>
      <c r="C144" s="12"/>
      <c r="D144" s="12"/>
      <c r="E144" s="12"/>
      <c r="F144" s="323"/>
      <c r="G144" s="323"/>
      <c r="H144" s="323"/>
      <c r="I144" s="323"/>
      <c r="J144" s="324"/>
      <c r="K144" s="323"/>
      <c r="L144" s="323"/>
      <c r="M144" s="323"/>
      <c r="N144" s="323"/>
      <c r="O144" s="324"/>
      <c r="P144" s="323"/>
      <c r="Q144" s="323"/>
      <c r="R144" s="323"/>
      <c r="S144" s="323"/>
      <c r="T144" s="324"/>
      <c r="U144" s="323"/>
      <c r="V144" s="323"/>
      <c r="W144" s="323"/>
      <c r="X144" s="266"/>
      <c r="Y144" s="324"/>
      <c r="Z144" s="266"/>
      <c r="AA144" s="266"/>
      <c r="AB144" s="266"/>
      <c r="AC144" s="266"/>
      <c r="AD144" s="324"/>
      <c r="AE144" s="267"/>
      <c r="AF144" s="267"/>
      <c r="AG144" s="267"/>
      <c r="AH144" s="12"/>
      <c r="AI144" s="12"/>
    </row>
    <row r="145" spans="1:35" ht="12.75" customHeight="1">
      <c r="A145" s="12"/>
      <c r="B145" s="12"/>
      <c r="C145" s="12" t="str">
        <f>Model!C188</f>
        <v>Other Current Liabilities as a % of COGS</v>
      </c>
      <c r="D145" s="12"/>
      <c r="E145" s="12"/>
      <c r="F145" s="323">
        <f>Model!F188</f>
        <v>0.21124671472065368</v>
      </c>
      <c r="G145" s="323">
        <f>Model!G188</f>
        <v>0.21568556126390026</v>
      </c>
      <c r="H145" s="323">
        <f>Model!H188</f>
        <v>0.19586118892152737</v>
      </c>
      <c r="I145" s="323">
        <f>Model!I188</f>
        <v>0.20941996040709809</v>
      </c>
      <c r="J145" s="324">
        <f>Model!J188</f>
        <v>0.22550899296996255</v>
      </c>
      <c r="K145" s="323">
        <f>Model!K188</f>
        <v>0.22699084381523035</v>
      </c>
      <c r="L145" s="323">
        <f>Model!L188</f>
        <v>0.22274220097898337</v>
      </c>
      <c r="M145" s="323">
        <f>Model!M188</f>
        <v>0.23867728253218237</v>
      </c>
      <c r="N145" s="323">
        <f>Model!N188</f>
        <v>0.27057421726806219</v>
      </c>
      <c r="O145" s="324">
        <f>Model!O188</f>
        <v>0.29669466364084374</v>
      </c>
      <c r="P145" s="323">
        <f>Model!P188</f>
        <v>0.41747503917333112</v>
      </c>
      <c r="Q145" s="323">
        <f>Model!Q188</f>
        <v>0.46551370427004174</v>
      </c>
      <c r="R145" s="323">
        <f>Model!R188</f>
        <v>0.42708354625461331</v>
      </c>
      <c r="S145" s="323">
        <f>Model!S188</f>
        <v>0.3703290441066559</v>
      </c>
      <c r="T145" s="324">
        <f>Model!T188</f>
        <v>0.41512040495754116</v>
      </c>
      <c r="U145" s="323">
        <f>Model!U188</f>
        <v>0.2665483290587099</v>
      </c>
      <c r="V145" s="323">
        <f>Model!V188</f>
        <v>9.5547157410450209E-2</v>
      </c>
      <c r="W145" s="323">
        <f>Model!W188</f>
        <v>0.11080490509425348</v>
      </c>
      <c r="X145" s="325">
        <f>IF(Case_Scenario="Bull",X146,IF(Case_Scenario="Base",X147,IF(Case_Scenario="bear",X148,"N/A")))</f>
        <v>0.125</v>
      </c>
      <c r="Y145" s="324">
        <f>Model!Y188</f>
        <v>0.16211967295209698</v>
      </c>
      <c r="Z145" s="325">
        <f>IF(Case_Scenario="Bull",Z146,IF(Case_Scenario="Base",Z147,IF(Case_Scenario="bear",Z148,"N/A")))</f>
        <v>0.11</v>
      </c>
      <c r="AA145" s="325">
        <f>IF(Case_Scenario="Bull",AA146,IF(Case_Scenario="Base",AA147,IF(Case_Scenario="bear",AA148,"N/A")))</f>
        <v>0.11</v>
      </c>
      <c r="AB145" s="325">
        <f>IF(Case_Scenario="Bull",AB146,IF(Case_Scenario="Base",AB147,IF(Case_Scenario="bear",AB148,"N/A")))</f>
        <v>0.125</v>
      </c>
      <c r="AC145" s="325">
        <f>IF(Case_Scenario="Bull",AC146,IF(Case_Scenario="Base",AC147,IF(Case_Scenario="bear",AC148,"N/A")))</f>
        <v>0.125</v>
      </c>
      <c r="AD145" s="324">
        <f>Model!AD188</f>
        <v>0.11637547984192419</v>
      </c>
      <c r="AE145" s="324">
        <f>IF(Case_Scenario="Bull",AE146,IF(Case_Scenario="Base",AE147,IF(Case_Scenario="bear",AE148,"N/A")))</f>
        <v>0.12</v>
      </c>
      <c r="AF145" s="324">
        <f>IF(Case_Scenario="Bull",AF146,IF(Case_Scenario="Base",AF147,IF(Case_Scenario="bear",AF148,"N/A")))</f>
        <v>0.12</v>
      </c>
      <c r="AG145" s="324">
        <f>IF(Case_Scenario="Bull",AG146,IF(Case_Scenario="Base",AG147,IF(Case_Scenario="bear",AG148,"N/A")))</f>
        <v>0.12</v>
      </c>
      <c r="AH145" s="12"/>
      <c r="AI145" s="12"/>
    </row>
    <row r="146" spans="1:35" ht="12.75" customHeight="1">
      <c r="A146" s="211" t="s">
        <v>1</v>
      </c>
      <c r="B146" s="211" t="s">
        <v>1</v>
      </c>
      <c r="C146" s="108" t="s">
        <v>251</v>
      </c>
      <c r="D146" s="12"/>
      <c r="E146" s="12"/>
      <c r="F146" s="323"/>
      <c r="G146" s="323"/>
      <c r="H146" s="323"/>
      <c r="I146" s="323"/>
      <c r="J146" s="324"/>
      <c r="K146" s="323"/>
      <c r="L146" s="323"/>
      <c r="M146" s="323"/>
      <c r="N146" s="323"/>
      <c r="O146" s="324"/>
      <c r="P146" s="323"/>
      <c r="Q146" s="323"/>
      <c r="R146" s="323"/>
      <c r="S146" s="323"/>
      <c r="T146" s="324"/>
      <c r="U146" s="323"/>
      <c r="V146" s="323"/>
      <c r="W146" s="323"/>
      <c r="X146" s="266">
        <v>0.1</v>
      </c>
      <c r="Y146" s="324"/>
      <c r="Z146" s="266">
        <v>0.1</v>
      </c>
      <c r="AA146" s="266">
        <v>0.1</v>
      </c>
      <c r="AB146" s="266">
        <v>0.1</v>
      </c>
      <c r="AC146" s="266">
        <v>0.1</v>
      </c>
      <c r="AD146" s="324"/>
      <c r="AE146" s="267">
        <v>0.1</v>
      </c>
      <c r="AF146" s="267">
        <v>0.1</v>
      </c>
      <c r="AG146" s="267">
        <v>0.1</v>
      </c>
      <c r="AH146" s="12"/>
      <c r="AI146" s="12"/>
    </row>
    <row r="147" spans="1:35" ht="12.75" customHeight="1">
      <c r="A147" s="12"/>
      <c r="B147" s="12"/>
      <c r="C147" s="108" t="s">
        <v>252</v>
      </c>
      <c r="D147" s="12"/>
      <c r="E147" s="12"/>
      <c r="F147" s="323"/>
      <c r="G147" s="323"/>
      <c r="H147" s="323"/>
      <c r="I147" s="323"/>
      <c r="J147" s="324"/>
      <c r="K147" s="323"/>
      <c r="L147" s="323"/>
      <c r="M147" s="323"/>
      <c r="N147" s="323"/>
      <c r="O147" s="324"/>
      <c r="P147" s="323"/>
      <c r="Q147" s="323"/>
      <c r="R147" s="323"/>
      <c r="S147" s="323"/>
      <c r="T147" s="324"/>
      <c r="U147" s="323"/>
      <c r="V147" s="323"/>
      <c r="W147" s="323"/>
      <c r="X147" s="266">
        <v>0.125</v>
      </c>
      <c r="Y147" s="324"/>
      <c r="Z147" s="266">
        <v>0.11</v>
      </c>
      <c r="AA147" s="266">
        <v>0.11</v>
      </c>
      <c r="AB147" s="266">
        <v>0.125</v>
      </c>
      <c r="AC147" s="266">
        <v>0.125</v>
      </c>
      <c r="AD147" s="324"/>
      <c r="AE147" s="267">
        <v>0.12</v>
      </c>
      <c r="AF147" s="267">
        <v>0.12</v>
      </c>
      <c r="AG147" s="267">
        <v>0.12</v>
      </c>
      <c r="AH147" s="12"/>
      <c r="AI147" s="12"/>
    </row>
    <row r="148" spans="1:35" ht="12.75" customHeight="1">
      <c r="A148" s="12"/>
      <c r="B148" s="12"/>
      <c r="C148" s="108" t="s">
        <v>253</v>
      </c>
      <c r="D148" s="12"/>
      <c r="E148" s="12"/>
      <c r="F148" s="323"/>
      <c r="G148" s="323"/>
      <c r="H148" s="323"/>
      <c r="I148" s="323"/>
      <c r="J148" s="324"/>
      <c r="K148" s="323"/>
      <c r="L148" s="323"/>
      <c r="M148" s="323"/>
      <c r="N148" s="323"/>
      <c r="O148" s="324"/>
      <c r="P148" s="323"/>
      <c r="Q148" s="323"/>
      <c r="R148" s="323"/>
      <c r="S148" s="323"/>
      <c r="T148" s="324"/>
      <c r="U148" s="323"/>
      <c r="V148" s="323"/>
      <c r="W148" s="323"/>
      <c r="X148" s="266">
        <v>0.13</v>
      </c>
      <c r="Y148" s="324"/>
      <c r="Z148" s="266">
        <v>0.13</v>
      </c>
      <c r="AA148" s="266">
        <v>0.13</v>
      </c>
      <c r="AB148" s="266">
        <v>0.13</v>
      </c>
      <c r="AC148" s="266">
        <v>0.13</v>
      </c>
      <c r="AD148" s="324"/>
      <c r="AE148" s="267">
        <v>0.14000000000000001</v>
      </c>
      <c r="AF148" s="267">
        <v>0.14000000000000001</v>
      </c>
      <c r="AG148" s="267">
        <v>0.14000000000000001</v>
      </c>
      <c r="AH148" s="12"/>
      <c r="AI148" s="12"/>
    </row>
    <row r="149" spans="1:35" ht="12.75" customHeight="1">
      <c r="A149" s="12"/>
      <c r="B149" s="12"/>
      <c r="C149" s="108"/>
      <c r="D149" s="12"/>
      <c r="E149" s="12"/>
      <c r="F149" s="323"/>
      <c r="G149" s="323"/>
      <c r="H149" s="323"/>
      <c r="I149" s="323"/>
      <c r="J149" s="324"/>
      <c r="K149" s="323"/>
      <c r="L149" s="323"/>
      <c r="M149" s="323"/>
      <c r="N149" s="323"/>
      <c r="O149" s="324"/>
      <c r="P149" s="323"/>
      <c r="Q149" s="323"/>
      <c r="R149" s="323"/>
      <c r="S149" s="323"/>
      <c r="T149" s="324"/>
      <c r="U149" s="323"/>
      <c r="V149" s="323"/>
      <c r="W149" s="323"/>
      <c r="X149" s="266"/>
      <c r="Y149" s="324"/>
      <c r="Z149" s="266"/>
      <c r="AA149" s="266"/>
      <c r="AB149" s="266"/>
      <c r="AC149" s="266"/>
      <c r="AD149" s="324"/>
      <c r="AE149" s="267"/>
      <c r="AF149" s="267"/>
      <c r="AG149" s="267"/>
      <c r="AH149" s="12"/>
      <c r="AI149" s="12"/>
    </row>
    <row r="150" spans="1:35" ht="12.75" customHeight="1">
      <c r="A150" s="12"/>
      <c r="B150" s="12"/>
      <c r="C150" s="458" t="s">
        <v>487</v>
      </c>
      <c r="D150" s="459"/>
      <c r="E150" s="459"/>
      <c r="F150" s="460"/>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2"/>
      <c r="AH150" s="12"/>
      <c r="AI150" s="12"/>
    </row>
    <row r="151" spans="1:35" ht="12.75" customHeight="1">
      <c r="A151" s="12"/>
      <c r="B151" s="12"/>
      <c r="C151" s="12"/>
      <c r="D151" s="12"/>
      <c r="E151" s="12"/>
      <c r="F151" s="323"/>
      <c r="G151" s="323"/>
      <c r="H151" s="323"/>
      <c r="I151" s="323"/>
      <c r="J151" s="324"/>
      <c r="K151" s="323"/>
      <c r="L151" s="323"/>
      <c r="M151" s="323"/>
      <c r="N151" s="323"/>
      <c r="O151" s="324"/>
      <c r="P151" s="323"/>
      <c r="Q151" s="323"/>
      <c r="R151" s="323"/>
      <c r="S151" s="323"/>
      <c r="T151" s="324"/>
      <c r="U151" s="323"/>
      <c r="V151" s="323"/>
      <c r="W151" s="323"/>
      <c r="X151" s="325"/>
      <c r="Y151" s="324"/>
      <c r="Z151" s="325"/>
      <c r="AA151" s="325"/>
      <c r="AB151" s="325"/>
      <c r="AC151" s="325"/>
      <c r="AD151" s="324"/>
      <c r="AE151" s="137"/>
      <c r="AF151" s="137"/>
      <c r="AG151" s="137"/>
      <c r="AH151" s="12"/>
      <c r="AI151" s="12"/>
    </row>
    <row r="152" spans="1:35" ht="12.75" customHeight="1">
      <c r="A152" s="12"/>
      <c r="B152" s="12"/>
      <c r="C152" s="12" t="str">
        <f>Model!C308</f>
        <v>Issuance of Debt</v>
      </c>
      <c r="D152" s="12"/>
      <c r="E152" s="12"/>
      <c r="F152" s="299">
        <f>Model!F308</f>
        <v>15844</v>
      </c>
      <c r="G152" s="299">
        <f>Model!G308</f>
        <v>0</v>
      </c>
      <c r="H152" s="299">
        <f>Model!H308</f>
        <v>0</v>
      </c>
      <c r="I152" s="299">
        <f>Model!I308</f>
        <v>0</v>
      </c>
      <c r="J152" s="228">
        <f>F152</f>
        <v>15844</v>
      </c>
      <c r="K152" s="299">
        <f>Model!K308</f>
        <v>2049</v>
      </c>
      <c r="L152" s="299">
        <f>Model!L308</f>
        <v>0</v>
      </c>
      <c r="M152" s="299">
        <f>Model!M308</f>
        <v>0</v>
      </c>
      <c r="N152" s="299">
        <f>Model!N308</f>
        <v>156</v>
      </c>
      <c r="O152" s="228">
        <f>K152</f>
        <v>2049</v>
      </c>
      <c r="P152" s="299">
        <f>Model!P308</f>
        <v>0</v>
      </c>
      <c r="Q152" s="299">
        <f>Model!Q308</f>
        <v>0</v>
      </c>
      <c r="R152" s="299">
        <f>Model!R308</f>
        <v>9.8140000000003056</v>
      </c>
      <c r="S152" s="299">
        <f>Model!S308</f>
        <v>0</v>
      </c>
      <c r="T152" s="228">
        <f>P152</f>
        <v>0</v>
      </c>
      <c r="U152" s="299">
        <f>Model!U308</f>
        <v>8781.1640000000007</v>
      </c>
      <c r="V152" s="299">
        <f>Model!V308</f>
        <v>67</v>
      </c>
      <c r="W152" s="299">
        <f>Model!W308</f>
        <v>1922</v>
      </c>
      <c r="X152" s="471">
        <f>IF(Case_Scenario="Bull",X153,IF(Case_Scenario="Base",X154,IF(Case_Scenario="bear",X155,"N/A")))</f>
        <v>0</v>
      </c>
      <c r="Y152" s="228">
        <f>SUM(U152:X152)</f>
        <v>10770.164000000001</v>
      </c>
      <c r="Z152" s="471">
        <f>IF(Case_Scenario="Bull",Z153,IF(Case_Scenario="Base",Z154,IF(Case_Scenario="bear",Z155,"N/A")))</f>
        <v>0</v>
      </c>
      <c r="AA152" s="471">
        <f>IF(Case_Scenario="Bull",AA153,IF(Case_Scenario="Base",AA154,IF(Case_Scenario="bear",AA155,"N/A")))</f>
        <v>0</v>
      </c>
      <c r="AB152" s="471">
        <f>IF(Case_Scenario="Bull",AB153,IF(Case_Scenario="Base",AB154,IF(Case_Scenario="bear",AB155,"N/A")))</f>
        <v>0</v>
      </c>
      <c r="AC152" s="471">
        <f>IF(Case_Scenario="Bull",AC153,IF(Case_Scenario="Base",AC154,IF(Case_Scenario="bear",AC155,"N/A")))</f>
        <v>0</v>
      </c>
      <c r="AD152" s="228">
        <f>SUM(Z152:AC152)</f>
        <v>0</v>
      </c>
      <c r="AE152" s="472">
        <f>IF(Case_Scenario="Bull",AE153,IF(Case_Scenario="Base",AE154,IF(Case_Scenario="bear",AE155,"N/A")))</f>
        <v>0</v>
      </c>
      <c r="AF152" s="472">
        <f>IF(Case_Scenario="Bull",AF153,IF(Case_Scenario="Base",AF154,IF(Case_Scenario="bear",AF155,"N/A")))</f>
        <v>0</v>
      </c>
      <c r="AG152" s="472">
        <f>IF(Case_Scenario="Bull",AG153,IF(Case_Scenario="Base",AG154,IF(Case_Scenario="bear",AG155,"N/A")))</f>
        <v>0</v>
      </c>
      <c r="AH152" s="12"/>
      <c r="AI152" s="12"/>
    </row>
    <row r="153" spans="1:35" ht="12.75" customHeight="1">
      <c r="A153" s="12"/>
      <c r="B153" s="12"/>
      <c r="C153" s="108" t="s">
        <v>251</v>
      </c>
      <c r="D153" s="12"/>
      <c r="E153" s="12"/>
      <c r="F153" s="323"/>
      <c r="G153" s="323"/>
      <c r="H153" s="323"/>
      <c r="I153" s="323"/>
      <c r="J153" s="324"/>
      <c r="K153" s="323"/>
      <c r="L153" s="323"/>
      <c r="M153" s="323"/>
      <c r="N153" s="323"/>
      <c r="O153" s="324"/>
      <c r="P153" s="323"/>
      <c r="Q153" s="323"/>
      <c r="R153" s="323"/>
      <c r="S153" s="323"/>
      <c r="T153" s="324"/>
      <c r="U153" s="323"/>
      <c r="V153" s="323"/>
      <c r="W153" s="323"/>
      <c r="X153" s="473">
        <v>0</v>
      </c>
      <c r="Y153" s="324"/>
      <c r="Z153" s="473">
        <v>0</v>
      </c>
      <c r="AA153" s="473">
        <v>0</v>
      </c>
      <c r="AB153" s="473">
        <v>0</v>
      </c>
      <c r="AC153" s="473">
        <v>0</v>
      </c>
      <c r="AD153" s="324"/>
      <c r="AE153" s="474">
        <v>0</v>
      </c>
      <c r="AF153" s="474">
        <v>0</v>
      </c>
      <c r="AG153" s="474">
        <v>0</v>
      </c>
      <c r="AH153" s="12"/>
      <c r="AI153" s="12"/>
    </row>
    <row r="154" spans="1:35" ht="12.75" customHeight="1">
      <c r="A154" s="12"/>
      <c r="B154" s="12"/>
      <c r="C154" s="108" t="s">
        <v>252</v>
      </c>
      <c r="D154" s="12"/>
      <c r="E154" s="12"/>
      <c r="F154" s="323"/>
      <c r="G154" s="323"/>
      <c r="H154" s="323"/>
      <c r="I154" s="323"/>
      <c r="J154" s="324"/>
      <c r="K154" s="323"/>
      <c r="L154" s="323"/>
      <c r="M154" s="323"/>
      <c r="N154" s="323"/>
      <c r="O154" s="324"/>
      <c r="P154" s="323"/>
      <c r="Q154" s="323"/>
      <c r="R154" s="323"/>
      <c r="S154" s="323"/>
      <c r="T154" s="324"/>
      <c r="U154" s="323"/>
      <c r="V154" s="323"/>
      <c r="W154" s="323"/>
      <c r="X154" s="473">
        <v>0</v>
      </c>
      <c r="Y154" s="324"/>
      <c r="Z154" s="473">
        <v>0</v>
      </c>
      <c r="AA154" s="473">
        <v>0</v>
      </c>
      <c r="AB154" s="473">
        <v>0</v>
      </c>
      <c r="AC154" s="473">
        <v>0</v>
      </c>
      <c r="AD154" s="324"/>
      <c r="AE154" s="474">
        <v>0</v>
      </c>
      <c r="AF154" s="474">
        <v>0</v>
      </c>
      <c r="AG154" s="474">
        <v>0</v>
      </c>
      <c r="AH154" s="12"/>
      <c r="AI154" s="12"/>
    </row>
    <row r="155" spans="1:35" ht="12.75" customHeight="1">
      <c r="A155" s="12"/>
      <c r="B155" s="12"/>
      <c r="C155" s="108" t="s">
        <v>253</v>
      </c>
      <c r="D155" s="12"/>
      <c r="E155" s="12"/>
      <c r="F155" s="323"/>
      <c r="G155" s="323"/>
      <c r="H155" s="323"/>
      <c r="I155" s="323"/>
      <c r="J155" s="324"/>
      <c r="K155" s="323"/>
      <c r="L155" s="323"/>
      <c r="M155" s="323"/>
      <c r="N155" s="323"/>
      <c r="O155" s="324"/>
      <c r="P155" s="323"/>
      <c r="Q155" s="323"/>
      <c r="R155" s="323"/>
      <c r="S155" s="323"/>
      <c r="T155" s="324"/>
      <c r="U155" s="323"/>
      <c r="V155" s="323"/>
      <c r="W155" s="323"/>
      <c r="X155" s="473">
        <v>0</v>
      </c>
      <c r="Y155" s="324"/>
      <c r="Z155" s="473">
        <v>1000</v>
      </c>
      <c r="AA155" s="473">
        <v>0</v>
      </c>
      <c r="AB155" s="473">
        <v>0</v>
      </c>
      <c r="AC155" s="473">
        <v>0</v>
      </c>
      <c r="AD155" s="324"/>
      <c r="AE155" s="474">
        <v>2000</v>
      </c>
      <c r="AF155" s="474">
        <v>0</v>
      </c>
      <c r="AG155" s="474">
        <v>2000</v>
      </c>
      <c r="AH155" s="12"/>
      <c r="AI155" s="12"/>
    </row>
    <row r="156" spans="1:35" ht="12.75" customHeight="1">
      <c r="A156" s="12"/>
      <c r="B156" s="12"/>
      <c r="C156" s="108"/>
      <c r="D156" s="12"/>
      <c r="E156" s="12"/>
      <c r="F156" s="323"/>
      <c r="G156" s="323"/>
      <c r="H156" s="323"/>
      <c r="I156" s="323"/>
      <c r="J156" s="324"/>
      <c r="K156" s="323"/>
      <c r="L156" s="323"/>
      <c r="M156" s="323"/>
      <c r="N156" s="323"/>
      <c r="O156" s="324"/>
      <c r="P156" s="323"/>
      <c r="Q156" s="323"/>
      <c r="R156" s="323"/>
      <c r="S156" s="323"/>
      <c r="T156" s="324"/>
      <c r="U156" s="323"/>
      <c r="V156" s="323"/>
      <c r="W156" s="323"/>
      <c r="X156" s="473"/>
      <c r="Y156" s="324"/>
      <c r="Z156" s="473"/>
      <c r="AA156" s="473"/>
      <c r="AB156" s="473"/>
      <c r="AC156" s="473"/>
      <c r="AD156" s="324"/>
      <c r="AE156" s="475"/>
      <c r="AF156" s="475"/>
      <c r="AG156" s="475"/>
      <c r="AH156" s="12"/>
      <c r="AI156" s="12"/>
    </row>
    <row r="157" spans="1:35" ht="12.75" customHeight="1">
      <c r="A157" s="12"/>
      <c r="B157" s="12"/>
      <c r="C157" s="12" t="str">
        <f>Model!C309</f>
        <v>Repayment of Debt</v>
      </c>
      <c r="D157" s="12"/>
      <c r="E157" s="12"/>
      <c r="F157" s="299">
        <f>Model!F309</f>
        <v>0</v>
      </c>
      <c r="G157" s="299">
        <f>Model!G309</f>
        <v>-13</v>
      </c>
      <c r="H157" s="299">
        <f>Model!H309</f>
        <v>-254</v>
      </c>
      <c r="I157" s="299">
        <f>Model!I309</f>
        <v>-76</v>
      </c>
      <c r="J157" s="228">
        <f>Model!J309</f>
        <v>0</v>
      </c>
      <c r="K157" s="299">
        <f>Model!K309</f>
        <v>0</v>
      </c>
      <c r="L157" s="299">
        <f>Model!L309</f>
        <v>-3</v>
      </c>
      <c r="M157" s="299">
        <f>Model!M309</f>
        <v>-338</v>
      </c>
      <c r="N157" s="299">
        <f>Model!N309</f>
        <v>0</v>
      </c>
      <c r="O157" s="228">
        <f>Model!O309</f>
        <v>0</v>
      </c>
      <c r="P157" s="299">
        <f>Model!P309</f>
        <v>-2348.0820000000003</v>
      </c>
      <c r="Q157" s="299">
        <f>Model!Q309</f>
        <v>-563.71199999999953</v>
      </c>
      <c r="R157" s="299">
        <f>Model!R309</f>
        <v>0</v>
      </c>
      <c r="S157" s="299">
        <f>Model!S309</f>
        <v>-0.18400000000110595</v>
      </c>
      <c r="T157" s="228">
        <f>Model!T309</f>
        <v>-2902.1640000000007</v>
      </c>
      <c r="U157" s="299">
        <f>Model!U309</f>
        <v>0</v>
      </c>
      <c r="V157" s="299">
        <f>Model!V309</f>
        <v>0</v>
      </c>
      <c r="W157" s="299">
        <f>Model!W309</f>
        <v>0</v>
      </c>
      <c r="X157" s="232">
        <f>IF(Case_Scenario="Bull",X158,IF(Case_Scenario="Base",X159,IF(Case_Scenario="bear",X160,"N/A")))</f>
        <v>-500</v>
      </c>
      <c r="Y157" s="228">
        <f>SUM(U157:X157)</f>
        <v>-500</v>
      </c>
      <c r="Z157" s="232">
        <f>IF(Case_Scenario="Bull",Z158,IF(Case_Scenario="Base",Z159,IF(Case_Scenario="bear",Z160,"N/A")))</f>
        <v>-500</v>
      </c>
      <c r="AA157" s="232">
        <f>IF(Case_Scenario="Bull",AA158,IF(Case_Scenario="Base",AA159,IF(Case_Scenario="bear",AA160,"N/A")))</f>
        <v>-500</v>
      </c>
      <c r="AB157" s="232">
        <f>IF(Case_Scenario="Bull",AB158,IF(Case_Scenario="Base",AB159,IF(Case_Scenario="bear",AB160,"N/A")))</f>
        <v>-500</v>
      </c>
      <c r="AC157" s="232">
        <f>IF(Case_Scenario="Bull",AC158,IF(Case_Scenario="Base",AC159,IF(Case_Scenario="bear",AC160,"N/A")))</f>
        <v>-500</v>
      </c>
      <c r="AD157" s="228">
        <f>SUM(Z157:AC157)</f>
        <v>-2000</v>
      </c>
      <c r="AE157" s="233">
        <f>IF(Case_Scenario="Bull",AE158,IF(Case_Scenario="Base",AE159,IF(Case_Scenario="bear",AE160,"N/A")))</f>
        <v>-1400</v>
      </c>
      <c r="AF157" s="233">
        <f>IF(Case_Scenario="Bull",AF158,IF(Case_Scenario="Base",AF159,IF(Case_Scenario="bear",AF160,"N/A")))</f>
        <v>-1300</v>
      </c>
      <c r="AG157" s="233">
        <f>IF(Case_Scenario="Bull",AG158,IF(Case_Scenario="Base",AG159,IF(Case_Scenario="bear",AG160,"N/A")))</f>
        <v>-1200</v>
      </c>
      <c r="AH157" s="12"/>
      <c r="AI157" s="12"/>
    </row>
    <row r="158" spans="1:35" ht="12.75" customHeight="1">
      <c r="A158" s="12"/>
      <c r="B158" s="12"/>
      <c r="C158" s="108" t="s">
        <v>251</v>
      </c>
      <c r="D158" s="12"/>
      <c r="E158" s="12"/>
      <c r="F158" s="323"/>
      <c r="G158" s="323"/>
      <c r="H158" s="323"/>
      <c r="I158" s="323"/>
      <c r="J158" s="324"/>
      <c r="K158" s="323"/>
      <c r="L158" s="323"/>
      <c r="M158" s="323"/>
      <c r="N158" s="323"/>
      <c r="O158" s="324"/>
      <c r="P158" s="323"/>
      <c r="Q158" s="323"/>
      <c r="R158" s="323"/>
      <c r="S158" s="323"/>
      <c r="T158" s="324"/>
      <c r="U158" s="323"/>
      <c r="V158" s="323"/>
      <c r="W158" s="323"/>
      <c r="X158" s="476">
        <v>0</v>
      </c>
      <c r="Y158" s="324"/>
      <c r="Z158" s="476">
        <v>-500</v>
      </c>
      <c r="AA158" s="476">
        <v>-500</v>
      </c>
      <c r="AB158" s="476">
        <v>0</v>
      </c>
      <c r="AC158" s="476">
        <v>0</v>
      </c>
      <c r="AD158" s="324"/>
      <c r="AE158" s="477">
        <v>-1000</v>
      </c>
      <c r="AF158" s="477">
        <v>0</v>
      </c>
      <c r="AG158" s="477">
        <v>-1000</v>
      </c>
      <c r="AH158" s="12"/>
      <c r="AI158" s="12"/>
    </row>
    <row r="159" spans="1:35" ht="12.75" customHeight="1">
      <c r="A159" s="12"/>
      <c r="B159" s="12"/>
      <c r="C159" s="108" t="s">
        <v>252</v>
      </c>
      <c r="D159" s="12"/>
      <c r="E159" s="12"/>
      <c r="F159" s="323"/>
      <c r="G159" s="323"/>
      <c r="H159" s="323"/>
      <c r="I159" s="323"/>
      <c r="J159" s="324"/>
      <c r="K159" s="323"/>
      <c r="L159" s="323"/>
      <c r="M159" s="323"/>
      <c r="N159" s="323"/>
      <c r="O159" s="324"/>
      <c r="P159" s="323"/>
      <c r="Q159" s="323"/>
      <c r="R159" s="323"/>
      <c r="S159" s="323"/>
      <c r="T159" s="324"/>
      <c r="U159" s="323"/>
      <c r="V159" s="323"/>
      <c r="W159" s="323"/>
      <c r="X159" s="476">
        <v>-500</v>
      </c>
      <c r="Y159" s="324"/>
      <c r="Z159" s="476">
        <v>-500</v>
      </c>
      <c r="AA159" s="476">
        <v>-500</v>
      </c>
      <c r="AB159" s="476">
        <v>-500</v>
      </c>
      <c r="AC159" s="476">
        <v>-500</v>
      </c>
      <c r="AD159" s="324"/>
      <c r="AE159" s="477">
        <v>-1400</v>
      </c>
      <c r="AF159" s="477">
        <v>-1300</v>
      </c>
      <c r="AG159" s="477">
        <v>-1200</v>
      </c>
      <c r="AH159" s="12"/>
      <c r="AI159" s="12"/>
    </row>
    <row r="160" spans="1:35" ht="12.75" customHeight="1">
      <c r="A160" s="12"/>
      <c r="B160" s="12"/>
      <c r="C160" s="108" t="s">
        <v>253</v>
      </c>
      <c r="D160" s="12"/>
      <c r="E160" s="12"/>
      <c r="F160" s="323"/>
      <c r="G160" s="323"/>
      <c r="H160" s="323"/>
      <c r="I160" s="323"/>
      <c r="J160" s="324"/>
      <c r="K160" s="323"/>
      <c r="L160" s="323"/>
      <c r="M160" s="323"/>
      <c r="N160" s="323"/>
      <c r="O160" s="324"/>
      <c r="P160" s="323"/>
      <c r="Q160" s="323"/>
      <c r="R160" s="323"/>
      <c r="S160" s="323"/>
      <c r="T160" s="324"/>
      <c r="U160" s="323"/>
      <c r="V160" s="323"/>
      <c r="W160" s="323"/>
      <c r="X160" s="476">
        <v>0</v>
      </c>
      <c r="Y160" s="324"/>
      <c r="Z160" s="476">
        <v>0</v>
      </c>
      <c r="AA160" s="476">
        <v>-3000</v>
      </c>
      <c r="AB160" s="476">
        <v>-500</v>
      </c>
      <c r="AC160" s="476">
        <v>0</v>
      </c>
      <c r="AD160" s="324"/>
      <c r="AE160" s="477">
        <v>-1000</v>
      </c>
      <c r="AF160" s="477">
        <v>-1000</v>
      </c>
      <c r="AG160" s="477">
        <v>-1000</v>
      </c>
      <c r="AH160" s="12"/>
      <c r="AI160" s="12"/>
    </row>
    <row r="161" spans="1:35" ht="12.75" customHeight="1">
      <c r="A161" s="12"/>
      <c r="B161" s="12"/>
      <c r="C161" s="108"/>
      <c r="D161" s="12"/>
      <c r="E161" s="12"/>
      <c r="F161" s="323"/>
      <c r="G161" s="323"/>
      <c r="H161" s="323"/>
      <c r="I161" s="323"/>
      <c r="J161" s="324"/>
      <c r="K161" s="323"/>
      <c r="L161" s="323"/>
      <c r="M161" s="323"/>
      <c r="N161" s="323"/>
      <c r="O161" s="324"/>
      <c r="P161" s="323"/>
      <c r="Q161" s="323"/>
      <c r="R161" s="323"/>
      <c r="S161" s="323"/>
      <c r="T161" s="324"/>
      <c r="U161" s="323"/>
      <c r="V161" s="323"/>
      <c r="W161" s="323"/>
      <c r="X161" s="476"/>
      <c r="Y161" s="324"/>
      <c r="Z161" s="476"/>
      <c r="AA161" s="476"/>
      <c r="AB161" s="476"/>
      <c r="AC161" s="476"/>
      <c r="AD161" s="324"/>
      <c r="AE161" s="477"/>
      <c r="AF161" s="477"/>
      <c r="AG161" s="477"/>
      <c r="AH161" s="12"/>
      <c r="AI161" s="12"/>
    </row>
    <row r="162" spans="1:35" ht="12.75" customHeight="1">
      <c r="A162" s="12"/>
      <c r="B162" s="12"/>
      <c r="C162" s="296" t="s">
        <v>488</v>
      </c>
      <c r="D162" s="319"/>
      <c r="E162" s="319"/>
      <c r="F162" s="297" t="str">
        <f>Model!F$25</f>
        <v>1Q23</v>
      </c>
      <c r="G162" s="147" t="str">
        <f>Model!G$25</f>
        <v>2Q23</v>
      </c>
      <c r="H162" s="147" t="str">
        <f>Model!H$25</f>
        <v>3Q23</v>
      </c>
      <c r="I162" s="147" t="str">
        <f>Model!I$25</f>
        <v>4Q23</v>
      </c>
      <c r="J162" s="147">
        <f>Model!J$25</f>
        <v>2023</v>
      </c>
      <c r="K162" s="147" t="str">
        <f>Model!K$25</f>
        <v>1Q24</v>
      </c>
      <c r="L162" s="147" t="str">
        <f>Model!L$25</f>
        <v>2Q24</v>
      </c>
      <c r="M162" s="147" t="str">
        <f>Model!M$25</f>
        <v>3Q24</v>
      </c>
      <c r="N162" s="147" t="str">
        <f>Model!N$25</f>
        <v>4Q24</v>
      </c>
      <c r="O162" s="147">
        <f>Model!O$25</f>
        <v>2024</v>
      </c>
      <c r="P162" s="147" t="str">
        <f>Model!P$25</f>
        <v>1Q25</v>
      </c>
      <c r="Q162" s="147" t="str">
        <f>Model!Q$25</f>
        <v>2Q25</v>
      </c>
      <c r="R162" s="147" t="str">
        <f>Model!R$25</f>
        <v>3Q25</v>
      </c>
      <c r="S162" s="147" t="str">
        <f>Model!S$25</f>
        <v>4Q25</v>
      </c>
      <c r="T162" s="147">
        <f>Model!T$25</f>
        <v>2025</v>
      </c>
      <c r="U162" s="147" t="str">
        <f>Model!U$25</f>
        <v>1Q26</v>
      </c>
      <c r="V162" s="147" t="str">
        <f>Model!V$25</f>
        <v>2Q26</v>
      </c>
      <c r="W162" s="147" t="str">
        <f>Model!W$25</f>
        <v>3Q26e</v>
      </c>
      <c r="X162" s="147" t="str">
        <f>Model!X$25</f>
        <v>4Q26e</v>
      </c>
      <c r="Y162" s="147" t="str">
        <f>Model!Y$25</f>
        <v>2026e</v>
      </c>
      <c r="Z162" s="147" t="str">
        <f>Model!Z$25</f>
        <v>1Q27e</v>
      </c>
      <c r="AA162" s="147" t="str">
        <f>Model!AA$25</f>
        <v>2Q27e</v>
      </c>
      <c r="AB162" s="147" t="str">
        <f>Model!AB$25</f>
        <v>3Q27e</v>
      </c>
      <c r="AC162" s="147" t="str">
        <f>Model!AC$25</f>
        <v>4Q27e</v>
      </c>
      <c r="AD162" s="147" t="str">
        <f>Model!AD$25</f>
        <v>2027e</v>
      </c>
      <c r="AE162" s="147" t="str">
        <f>Model!AE$25</f>
        <v>2028e</v>
      </c>
      <c r="AF162" s="147" t="str">
        <f>Model!AF$25</f>
        <v>2029e</v>
      </c>
      <c r="AG162" s="298" t="str">
        <f>Model!AG$25</f>
        <v>2030e</v>
      </c>
      <c r="AH162" s="12"/>
      <c r="AI162" s="12"/>
    </row>
    <row r="163" spans="1:35" ht="12.75" customHeight="1">
      <c r="A163" s="12"/>
      <c r="B163" s="12"/>
      <c r="C163" s="458" t="s">
        <v>489</v>
      </c>
      <c r="D163" s="459"/>
      <c r="E163" s="459"/>
      <c r="F163" s="460"/>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2"/>
      <c r="AH163" s="12"/>
      <c r="AI163" s="12"/>
    </row>
    <row r="164" spans="1:35" ht="12.75" customHeight="1">
      <c r="A164" s="12"/>
      <c r="B164" s="12"/>
      <c r="C164" s="108"/>
      <c r="D164" s="12"/>
      <c r="E164" s="12"/>
      <c r="F164" s="323"/>
      <c r="G164" s="323"/>
      <c r="H164" s="323"/>
      <c r="I164" s="323"/>
      <c r="J164" s="324"/>
      <c r="K164" s="323"/>
      <c r="L164" s="323"/>
      <c r="M164" s="323"/>
      <c r="N164" s="323"/>
      <c r="O164" s="324"/>
      <c r="P164" s="323"/>
      <c r="Q164" s="323"/>
      <c r="R164" s="323"/>
      <c r="S164" s="323"/>
      <c r="T164" s="324"/>
      <c r="U164" s="323"/>
      <c r="V164" s="323"/>
      <c r="W164" s="323"/>
      <c r="X164" s="476"/>
      <c r="Y164" s="324"/>
      <c r="Z164" s="476"/>
      <c r="AA164" s="476"/>
      <c r="AB164" s="476"/>
      <c r="AC164" s="476"/>
      <c r="AD164" s="324"/>
      <c r="AE164" s="477"/>
      <c r="AF164" s="477"/>
      <c r="AG164" s="477"/>
      <c r="AH164" s="12"/>
      <c r="AI164" s="12"/>
    </row>
    <row r="165" spans="1:35" ht="12.75" customHeight="1">
      <c r="A165" s="12"/>
      <c r="B165" s="12"/>
      <c r="C165" s="12" t="str">
        <f>Model!C272</f>
        <v>Share Repurchase Guidance</v>
      </c>
      <c r="D165" s="12"/>
      <c r="E165" s="12"/>
      <c r="F165" s="299">
        <f>Model!F272</f>
        <v>728</v>
      </c>
      <c r="G165" s="299">
        <f>Model!G272</f>
        <v>1118</v>
      </c>
      <c r="H165" s="299">
        <f>Model!H272</f>
        <v>652</v>
      </c>
      <c r="I165" s="299">
        <f>Model!I272</f>
        <v>539</v>
      </c>
      <c r="J165" s="228">
        <f>Model!J272</f>
        <v>3037</v>
      </c>
      <c r="K165" s="299">
        <f>Model!K272</f>
        <v>826</v>
      </c>
      <c r="L165" s="299">
        <f>Model!L272</f>
        <v>1944</v>
      </c>
      <c r="M165" s="299">
        <f>Model!M272</f>
        <v>879</v>
      </c>
      <c r="N165" s="299">
        <f>Model!N272</f>
        <v>664</v>
      </c>
      <c r="O165" s="228">
        <f>Model!O272</f>
        <v>4313</v>
      </c>
      <c r="P165" s="299">
        <f>Model!P272</f>
        <v>966</v>
      </c>
      <c r="Q165" s="299">
        <f>Model!Q272</f>
        <v>0</v>
      </c>
      <c r="R165" s="299">
        <f>Model!R272</f>
        <v>562</v>
      </c>
      <c r="S165" s="299">
        <f>Model!S272</f>
        <v>3443</v>
      </c>
      <c r="T165" s="228">
        <f>Model!T272</f>
        <v>4971</v>
      </c>
      <c r="U165" s="299">
        <f>Model!U272</f>
        <v>3038</v>
      </c>
      <c r="V165" s="299">
        <f>Model!V272</f>
        <v>3136</v>
      </c>
      <c r="W165" s="299">
        <f>Model!W272</f>
        <v>2825</v>
      </c>
      <c r="X165" s="471">
        <f>IF(Case_Scenario="Bull",X166,IF(Case_Scenario="Base",X167,IF(Case_Scenario="bear",X168,"N/A")))</f>
        <v>500</v>
      </c>
      <c r="Y165" s="228">
        <f>SUM(U165:X165)</f>
        <v>9499</v>
      </c>
      <c r="Z165" s="471">
        <f>IF(Case_Scenario="Bull",Z166,IF(Case_Scenario="Base",Z167,IF(Case_Scenario="bear",Z168,"N/A")))</f>
        <v>500</v>
      </c>
      <c r="AA165" s="471">
        <f>IF(Case_Scenario="Bull",AA166,IF(Case_Scenario="Base",AA167,IF(Case_Scenario="bear",AA168,"N/A")))</f>
        <v>500</v>
      </c>
      <c r="AB165" s="471">
        <f>IF(Case_Scenario="Bull",AB166,IF(Case_Scenario="Base",AB167,IF(Case_Scenario="bear",AB168,"N/A")))</f>
        <v>500</v>
      </c>
      <c r="AC165" s="471">
        <f>IF(Case_Scenario="Bull",AC166,IF(Case_Scenario="Base",AC167,IF(Case_Scenario="bear",AC168,"N/A")))</f>
        <v>500</v>
      </c>
      <c r="AD165" s="228">
        <f>SUM(Z165:AC165)</f>
        <v>2000</v>
      </c>
      <c r="AE165" s="233">
        <f>IF(Case_Scenario="Bull",AE166,IF(Case_Scenario="Base",AE167,IF(Case_Scenario="bear",AE168,"N/A")))</f>
        <v>3000</v>
      </c>
      <c r="AF165" s="233">
        <f>IF(Case_Scenario="Bull",AF166,IF(Case_Scenario="Base",AF167,IF(Case_Scenario="bear",AF168,"N/A")))</f>
        <v>3000</v>
      </c>
      <c r="AG165" s="233">
        <f>IF(Case_Scenario="Bull",AG166,IF(Case_Scenario="Base",AG167,IF(Case_Scenario="bear",AG168,"N/A")))</f>
        <v>3000</v>
      </c>
      <c r="AH165" s="12"/>
      <c r="AI165" s="12"/>
    </row>
    <row r="166" spans="1:35" ht="12.75" customHeight="1">
      <c r="A166" s="12"/>
      <c r="B166" s="12"/>
      <c r="C166" s="108" t="s">
        <v>251</v>
      </c>
      <c r="D166" s="12"/>
      <c r="E166" s="12"/>
      <c r="F166" s="323"/>
      <c r="G166" s="323"/>
      <c r="H166" s="323"/>
      <c r="I166" s="323"/>
      <c r="J166" s="324"/>
      <c r="K166" s="323"/>
      <c r="L166" s="323"/>
      <c r="M166" s="323"/>
      <c r="N166" s="323"/>
      <c r="O166" s="324"/>
      <c r="P166" s="323"/>
      <c r="Q166" s="323"/>
      <c r="R166" s="323"/>
      <c r="S166" s="323"/>
      <c r="T166" s="324"/>
      <c r="U166" s="323"/>
      <c r="V166" s="323"/>
      <c r="W166" s="323"/>
      <c r="X166" s="473">
        <v>1000</v>
      </c>
      <c r="Y166" s="324"/>
      <c r="Z166" s="473">
        <v>1000</v>
      </c>
      <c r="AA166" s="473">
        <v>800</v>
      </c>
      <c r="AB166" s="473">
        <v>500</v>
      </c>
      <c r="AC166" s="473">
        <v>1000</v>
      </c>
      <c r="AD166" s="324"/>
      <c r="AE166" s="477">
        <v>3500</v>
      </c>
      <c r="AF166" s="477">
        <v>3500</v>
      </c>
      <c r="AG166" s="477">
        <v>3500</v>
      </c>
      <c r="AH166" s="12"/>
      <c r="AI166" s="12"/>
    </row>
    <row r="167" spans="1:35" ht="12.75" customHeight="1">
      <c r="A167" s="12"/>
      <c r="B167" s="12"/>
      <c r="C167" s="108" t="s">
        <v>252</v>
      </c>
      <c r="D167" s="12"/>
      <c r="E167" s="12"/>
      <c r="F167" s="323"/>
      <c r="G167" s="323"/>
      <c r="H167" s="323"/>
      <c r="I167" s="323"/>
      <c r="J167" s="324"/>
      <c r="K167" s="323"/>
      <c r="L167" s="323"/>
      <c r="M167" s="323"/>
      <c r="N167" s="323"/>
      <c r="O167" s="324"/>
      <c r="P167" s="323"/>
      <c r="Q167" s="323"/>
      <c r="R167" s="323"/>
      <c r="S167" s="323"/>
      <c r="T167" s="324"/>
      <c r="U167" s="323"/>
      <c r="V167" s="323"/>
      <c r="W167" s="323"/>
      <c r="X167" s="473">
        <v>500</v>
      </c>
      <c r="Y167" s="324"/>
      <c r="Z167" s="473">
        <v>500</v>
      </c>
      <c r="AA167" s="473">
        <v>500</v>
      </c>
      <c r="AB167" s="473">
        <v>500</v>
      </c>
      <c r="AC167" s="473">
        <v>500</v>
      </c>
      <c r="AD167" s="324"/>
      <c r="AE167" s="477">
        <v>3000</v>
      </c>
      <c r="AF167" s="477">
        <v>3000</v>
      </c>
      <c r="AG167" s="477">
        <v>3000</v>
      </c>
      <c r="AH167" s="12"/>
      <c r="AI167" s="12"/>
    </row>
    <row r="168" spans="1:35" ht="12.75" customHeight="1">
      <c r="A168" s="12"/>
      <c r="B168" s="12"/>
      <c r="C168" s="108" t="s">
        <v>253</v>
      </c>
      <c r="D168" s="12"/>
      <c r="E168" s="12"/>
      <c r="F168" s="323"/>
      <c r="G168" s="323"/>
      <c r="H168" s="323"/>
      <c r="I168" s="323"/>
      <c r="J168" s="324"/>
      <c r="K168" s="323"/>
      <c r="L168" s="323"/>
      <c r="M168" s="323"/>
      <c r="N168" s="323"/>
      <c r="O168" s="324"/>
      <c r="P168" s="323"/>
      <c r="Q168" s="323"/>
      <c r="R168" s="323"/>
      <c r="S168" s="323"/>
      <c r="T168" s="324"/>
      <c r="U168" s="323"/>
      <c r="V168" s="323"/>
      <c r="W168" s="323"/>
      <c r="X168" s="473">
        <v>500</v>
      </c>
      <c r="Y168" s="324"/>
      <c r="Z168" s="473">
        <v>0</v>
      </c>
      <c r="AA168" s="473">
        <v>0</v>
      </c>
      <c r="AB168" s="473">
        <v>500</v>
      </c>
      <c r="AC168" s="473">
        <v>500</v>
      </c>
      <c r="AD168" s="324"/>
      <c r="AE168" s="477">
        <v>1000</v>
      </c>
      <c r="AF168" s="477">
        <v>1000</v>
      </c>
      <c r="AG168" s="477">
        <v>1000</v>
      </c>
      <c r="AH168" s="12"/>
      <c r="AI168" s="12"/>
    </row>
    <row r="169" spans="1:35" ht="12.75" customHeight="1">
      <c r="A169" s="12"/>
      <c r="B169" s="12"/>
      <c r="C169" s="12"/>
      <c r="D169" s="12"/>
      <c r="E169" s="12"/>
      <c r="F169" s="343"/>
      <c r="G169" s="343"/>
      <c r="H169" s="343"/>
      <c r="I169" s="343"/>
      <c r="J169" s="344"/>
      <c r="K169" s="343"/>
      <c r="L169" s="343"/>
      <c r="M169" s="343"/>
      <c r="N169" s="343"/>
      <c r="O169" s="344"/>
      <c r="P169" s="343"/>
      <c r="Q169" s="343"/>
      <c r="R169" s="343"/>
      <c r="S169" s="343"/>
      <c r="T169" s="344"/>
      <c r="U169" s="343"/>
      <c r="V169" s="343"/>
      <c r="W169" s="343"/>
      <c r="X169" s="473"/>
      <c r="Y169" s="288"/>
      <c r="Z169" s="287"/>
      <c r="AA169" s="287"/>
      <c r="AB169" s="287"/>
      <c r="AC169" s="287"/>
      <c r="AD169" s="12"/>
      <c r="AE169" s="288"/>
      <c r="AF169" s="288"/>
      <c r="AG169" s="288"/>
      <c r="AH169" s="12"/>
      <c r="AI169" s="12"/>
    </row>
    <row r="170" spans="1:35" ht="12.75" customHeight="1">
      <c r="A170" s="12"/>
      <c r="B170" s="12"/>
      <c r="C170" s="55" t="s">
        <v>262</v>
      </c>
      <c r="D170" s="15"/>
      <c r="E170" s="15"/>
      <c r="F170" s="259"/>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7"/>
      <c r="AH170" s="12"/>
      <c r="AI170" s="12"/>
    </row>
    <row r="171" spans="1:35" ht="12.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spans="1:35" ht="12.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spans="1:35" ht="12.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spans="1:35" ht="12.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spans="1:35" ht="12.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spans="1:35" ht="12.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spans="1:35" ht="12.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spans="1:35" ht="12.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spans="1:35" ht="12.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spans="1:35" ht="12.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spans="1:35" ht="12.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spans="1:35" ht="12.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spans="1:35" ht="12.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spans="1:35" ht="12.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spans="1:35" ht="12.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spans="1:35" ht="12.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spans="1:35" ht="12.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spans="1:35" ht="12.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spans="1:35" ht="12.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spans="1:35" ht="12.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spans="1:35" ht="12.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spans="1:35" ht="12.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spans="1:35" ht="12.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spans="1:35" ht="12.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spans="1:35" ht="12.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spans="1:35" ht="12.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spans="1:35" ht="12.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spans="1:35" ht="12.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spans="1:35" ht="12.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spans="1:35" ht="12.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spans="1:35" ht="12.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spans="1:35" ht="12.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spans="1:35" ht="12.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spans="1:35" ht="12.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spans="1:35" ht="12.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spans="1:35" ht="12.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spans="1:35" ht="12.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spans="1:35" ht="12.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spans="1:35" ht="12.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spans="1:35" ht="12.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spans="1:35" ht="12.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spans="1:35" ht="12.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spans="1:35" ht="12.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spans="1:35" ht="12.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spans="1:35" ht="12.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spans="1:35" ht="12.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spans="1:35" ht="12.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spans="1:35" ht="12.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spans="1:35" ht="12.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spans="1:35" ht="12.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spans="1:35" ht="12.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spans="1:35" ht="12.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spans="1:35" ht="12.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spans="1:35" ht="12.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spans="1:35" ht="12.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spans="1:35" ht="12.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spans="1:35" ht="12.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spans="1:35" ht="12.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spans="1:35" ht="12.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spans="1:35" ht="12.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spans="1:35" ht="12.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spans="1:35" ht="12.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spans="1:35" ht="12.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spans="1:35" ht="12.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spans="1:35" ht="12.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spans="1:35" ht="12.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spans="1:35" ht="12.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spans="1:35" ht="12.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spans="1:35" ht="12.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spans="1:35" ht="12.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spans="1:35" ht="12.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spans="1:35" ht="12.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spans="1:35" ht="12.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spans="1:35" ht="12.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spans="1:35" ht="12.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spans="1:35" ht="12.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spans="1:35" ht="12.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spans="1:35" ht="12.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spans="1:35" ht="12.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spans="1:35" ht="12.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spans="1:35" ht="12.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spans="1:35" ht="12.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spans="1:35" ht="12.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spans="1:35" ht="12.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spans="1:35" ht="12.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spans="1:35" ht="12.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spans="1:35" ht="12.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spans="1:35" ht="12.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spans="1:35" ht="12.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spans="1:35" ht="12.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spans="1:35" ht="12.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spans="1:35" ht="12.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spans="1:35" ht="12.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spans="1:35" ht="12.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spans="1:35" ht="12.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spans="1:35" ht="12.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spans="1:35" ht="12.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spans="1:35" ht="12.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spans="1:35" ht="12.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spans="1:35" ht="12.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spans="1:35" ht="12.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spans="1:35" ht="12.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spans="1:35" ht="12.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spans="1:35" ht="12.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spans="1:35" ht="12.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spans="1:35" ht="12.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spans="1:35" ht="12.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spans="1:35" ht="12.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spans="1:35" ht="12.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spans="1:35" ht="12.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spans="1:35" ht="12.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spans="1:35" ht="12.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spans="1:35" ht="12.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spans="1:35" ht="12.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spans="1:35" ht="12.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spans="1:35" ht="12.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spans="1:35" ht="12.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spans="1:35" ht="12.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spans="1:35" ht="12.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spans="1:35" ht="12.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spans="1:35" ht="12.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spans="1:35" ht="12.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spans="1:35" ht="12.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spans="1:35" ht="12.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spans="1:35" ht="12.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spans="1:35" ht="12.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spans="1:35" ht="12.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spans="1:35" ht="12.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spans="1:35" ht="12.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spans="1:35" ht="12.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spans="1:35" ht="12.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spans="1:35" ht="12.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spans="1:35" ht="12.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spans="1:35" ht="12.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spans="1:35" ht="12.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spans="1:35" ht="12.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spans="1:35" ht="12.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spans="1:35" ht="12.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spans="1:35" ht="12.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spans="1:35" ht="12.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spans="1:35" ht="12.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spans="1:35" ht="12.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spans="1:35" ht="12.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spans="1:35" ht="12.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spans="1:35" ht="12.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spans="1:35" ht="12.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spans="1:35" ht="12.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spans="1:35" ht="12.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spans="1:35" ht="12.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spans="1:35" ht="12.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spans="1:35" ht="12.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spans="1:35" ht="12.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spans="1:35" ht="12.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spans="1:35" ht="12.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spans="1:35" ht="12.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spans="1:35" ht="12.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spans="1:35" ht="12.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spans="1:35" ht="12.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spans="1:35" ht="12.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spans="1:35" ht="12.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spans="1:35" ht="12.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spans="1:35" ht="12.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spans="1:35" ht="12.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spans="1:35" ht="12.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spans="1:35" ht="12.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spans="1:35" ht="12.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spans="1:35" ht="12.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spans="1:35" ht="12.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spans="1:35" ht="12.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spans="1:35" ht="12.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spans="1:35" ht="12.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spans="1:35" ht="12.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spans="1:35" ht="12.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spans="1:35" ht="12.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spans="1:35" ht="12.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spans="1:35" ht="12.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spans="1:35" ht="12.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spans="1:35" ht="12.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spans="1:35" ht="12.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spans="1:35" ht="12.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spans="1:35" ht="12.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spans="1:35" ht="12.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spans="1:35" ht="12.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spans="1:35" ht="12.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spans="1:35" ht="12.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spans="1:35" ht="12.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spans="1:35" ht="12.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spans="1:35" ht="12.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spans="1:35" ht="12.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spans="1:35" ht="12.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spans="1:35" ht="12.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spans="1:35" ht="12.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spans="1:35" ht="12.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spans="1:35" ht="12.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spans="1:35" ht="12.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spans="1:35" ht="12.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spans="1:35" ht="12.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spans="1:35" ht="12.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spans="1:35" ht="12.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spans="1:35" ht="12.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spans="1:35" ht="12.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spans="1:35" ht="12.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spans="1:35" ht="12.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spans="1:35" ht="12.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spans="1:35" ht="12.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spans="1:35" ht="12.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spans="1:35" ht="12.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spans="1:35" ht="12.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spans="1:35" ht="12.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spans="1:35" ht="12.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spans="1:35" ht="12.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spans="1:35" ht="12.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spans="1:35" ht="12.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spans="1:35" ht="12.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spans="1:35" ht="12.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spans="1:35" ht="12.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spans="1:35" ht="12.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spans="1:35" ht="12.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spans="1:35" ht="12.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spans="1:35" ht="12.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spans="1:35" ht="12.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spans="1:35" ht="12.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spans="1:35" ht="12.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spans="1:35" ht="12.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spans="1:35" ht="12.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spans="1:35" ht="12.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spans="1:35" ht="12.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spans="1:35" ht="12.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spans="1:35" ht="12.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spans="1:35" ht="12.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spans="1:35" ht="12.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spans="1:35" ht="12.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spans="1:35" ht="12.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spans="1:35" ht="12.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spans="1:35" ht="12.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spans="1:35" ht="12.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spans="1:35" ht="12.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spans="1:35" ht="12.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spans="1:35" ht="12.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spans="1:35" ht="12.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spans="1:35" ht="12.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spans="1:35" ht="12.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spans="1:35" ht="12.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spans="1:35" ht="12.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spans="1:35" ht="12.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spans="1:35" ht="12.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spans="1:35" ht="12.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spans="1:35" ht="12.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spans="1:35" ht="12.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spans="1:35" ht="12.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spans="1:35" ht="12.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spans="1:35" ht="12.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spans="1:35" ht="12.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spans="1:35" ht="12.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spans="1:35" ht="12.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spans="1:35" ht="12.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spans="1:35" ht="12.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spans="1:35" ht="12.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spans="1:35" ht="12.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spans="1:35" ht="12.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spans="1:35" ht="12.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spans="1:35" ht="12.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spans="1:35" ht="12.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spans="1:35" ht="12.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spans="1:35" ht="12.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spans="1:35" ht="12.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spans="1:35" ht="12.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spans="1:35" ht="12.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spans="1:35" ht="12.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spans="1:35" ht="12.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spans="1:35" ht="12.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spans="1:35" ht="12.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spans="1:35" ht="12.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spans="1:35" ht="12.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spans="1:35" ht="12.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spans="1:35" ht="12.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spans="1:35" ht="12.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spans="1:35" ht="12.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spans="1:35" ht="12.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spans="1:35" ht="12.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spans="1:35" ht="12.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spans="1:35" ht="12.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spans="1:35" ht="12.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spans="1:35" ht="12.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spans="1:35" ht="12.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spans="1:35" ht="12.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spans="1:35" ht="12.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spans="1:35" ht="12.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spans="1:35" ht="12.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spans="1:35" ht="12.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spans="1:35" ht="12.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spans="1:35" ht="12.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spans="1:35" ht="12.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spans="1:35" ht="12.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spans="1:35" ht="12.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spans="1:35" ht="12.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spans="1:35" ht="12.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spans="1:35" ht="12.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spans="1:35" ht="12.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spans="1:35" ht="12.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spans="1:35" ht="12.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spans="1:35" ht="12.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spans="1:35" ht="12.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spans="1:35" ht="12.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spans="1:35" ht="12.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spans="1:35" ht="12.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spans="1:35" ht="12.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spans="1:35" ht="12.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spans="1:35" ht="12.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spans="1:35" ht="12.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spans="1:35" ht="12.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spans="1:35" ht="12.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spans="1:35" ht="12.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spans="1:35" ht="12.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spans="1:35" ht="12.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spans="1:35" ht="12.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spans="1:35" ht="12.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spans="1:35" ht="12.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spans="1:35" ht="12.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spans="1:35" ht="12.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spans="1:35" ht="12.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spans="1:35" ht="12.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spans="1:35" ht="12.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spans="1:35" ht="12.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spans="1:35" ht="12.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spans="1:35" ht="12.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spans="1:35" ht="12.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spans="1:35" ht="12.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spans="1:35" ht="12.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spans="1:35" ht="12.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spans="1:35" ht="12.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spans="1:35" ht="12.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spans="1:35" ht="12.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spans="1:35" ht="12.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spans="1:35" ht="12.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spans="1:35" ht="12.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spans="1:35" ht="12.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spans="1:35" ht="12.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spans="1:35" ht="12.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spans="1:35" ht="12.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spans="1:35" ht="12.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spans="1:35" ht="12.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spans="1:35" ht="12.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spans="1:35" ht="12.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spans="1:35" ht="12.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spans="1:35" ht="12.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spans="1:35" ht="12.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spans="1:35" ht="12.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spans="1:35" ht="12.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spans="1:35" ht="12.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spans="1:35" ht="12.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spans="1:35" ht="12.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spans="1:35" ht="12.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spans="1:35" ht="12.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spans="1:35" ht="12.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spans="1:35" ht="12.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spans="1:35" ht="12.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spans="1:35" ht="12.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spans="1:35" ht="12.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spans="1:35" ht="12.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spans="1:35" ht="12.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spans="1:35" ht="12.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spans="1:35" ht="12.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spans="1:35" ht="12.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spans="1:35" ht="12.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spans="1:35" ht="12.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spans="1:35" ht="12.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spans="1:35" ht="12.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spans="1:35" ht="12.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spans="1:35" ht="12.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spans="1:35" ht="12.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spans="1:35" ht="12.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spans="1:35" ht="12.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spans="1:35" ht="12.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spans="1:35" ht="12.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spans="1:35" ht="12.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spans="1:35" ht="12.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spans="1:35" ht="12.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spans="1:35" ht="12.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spans="1:35" ht="12.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spans="1:35" ht="12.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spans="1:35" ht="12.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spans="1:35" ht="12.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spans="1:35" ht="12.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spans="1:35" ht="12.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spans="1:35" ht="12.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spans="1:35" ht="12.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spans="1:35" ht="12.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spans="1:35" ht="12.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spans="1:35" ht="12.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spans="1:35" ht="12.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spans="1:35" ht="12.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spans="1:35" ht="12.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spans="1:35" ht="12.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spans="1:35" ht="12.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spans="1:35" ht="12.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spans="1:35" ht="12.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spans="1:35" ht="12.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spans="1:35" ht="12.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spans="1:35" ht="12.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spans="1:35" ht="12.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spans="1:35" ht="12.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spans="1:35" ht="12.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spans="1:35" ht="12.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spans="1:35" ht="12.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spans="1:35" ht="12.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spans="1:35" ht="12.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spans="1:35" ht="12.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spans="1:35" ht="12.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spans="1:35" ht="12.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spans="1:35" ht="12.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spans="1:35" ht="12.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spans="1:35" ht="12.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spans="1:35" ht="12.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spans="1:35" ht="12.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spans="1:35" ht="12.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spans="1:35" ht="12.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spans="1:35" ht="12.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spans="1:35" ht="12.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spans="1:35" ht="12.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spans="1:35" ht="12.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spans="1:35" ht="12.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spans="1:35" ht="12.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spans="1:35" ht="12.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spans="1:35" ht="12.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spans="1:35" ht="12.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spans="1:35" ht="12.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spans="1:35" ht="12.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spans="1:35" ht="12.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spans="1:35" ht="12.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spans="1:35" ht="12.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spans="1:35" ht="12.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spans="1:35" ht="12.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spans="1:35" ht="12.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spans="1:35" ht="12.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spans="1:35" ht="12.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spans="1:35" ht="12.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spans="1:35" ht="12.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spans="1:35" ht="12.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spans="1:35" ht="12.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spans="1:35" ht="12.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spans="1:35" ht="12.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spans="1:35" ht="12.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spans="1:35" ht="12.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spans="1:35" ht="12.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spans="1:35" ht="12.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spans="1:35" ht="12.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spans="1:35" ht="12.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spans="1:35" ht="12.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spans="1:35" ht="12.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spans="1:35" ht="12.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spans="1:35" ht="12.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spans="1:35" ht="12.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spans="1:35" ht="12.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spans="1:35" ht="12.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spans="1:35" ht="12.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spans="1:35" ht="12.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spans="1:35" ht="12.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spans="1:35" ht="12.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spans="1:35" ht="12.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spans="1:35" ht="12.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spans="1:35" ht="12.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spans="1:35" ht="12.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spans="1:35" ht="12.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spans="1:35" ht="12.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spans="1:35" ht="12.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spans="1:35" ht="12.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spans="1:35" ht="12.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spans="1:35" ht="12.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spans="1:35" ht="12.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spans="1:35" ht="12.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spans="1:35" ht="12.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spans="1:35" ht="12.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spans="1:35" ht="12.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spans="1:35" ht="12.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spans="1:35" ht="12.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spans="1:35" ht="12.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spans="1:35" ht="12.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spans="1:35" ht="12.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spans="1:35" ht="12.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spans="1:35" ht="12.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spans="1:35" ht="12.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spans="1:35" ht="12.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spans="1:35" ht="12.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spans="1:35" ht="12.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spans="1:35" ht="12.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spans="1:35" ht="12.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spans="1:35" ht="12.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spans="1:35" ht="12.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spans="1:35" ht="12.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spans="1:35" ht="12.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spans="1:35" ht="12.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spans="1:35" ht="12.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spans="1:35" ht="12.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spans="1:35" ht="12.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spans="1:35" ht="12.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spans="1:35" ht="12.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spans="1:35" ht="12.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spans="1:35" ht="12.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spans="1:35" ht="12.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spans="1:35" ht="12.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spans="1:35" ht="12.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spans="1:35" ht="12.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spans="1:35" ht="12.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spans="1:35" ht="12.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spans="1:35" ht="12.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spans="1:35" ht="12.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spans="1:35" ht="12.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spans="1:35" ht="12.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spans="1:35" ht="12.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spans="1:35" ht="12.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spans="1:35" ht="12.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spans="1:35" ht="12.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spans="1:35" ht="12.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spans="1:35" ht="12.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spans="1:35" ht="12.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spans="1:35" ht="12.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spans="1:35" ht="12.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spans="1:35" ht="12.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spans="1:35" ht="12.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spans="1:35" ht="12.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spans="1:35" ht="12.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spans="1:35" ht="12.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spans="1:35" ht="12.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spans="1:35" ht="12.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spans="1:35" ht="12.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spans="1:35" ht="12.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spans="1:35" ht="12.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spans="1:35" ht="12.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spans="1:35" ht="12.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spans="1:35" ht="12.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spans="1:35" ht="12.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spans="1:35" ht="12.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spans="1:35" ht="12.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spans="1:35" ht="12.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spans="1:35" ht="12.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spans="1:35" ht="12.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spans="1:35" ht="12.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spans="1:35" ht="12.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spans="1:35" ht="12.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spans="1:35" ht="12.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spans="1:35" ht="12.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spans="1:35" ht="12.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spans="1:35" ht="12.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spans="1:35" ht="12.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spans="1:35" ht="12.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spans="1:35" ht="12.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spans="1:35" ht="12.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spans="1:35" ht="12.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spans="1:35" ht="12.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spans="1:35" ht="12.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spans="1:35" ht="12.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spans="1:35" ht="12.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spans="1:35" ht="12.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spans="1:35" ht="12.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spans="1:35" ht="12.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spans="1:35" ht="12.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spans="1:35" ht="12.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spans="1:35" ht="12.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spans="1:35" ht="12.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spans="1:35" ht="12.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spans="1:35" ht="12.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spans="1:35" ht="12.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spans="1:35" ht="12.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spans="1:35" ht="12.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spans="1:35" ht="12.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spans="1:35" ht="12.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spans="1:35" ht="12.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spans="1:35" ht="12.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spans="1:35" ht="12.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spans="1:35" ht="12.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spans="1:35" ht="12.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spans="1:35" ht="12.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spans="1:35" ht="12.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spans="1:35" ht="12.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spans="1:35" ht="12.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spans="1:35" ht="12.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spans="1:35" ht="12.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spans="1:35" ht="12.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spans="1:35" ht="12.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spans="1:35" ht="12.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spans="1:35" ht="12.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spans="1:35" ht="12.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spans="1:35" ht="12.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spans="1:35" ht="12.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spans="1:35" ht="12.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spans="1:35" ht="12.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spans="1:35" ht="12.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spans="1:35" ht="12.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spans="1:35" ht="12.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spans="1:35" ht="12.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spans="1:35" ht="12.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spans="1:35" ht="12.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spans="1:35" ht="12.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spans="1:35" ht="12.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spans="1:35" ht="12.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spans="1:35" ht="12.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spans="1:35" ht="12.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spans="1:35" ht="12.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spans="1:35" ht="12.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spans="1:35" ht="12.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spans="1:35" ht="12.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spans="1:35" ht="12.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spans="1:35" ht="12.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spans="1:35" ht="12.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spans="1:35" ht="12.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spans="1:35" ht="12.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spans="1:35" ht="12.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spans="1:35" ht="12.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spans="1:35" ht="12.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spans="1:35" ht="12.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spans="1:35" ht="12.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spans="1:35" ht="12.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spans="1:35" ht="12.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spans="1:35" ht="12.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spans="1:35" ht="12.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spans="1:35" ht="12.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spans="1:35" ht="12.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spans="1:35" ht="12.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spans="1:35" ht="12.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spans="1:35" ht="12.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spans="1:35" ht="12.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spans="1:35" ht="12.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spans="1:35" ht="12.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spans="1:35" ht="12.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spans="1:35" ht="12.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spans="1:35" ht="12.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spans="1:35" ht="12.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spans="1:35" ht="12.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spans="1:35" ht="12.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spans="1:35" ht="12.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spans="1:35" ht="12.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spans="1:35" ht="12.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spans="1:35" ht="12.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spans="1:35" ht="12.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spans="1:35" ht="12.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spans="1:35" ht="12.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spans="1:35" ht="12.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spans="1:35" ht="12.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spans="1:35" ht="12.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spans="1:35" ht="12.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spans="1:35" ht="12.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spans="1:35" ht="12.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spans="1:35" ht="12.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spans="1:35" ht="12.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spans="1:35" ht="12.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spans="1:35" ht="12.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spans="1:35" ht="12.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spans="1:35" ht="12.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spans="1:35" ht="12.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spans="1:35" ht="12.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spans="1:35" ht="12.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spans="1:35" ht="12.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spans="1:35" ht="12.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spans="1:35" ht="12.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spans="1:35" ht="12.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spans="1:35" ht="12.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spans="1:35" ht="12.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spans="1:35" ht="12.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spans="1:35" ht="12.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spans="1:35" ht="12.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spans="1:35" ht="12.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spans="1:35" ht="12.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spans="1:35" ht="12.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spans="1:35" ht="12.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spans="1:35" ht="12.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spans="1:35" ht="12.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spans="1:35" ht="12.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spans="1:35" ht="12.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spans="1:35" ht="12.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spans="1:35" ht="12.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spans="1:35" ht="12.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spans="1:35" ht="12.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spans="1:35" ht="12.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spans="1:35" ht="12.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spans="1:35" ht="12.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spans="1:35" ht="12.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spans="1:35" ht="12.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spans="1:35" ht="12.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spans="1:35" ht="12.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spans="1:35" ht="12.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spans="1:35" ht="12.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spans="1:35" ht="12.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spans="1:35" ht="12.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spans="1:35" ht="12.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spans="1:35" ht="12.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spans="1:35" ht="12.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spans="1:35" ht="12.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spans="1:35" ht="12.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spans="1:35" ht="12.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spans="1:35" ht="12.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spans="1:35" ht="12.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spans="1:35" ht="12.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spans="1:35" ht="12.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spans="1:35" ht="12.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spans="1:35" ht="12.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spans="1:35" ht="12.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spans="1:35" ht="12.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spans="1:35" ht="12.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spans="1:35" ht="12.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spans="1:35" ht="12.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spans="1:35" ht="12.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spans="1:35" ht="12.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spans="1:35" ht="12.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spans="1:35" ht="12.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spans="1:35" ht="12.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spans="1:35" ht="12.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spans="1:35" ht="12.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spans="1:35" ht="12.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spans="1:35" ht="12.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spans="1:35" ht="12.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spans="1:35" ht="12.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spans="1:35" ht="12.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spans="1:35" ht="12.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spans="1:35" ht="12.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spans="1:35" ht="12.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spans="1:35" ht="12.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spans="1:35" ht="12.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spans="1:35" ht="12.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spans="1:35" ht="12.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spans="1:35" ht="12.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spans="1:35" ht="12.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spans="1:35" ht="12.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spans="1:35" ht="12.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spans="1:35" ht="12.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spans="1:35" ht="12.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spans="1:35" ht="12.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spans="1:35" ht="12.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spans="1:35" ht="12.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spans="1:35" ht="12.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spans="1:35" ht="12.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spans="1:35" ht="12.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spans="1:35" ht="12.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spans="1:35" ht="12.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spans="1:35" ht="12.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spans="1:35" ht="12.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spans="1:35" ht="12.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spans="1:35" ht="12.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spans="1:35" ht="12.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spans="1:35" ht="12.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spans="1:35" ht="12.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spans="1:35" ht="12.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spans="1:35" ht="12.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spans="1:35" ht="12.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spans="1:35" ht="12.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spans="1:35" ht="12.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spans="1:35" ht="12.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spans="1:35" ht="12.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spans="1:35" ht="12.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spans="1:35" ht="12.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spans="1:35" ht="12.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spans="1:35" ht="12.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spans="1:35" ht="12.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spans="1:35" ht="12.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spans="1:35" ht="12.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spans="1:35" ht="12.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spans="1:35" ht="12.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spans="1:35" ht="12.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spans="1:35" ht="12.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spans="1:35" ht="12.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spans="1:35" ht="12.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spans="1:35" ht="12.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spans="1:35" ht="12.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spans="1:35" ht="12.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spans="1:35" ht="12.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spans="1:35" ht="12.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spans="1:35" ht="12.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spans="1:35" ht="12.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spans="1:35" ht="12.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spans="1:35" ht="12.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spans="1:35" ht="12.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spans="1:35" ht="12.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spans="1:35" ht="12.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spans="1:35" ht="12.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spans="1:35" ht="12.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spans="1:35" ht="12.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spans="1:35" ht="12.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spans="1:35" ht="12.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spans="1:35" ht="12.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spans="1:35" ht="12.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spans="1:35" ht="12.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spans="1:35" ht="12.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spans="1:35" ht="12.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spans="1:35" ht="12.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spans="1:35" ht="12.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spans="1:35" ht="12.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spans="1:35" ht="12.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spans="1:35" ht="12.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spans="1:35" ht="12.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spans="1:35" ht="12.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spans="1:35" ht="12.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spans="1:35" ht="12.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spans="1:35" ht="12.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spans="1:35" ht="12.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spans="1:35" ht="12.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spans="1:35" ht="12.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spans="1:35" ht="12.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spans="1:35" ht="12.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spans="1:35" ht="12.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spans="1:35" ht="12.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spans="1:35" ht="12.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spans="1:35" ht="12.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spans="1:35" ht="12.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spans="1:35" ht="12.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spans="1:35" ht="12.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spans="1:35" ht="12.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spans="1:35" ht="12.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spans="1:35" ht="12.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spans="1:35" ht="12.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spans="1:35" ht="12.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spans="1:35" ht="12.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spans="1:35" ht="12.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spans="1:35" ht="12.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spans="1:35" ht="12.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spans="1:35" ht="12.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spans="1:35" ht="12.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spans="1:35" ht="12.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spans="1:35" ht="12.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spans="1:35" ht="12.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spans="1:35" ht="12.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spans="1:35" ht="12.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spans="1:35" ht="12.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spans="1:35" ht="12.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spans="1:35" ht="12.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spans="1:35" ht="12.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spans="1:35" ht="12.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spans="1:35" ht="12.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spans="1:35" ht="12.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spans="1:35" ht="12.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spans="1:35" ht="12.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pageMargins left="0.7" right="0.7" top="0.75" bottom="0.75" header="0" footer="0"/>
  <pageSetup orientation="landscape" useFirstPageNumber="1" horizontalDpi="4294967295" verticalDpi="429496729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N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s>
  <sheetData>
    <row r="1" spans="1:66" ht="13.5" customHeight="1">
      <c r="A1" s="7"/>
      <c r="B1" s="7"/>
      <c r="C1" s="478"/>
      <c r="D1" s="8" t="str">
        <f>Company_Name&amp;" - Comparable Company Analysis"</f>
        <v>NETFLIX INC - Comparable Company Analysis</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row>
    <row r="2" spans="1:66" ht="13.5" customHeight="1">
      <c r="A2" s="4"/>
      <c r="B2" s="4"/>
      <c r="C2" s="479"/>
      <c r="D2" s="10"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ht="13.5" customHeight="1">
      <c r="A3" s="5"/>
      <c r="B3" s="4"/>
      <c r="C3" s="40"/>
      <c r="D3" s="12"/>
      <c r="E3" s="12"/>
      <c r="F3" s="12"/>
      <c r="G3" s="12"/>
      <c r="H3" s="12"/>
      <c r="I3" s="12"/>
      <c r="J3" s="12"/>
      <c r="K3" s="12"/>
      <c r="L3" s="12"/>
      <c r="M3" s="12"/>
      <c r="N3" s="12"/>
      <c r="O3" s="12"/>
      <c r="P3" s="12"/>
      <c r="Q3" s="12"/>
      <c r="R3" s="12"/>
      <c r="S3" s="12"/>
      <c r="T3" s="12"/>
      <c r="U3" s="12"/>
      <c r="V3" s="12"/>
      <c r="W3" s="12"/>
      <c r="X3" s="4"/>
      <c r="Y3" s="40"/>
      <c r="Z3" s="12"/>
      <c r="AA3" s="12"/>
      <c r="AB3" s="12"/>
      <c r="AC3" s="12"/>
      <c r="AD3" s="12"/>
      <c r="AE3" s="12"/>
      <c r="AF3" s="12"/>
      <c r="AG3" s="12"/>
      <c r="AH3" s="12"/>
      <c r="AI3" s="12"/>
      <c r="AJ3" s="12"/>
      <c r="AK3" s="12"/>
      <c r="AL3" s="12"/>
      <c r="AM3" s="12"/>
      <c r="AN3" s="12"/>
      <c r="AO3" s="12"/>
      <c r="AP3" s="12"/>
      <c r="AQ3" s="12"/>
      <c r="AR3" s="12"/>
      <c r="AS3" s="4"/>
      <c r="AT3" s="4"/>
      <c r="AU3" s="4"/>
      <c r="AV3" s="4"/>
      <c r="AW3" s="4"/>
      <c r="AX3" s="4"/>
      <c r="AY3" s="4"/>
      <c r="AZ3" s="4"/>
      <c r="BA3" s="4"/>
      <c r="BB3" s="4"/>
      <c r="BC3" s="4"/>
      <c r="BD3" s="4"/>
      <c r="BE3" s="4"/>
      <c r="BF3" s="4"/>
      <c r="BG3" s="4"/>
      <c r="BH3" s="4"/>
      <c r="BI3" s="4"/>
      <c r="BJ3" s="4"/>
      <c r="BK3" s="4"/>
      <c r="BL3" s="4"/>
      <c r="BM3" s="4"/>
      <c r="BN3" s="4"/>
    </row>
    <row r="4" spans="1:66" ht="13.5" customHeight="1">
      <c r="A4" s="4"/>
      <c r="B4" s="4"/>
      <c r="C4" s="40"/>
      <c r="D4" s="874" t="str">
        <f>$D$86</f>
        <v>Primary Peer Group</v>
      </c>
      <c r="E4" s="858"/>
      <c r="F4" s="858"/>
      <c r="G4" s="858"/>
      <c r="H4" s="858"/>
      <c r="I4" s="858"/>
      <c r="J4" s="858"/>
      <c r="K4" s="858"/>
      <c r="L4" s="858"/>
      <c r="M4" s="858"/>
      <c r="N4" s="858"/>
      <c r="O4" s="858"/>
      <c r="P4" s="858"/>
      <c r="Q4" s="858"/>
      <c r="R4" s="858"/>
      <c r="S4" s="858"/>
      <c r="T4" s="858"/>
      <c r="U4" s="858"/>
      <c r="V4" s="854"/>
      <c r="W4" s="12"/>
      <c r="X4" s="4"/>
      <c r="Y4" s="40"/>
      <c r="Z4" s="912" t="str">
        <f>$G$86</f>
        <v>Defense Peer Group</v>
      </c>
      <c r="AA4" s="858"/>
      <c r="AB4" s="858"/>
      <c r="AC4" s="858"/>
      <c r="AD4" s="858"/>
      <c r="AE4" s="858"/>
      <c r="AF4" s="858"/>
      <c r="AG4" s="858"/>
      <c r="AH4" s="858"/>
      <c r="AI4" s="858"/>
      <c r="AJ4" s="858"/>
      <c r="AK4" s="858"/>
      <c r="AL4" s="858"/>
      <c r="AM4" s="858"/>
      <c r="AN4" s="858"/>
      <c r="AO4" s="858"/>
      <c r="AP4" s="858"/>
      <c r="AQ4" s="858"/>
      <c r="AR4" s="854"/>
      <c r="AS4" s="4"/>
      <c r="AT4" s="4"/>
      <c r="AU4" s="40"/>
      <c r="AV4" s="912" t="str">
        <f>$L$86</f>
        <v>Cap. Goods Peer Group</v>
      </c>
      <c r="AW4" s="858"/>
      <c r="AX4" s="858"/>
      <c r="AY4" s="858"/>
      <c r="AZ4" s="858"/>
      <c r="BA4" s="858"/>
      <c r="BB4" s="858"/>
      <c r="BC4" s="858"/>
      <c r="BD4" s="858"/>
      <c r="BE4" s="858"/>
      <c r="BF4" s="858"/>
      <c r="BG4" s="858"/>
      <c r="BH4" s="858"/>
      <c r="BI4" s="858"/>
      <c r="BJ4" s="858"/>
      <c r="BK4" s="858"/>
      <c r="BL4" s="858"/>
      <c r="BM4" s="858"/>
      <c r="BN4" s="854"/>
    </row>
    <row r="5" spans="1:66" ht="4.5" customHeight="1">
      <c r="A5" s="4"/>
      <c r="B5" s="4"/>
      <c r="C5" s="40"/>
      <c r="D5" s="149"/>
      <c r="E5" s="480"/>
      <c r="F5" s="480"/>
      <c r="G5" s="480"/>
      <c r="H5" s="480"/>
      <c r="I5" s="480"/>
      <c r="J5" s="480"/>
      <c r="K5" s="480"/>
      <c r="L5" s="149"/>
      <c r="M5" s="480"/>
      <c r="N5" s="480"/>
      <c r="O5" s="480"/>
      <c r="P5" s="149"/>
      <c r="Q5" s="480"/>
      <c r="R5" s="480"/>
      <c r="S5" s="480"/>
      <c r="T5" s="149"/>
      <c r="U5" s="480"/>
      <c r="V5" s="480"/>
      <c r="W5" s="12"/>
      <c r="X5" s="4"/>
      <c r="Y5" s="40"/>
      <c r="Z5" s="481"/>
      <c r="AA5" s="482"/>
      <c r="AB5" s="482"/>
      <c r="AC5" s="482"/>
      <c r="AD5" s="482"/>
      <c r="AE5" s="482"/>
      <c r="AF5" s="482"/>
      <c r="AG5" s="482"/>
      <c r="AH5" s="481"/>
      <c r="AI5" s="482"/>
      <c r="AJ5" s="482"/>
      <c r="AK5" s="482"/>
      <c r="AL5" s="481"/>
      <c r="AM5" s="482"/>
      <c r="AN5" s="482"/>
      <c r="AO5" s="482"/>
      <c r="AP5" s="481"/>
      <c r="AQ5" s="482"/>
      <c r="AR5" s="482"/>
      <c r="AS5" s="4"/>
      <c r="AT5" s="4"/>
      <c r="AU5" s="40"/>
      <c r="AV5" s="481"/>
      <c r="AW5" s="482"/>
      <c r="AX5" s="482"/>
      <c r="AY5" s="482"/>
      <c r="AZ5" s="482"/>
      <c r="BA5" s="482"/>
      <c r="BB5" s="482"/>
      <c r="BC5" s="482"/>
      <c r="BD5" s="481"/>
      <c r="BE5" s="482"/>
      <c r="BF5" s="482"/>
      <c r="BG5" s="482"/>
      <c r="BH5" s="481"/>
      <c r="BI5" s="482"/>
      <c r="BJ5" s="482"/>
      <c r="BK5" s="482"/>
      <c r="BL5" s="481"/>
      <c r="BM5" s="482"/>
      <c r="BN5" s="482"/>
    </row>
    <row r="6" spans="1:66" ht="13.5" customHeight="1">
      <c r="A6" s="4"/>
      <c r="B6" s="4"/>
      <c r="C6" s="40"/>
      <c r="D6" s="12"/>
      <c r="E6" s="12"/>
      <c r="F6" s="12"/>
      <c r="G6" s="12"/>
      <c r="H6" s="12"/>
      <c r="I6" s="12"/>
      <c r="J6" s="12"/>
      <c r="K6" s="12"/>
      <c r="L6" s="12"/>
      <c r="M6" s="12"/>
      <c r="N6" s="12"/>
      <c r="O6" s="12"/>
      <c r="P6" s="12"/>
      <c r="Q6" s="913" t="s">
        <v>490</v>
      </c>
      <c r="R6" s="861"/>
      <c r="S6" s="861"/>
      <c r="T6" s="861"/>
      <c r="U6" s="12"/>
      <c r="V6" s="12"/>
      <c r="W6" s="12"/>
      <c r="X6" s="4"/>
      <c r="Y6" s="40"/>
      <c r="Z6" s="12"/>
      <c r="AA6" s="12"/>
      <c r="AB6" s="12"/>
      <c r="AC6" s="12"/>
      <c r="AD6" s="12"/>
      <c r="AE6" s="12"/>
      <c r="AF6" s="12"/>
      <c r="AG6" s="12"/>
      <c r="AH6" s="12"/>
      <c r="AI6" s="12"/>
      <c r="AJ6" s="12"/>
      <c r="AK6" s="12"/>
      <c r="AL6" s="12"/>
      <c r="AM6" s="913" t="s">
        <v>490</v>
      </c>
      <c r="AN6" s="861"/>
      <c r="AO6" s="861"/>
      <c r="AP6" s="861"/>
      <c r="AQ6" s="12"/>
      <c r="AR6" s="12"/>
      <c r="AS6" s="4"/>
      <c r="AT6" s="4"/>
      <c r="AU6" s="40"/>
      <c r="AV6" s="12"/>
      <c r="AW6" s="12"/>
      <c r="AX6" s="12"/>
      <c r="AY6" s="12"/>
      <c r="AZ6" s="12"/>
      <c r="BA6" s="12"/>
      <c r="BB6" s="12"/>
      <c r="BC6" s="12"/>
      <c r="BD6" s="12"/>
      <c r="BE6" s="12"/>
      <c r="BF6" s="12"/>
      <c r="BG6" s="12"/>
      <c r="BH6" s="12"/>
      <c r="BI6" s="913" t="s">
        <v>490</v>
      </c>
      <c r="BJ6" s="861"/>
      <c r="BK6" s="861"/>
      <c r="BL6" s="861"/>
      <c r="BM6" s="12"/>
      <c r="BN6" s="12"/>
    </row>
    <row r="7" spans="1:66" ht="13.5" customHeight="1">
      <c r="A7" s="4"/>
      <c r="B7" s="4"/>
      <c r="C7" s="40"/>
      <c r="D7" s="69"/>
      <c r="E7" s="69"/>
      <c r="F7" s="69"/>
      <c r="G7" s="69" t="s">
        <v>491</v>
      </c>
      <c r="H7" s="69" t="s">
        <v>492</v>
      </c>
      <c r="I7" s="913" t="s">
        <v>493</v>
      </c>
      <c r="J7" s="861"/>
      <c r="K7" s="913" t="s">
        <v>397</v>
      </c>
      <c r="L7" s="861"/>
      <c r="M7" s="913" t="s">
        <v>113</v>
      </c>
      <c r="N7" s="861"/>
      <c r="O7" s="913" t="s">
        <v>494</v>
      </c>
      <c r="P7" s="861"/>
      <c r="Q7" s="913" t="s">
        <v>292</v>
      </c>
      <c r="R7" s="861"/>
      <c r="S7" s="913" t="s">
        <v>493</v>
      </c>
      <c r="T7" s="861"/>
      <c r="U7" s="913" t="s">
        <v>495</v>
      </c>
      <c r="V7" s="861"/>
      <c r="W7" s="12"/>
      <c r="X7" s="4"/>
      <c r="Y7" s="40"/>
      <c r="Z7" s="69"/>
      <c r="AA7" s="69"/>
      <c r="AB7" s="69"/>
      <c r="AC7" s="69" t="s">
        <v>491</v>
      </c>
      <c r="AD7" s="69" t="s">
        <v>492</v>
      </c>
      <c r="AE7" s="913" t="s">
        <v>493</v>
      </c>
      <c r="AF7" s="861"/>
      <c r="AG7" s="913" t="s">
        <v>397</v>
      </c>
      <c r="AH7" s="861"/>
      <c r="AI7" s="913" t="s">
        <v>113</v>
      </c>
      <c r="AJ7" s="861"/>
      <c r="AK7" s="913" t="s">
        <v>494</v>
      </c>
      <c r="AL7" s="861"/>
      <c r="AM7" s="913" t="s">
        <v>292</v>
      </c>
      <c r="AN7" s="861"/>
      <c r="AO7" s="913" t="s">
        <v>493</v>
      </c>
      <c r="AP7" s="861"/>
      <c r="AQ7" s="913" t="s">
        <v>495</v>
      </c>
      <c r="AR7" s="861"/>
      <c r="AS7" s="4"/>
      <c r="AT7" s="4"/>
      <c r="AU7" s="40"/>
      <c r="AV7" s="69"/>
      <c r="AW7" s="69"/>
      <c r="AX7" s="69"/>
      <c r="AY7" s="69" t="s">
        <v>491</v>
      </c>
      <c r="AZ7" s="69" t="s">
        <v>492</v>
      </c>
      <c r="BA7" s="913" t="s">
        <v>493</v>
      </c>
      <c r="BB7" s="861"/>
      <c r="BC7" s="913" t="s">
        <v>397</v>
      </c>
      <c r="BD7" s="861"/>
      <c r="BE7" s="913" t="s">
        <v>113</v>
      </c>
      <c r="BF7" s="861"/>
      <c r="BG7" s="913" t="s">
        <v>494</v>
      </c>
      <c r="BH7" s="861"/>
      <c r="BI7" s="913" t="s">
        <v>292</v>
      </c>
      <c r="BJ7" s="861"/>
      <c r="BK7" s="913" t="s">
        <v>493</v>
      </c>
      <c r="BL7" s="861"/>
      <c r="BM7" s="913" t="s">
        <v>495</v>
      </c>
      <c r="BN7" s="861"/>
    </row>
    <row r="8" spans="1:66" ht="13.5" customHeight="1">
      <c r="A8" s="4"/>
      <c r="B8" s="4"/>
      <c r="C8" s="40"/>
      <c r="D8" s="108"/>
      <c r="E8" s="69"/>
      <c r="F8" s="483" t="s">
        <v>25</v>
      </c>
      <c r="G8" s="483" t="s">
        <v>496</v>
      </c>
      <c r="H8" s="483" t="s">
        <v>66</v>
      </c>
      <c r="I8" s="483" t="s">
        <v>497</v>
      </c>
      <c r="J8" s="484">
        <f>Next_FYE</f>
        <v>46387</v>
      </c>
      <c r="K8" s="483" t="s">
        <v>497</v>
      </c>
      <c r="L8" s="484">
        <f>Next_FYE</f>
        <v>46387</v>
      </c>
      <c r="M8" s="483" t="s">
        <v>497</v>
      </c>
      <c r="N8" s="484">
        <f>Next_FYE</f>
        <v>46387</v>
      </c>
      <c r="O8" s="483" t="s">
        <v>497</v>
      </c>
      <c r="P8" s="484">
        <f>Next_FYE</f>
        <v>46387</v>
      </c>
      <c r="Q8" s="483" t="s">
        <v>497</v>
      </c>
      <c r="R8" s="484">
        <f>Next_FYE</f>
        <v>46387</v>
      </c>
      <c r="S8" s="483" t="s">
        <v>497</v>
      </c>
      <c r="T8" s="484">
        <f>Next_FYE</f>
        <v>46387</v>
      </c>
      <c r="U8" s="483" t="s">
        <v>497</v>
      </c>
      <c r="V8" s="484">
        <f>Next_FYE</f>
        <v>46387</v>
      </c>
      <c r="W8" s="12"/>
      <c r="X8" s="4"/>
      <c r="Y8" s="40"/>
      <c r="Z8" s="108"/>
      <c r="AA8" s="69"/>
      <c r="AB8" s="483" t="s">
        <v>25</v>
      </c>
      <c r="AC8" s="483" t="s">
        <v>496</v>
      </c>
      <c r="AD8" s="483" t="s">
        <v>66</v>
      </c>
      <c r="AE8" s="483" t="s">
        <v>497</v>
      </c>
      <c r="AF8" s="484">
        <f>Next_FYE</f>
        <v>46387</v>
      </c>
      <c r="AG8" s="483" t="str">
        <f>$I$8</f>
        <v>LTM</v>
      </c>
      <c r="AH8" s="484">
        <f>$J$8</f>
        <v>46387</v>
      </c>
      <c r="AI8" s="483" t="str">
        <f>$I$8</f>
        <v>LTM</v>
      </c>
      <c r="AJ8" s="484">
        <f>$J$8</f>
        <v>46387</v>
      </c>
      <c r="AK8" s="483" t="str">
        <f>$I$8</f>
        <v>LTM</v>
      </c>
      <c r="AL8" s="484">
        <f>$J$8</f>
        <v>46387</v>
      </c>
      <c r="AM8" s="483" t="str">
        <f>$I$8</f>
        <v>LTM</v>
      </c>
      <c r="AN8" s="484">
        <f>$J$8</f>
        <v>46387</v>
      </c>
      <c r="AO8" s="483" t="str">
        <f>$I$8</f>
        <v>LTM</v>
      </c>
      <c r="AP8" s="484">
        <f>$J$8</f>
        <v>46387</v>
      </c>
      <c r="AQ8" s="483" t="str">
        <f>$I$8</f>
        <v>LTM</v>
      </c>
      <c r="AR8" s="484">
        <f>$J$8</f>
        <v>46387</v>
      </c>
      <c r="AS8" s="4"/>
      <c r="AT8" s="4"/>
      <c r="AU8" s="40"/>
      <c r="AV8" s="108"/>
      <c r="AW8" s="69"/>
      <c r="AX8" s="483" t="s">
        <v>25</v>
      </c>
      <c r="AY8" s="483" t="s">
        <v>496</v>
      </c>
      <c r="AZ8" s="483" t="s">
        <v>66</v>
      </c>
      <c r="BA8" s="483" t="s">
        <v>497</v>
      </c>
      <c r="BB8" s="484">
        <f>Next_FYE</f>
        <v>46387</v>
      </c>
      <c r="BC8" s="483" t="str">
        <f>$I$8</f>
        <v>LTM</v>
      </c>
      <c r="BD8" s="484">
        <f>$J$8</f>
        <v>46387</v>
      </c>
      <c r="BE8" s="483" t="str">
        <f>$I$8</f>
        <v>LTM</v>
      </c>
      <c r="BF8" s="484">
        <f>$J$8</f>
        <v>46387</v>
      </c>
      <c r="BG8" s="483" t="str">
        <f>$I$8</f>
        <v>LTM</v>
      </c>
      <c r="BH8" s="484">
        <f>$J$8</f>
        <v>46387</v>
      </c>
      <c r="BI8" s="483" t="str">
        <f>$I$8</f>
        <v>LTM</v>
      </c>
      <c r="BJ8" s="484">
        <f>$J$8</f>
        <v>46387</v>
      </c>
      <c r="BK8" s="483" t="str">
        <f>$I$8</f>
        <v>LTM</v>
      </c>
      <c r="BL8" s="484">
        <f>$J$8</f>
        <v>46387</v>
      </c>
      <c r="BM8" s="483" t="str">
        <f>$I$8</f>
        <v>LTM</v>
      </c>
      <c r="BN8" s="484">
        <f>$J$8</f>
        <v>46387</v>
      </c>
    </row>
    <row r="9" spans="1:66" ht="4.5" customHeight="1">
      <c r="A9" s="4"/>
      <c r="B9" s="4"/>
      <c r="C9" s="40"/>
      <c r="D9" s="69"/>
      <c r="E9" s="69"/>
      <c r="F9" s="69"/>
      <c r="G9" s="69"/>
      <c r="H9" s="69"/>
      <c r="I9" s="485"/>
      <c r="J9" s="69"/>
      <c r="K9" s="69"/>
      <c r="L9" s="69"/>
      <c r="M9" s="69"/>
      <c r="N9" s="69"/>
      <c r="O9" s="69"/>
      <c r="P9" s="69"/>
      <c r="Q9" s="69"/>
      <c r="R9" s="69"/>
      <c r="S9" s="69"/>
      <c r="T9" s="69"/>
      <c r="U9" s="69"/>
      <c r="V9" s="69"/>
      <c r="W9" s="12"/>
      <c r="X9" s="4"/>
      <c r="Y9" s="40"/>
      <c r="Z9" s="69"/>
      <c r="AA9" s="69"/>
      <c r="AB9" s="69"/>
      <c r="AC9" s="69"/>
      <c r="AD9" s="69"/>
      <c r="AE9" s="485"/>
      <c r="AF9" s="69"/>
      <c r="AG9" s="69"/>
      <c r="AH9" s="69"/>
      <c r="AI9" s="69"/>
      <c r="AJ9" s="69"/>
      <c r="AK9" s="69"/>
      <c r="AL9" s="69"/>
      <c r="AM9" s="69"/>
      <c r="AN9" s="69"/>
      <c r="AO9" s="69"/>
      <c r="AP9" s="69"/>
      <c r="AQ9" s="69"/>
      <c r="AR9" s="69"/>
      <c r="AS9" s="4"/>
      <c r="AT9" s="4"/>
      <c r="AU9" s="40"/>
      <c r="AV9" s="69"/>
      <c r="AW9" s="69"/>
      <c r="AX9" s="69"/>
      <c r="AY9" s="69"/>
      <c r="AZ9" s="69"/>
      <c r="BA9" s="485"/>
      <c r="BB9" s="69"/>
      <c r="BC9" s="69"/>
      <c r="BD9" s="69"/>
      <c r="BE9" s="69"/>
      <c r="BF9" s="69"/>
      <c r="BG9" s="69"/>
      <c r="BH9" s="69"/>
      <c r="BI9" s="69"/>
      <c r="BJ9" s="69"/>
      <c r="BK9" s="69"/>
      <c r="BL9" s="69"/>
      <c r="BM9" s="69"/>
      <c r="BN9" s="69"/>
    </row>
    <row r="10" spans="1:66" ht="13.5" customHeight="1">
      <c r="A10" s="4"/>
      <c r="B10" s="4"/>
      <c r="C10" s="40"/>
      <c r="D10" s="14" t="e">
        <f ca="1">D51</f>
        <v>#NAME?</v>
      </c>
      <c r="E10" s="15"/>
      <c r="F10" s="56" t="s">
        <v>498</v>
      </c>
      <c r="G10" s="486">
        <v>142571.89087</v>
      </c>
      <c r="H10" s="486">
        <v>165028.89087</v>
      </c>
      <c r="I10" s="487">
        <v>0.176895</v>
      </c>
      <c r="J10" s="487">
        <v>3.6889443396542321E-2</v>
      </c>
      <c r="K10" s="487">
        <v>0.27598699999999998</v>
      </c>
      <c r="L10" s="487">
        <v>0.46253161290322575</v>
      </c>
      <c r="M10" s="487">
        <v>0.14957700000000002</v>
      </c>
      <c r="N10" s="487">
        <v>0.14175874882069214</v>
      </c>
      <c r="O10" s="487">
        <v>7.409099999999999E-2</v>
      </c>
      <c r="P10" s="487">
        <v>8.5992562956711371E-2</v>
      </c>
      <c r="Q10" s="488">
        <v>10.872540000000001</v>
      </c>
      <c r="R10" s="488">
        <v>12.530955513708699</v>
      </c>
      <c r="S10" s="488">
        <v>1.7303500000000001</v>
      </c>
      <c r="T10" s="488">
        <v>1.7763725751510986</v>
      </c>
      <c r="U10" s="488">
        <v>21.30913</v>
      </c>
      <c r="V10" s="489">
        <v>17.846255042276262</v>
      </c>
      <c r="W10" s="12"/>
      <c r="X10" s="4"/>
      <c r="Y10" s="40"/>
      <c r="Z10" s="14" t="str">
        <f>Z51</f>
        <v>NETFLIX INC</v>
      </c>
      <c r="AA10" s="15"/>
      <c r="AB10" s="56" t="s">
        <v>498</v>
      </c>
      <c r="AC10" s="486">
        <v>6040.9355599999999</v>
      </c>
      <c r="AD10" s="486">
        <v>5561.8385600000001</v>
      </c>
      <c r="AE10" s="490">
        <v>0.19067000000000001</v>
      </c>
      <c r="AF10" s="490">
        <v>3.4378215784057531E-2</v>
      </c>
      <c r="AG10" s="490">
        <v>0.124316</v>
      </c>
      <c r="AH10" s="490">
        <v>-0.13980789754535738</v>
      </c>
      <c r="AI10" s="490">
        <v>0.28053100000000003</v>
      </c>
      <c r="AJ10" s="490">
        <v>0.29106114754641993</v>
      </c>
      <c r="AK10" s="490">
        <v>0.15246799999999999</v>
      </c>
      <c r="AL10" s="490">
        <v>0.20242258666034044</v>
      </c>
      <c r="AM10" s="488">
        <v>0</v>
      </c>
      <c r="AN10" s="488">
        <v>24.372328847561164</v>
      </c>
      <c r="AO10" s="488">
        <v>0</v>
      </c>
      <c r="AP10" s="488">
        <v>7.0938380027498669</v>
      </c>
      <c r="AQ10" s="488">
        <v>0</v>
      </c>
      <c r="AR10" s="489">
        <v>38.06344748498806</v>
      </c>
      <c r="AS10" s="4"/>
      <c r="AT10" s="4"/>
      <c r="AU10" s="40"/>
      <c r="AV10" s="14" t="str">
        <f>Company_Name</f>
        <v>NETFLIX INC</v>
      </c>
      <c r="AW10" s="15"/>
      <c r="AX10" s="56" t="s">
        <v>498</v>
      </c>
      <c r="AY10" s="486">
        <v>6040.9355599999999</v>
      </c>
      <c r="AZ10" s="486">
        <v>5561.8385600000001</v>
      </c>
      <c r="BA10" s="490">
        <v>0.19067000000000001</v>
      </c>
      <c r="BB10" s="490">
        <v>3.4378215784057531E-2</v>
      </c>
      <c r="BC10" s="490">
        <v>0.124316</v>
      </c>
      <c r="BD10" s="490">
        <v>-0.13980789754535738</v>
      </c>
      <c r="BE10" s="490">
        <v>0.28053100000000003</v>
      </c>
      <c r="BF10" s="490">
        <v>0.29106114754641993</v>
      </c>
      <c r="BG10" s="490">
        <v>0.15246799999999999</v>
      </c>
      <c r="BH10" s="490">
        <v>0.20242258666034044</v>
      </c>
      <c r="BI10" s="488">
        <v>0</v>
      </c>
      <c r="BJ10" s="488">
        <v>24.372328847561164</v>
      </c>
      <c r="BK10" s="488">
        <v>0</v>
      </c>
      <c r="BL10" s="488">
        <v>7.0938380027498669</v>
      </c>
      <c r="BM10" s="488">
        <v>0</v>
      </c>
      <c r="BN10" s="489">
        <v>38.06344748498806</v>
      </c>
    </row>
    <row r="11" spans="1:66" ht="13.5" customHeight="1">
      <c r="A11" s="4"/>
      <c r="B11" s="4"/>
      <c r="C11" s="40"/>
      <c r="D11" s="12"/>
      <c r="E11" s="12"/>
      <c r="F11" s="69"/>
      <c r="G11" s="491"/>
      <c r="H11" s="69"/>
      <c r="I11" s="492"/>
      <c r="J11" s="492"/>
      <c r="K11" s="492"/>
      <c r="L11" s="492"/>
      <c r="M11" s="492"/>
      <c r="N11" s="492"/>
      <c r="O11" s="492"/>
      <c r="P11" s="492"/>
      <c r="Q11" s="493"/>
      <c r="R11" s="493"/>
      <c r="S11" s="493"/>
      <c r="T11" s="69"/>
      <c r="U11" s="69"/>
      <c r="V11" s="69"/>
      <c r="W11" s="12"/>
      <c r="X11" s="4"/>
      <c r="Y11" s="40"/>
      <c r="Z11" s="12"/>
      <c r="AA11" s="12"/>
      <c r="AB11" s="69"/>
      <c r="AC11" s="491"/>
      <c r="AD11" s="69"/>
      <c r="AE11" s="492"/>
      <c r="AF11" s="492"/>
      <c r="AG11" s="492"/>
      <c r="AH11" s="492"/>
      <c r="AI11" s="492"/>
      <c r="AJ11" s="492"/>
      <c r="AK11" s="492"/>
      <c r="AL11" s="492"/>
      <c r="AM11" s="493"/>
      <c r="AN11" s="493"/>
      <c r="AO11" s="493"/>
      <c r="AP11" s="69"/>
      <c r="AQ11" s="69"/>
      <c r="AR11" s="69"/>
      <c r="AS11" s="4"/>
      <c r="AT11" s="4"/>
      <c r="AU11" s="40"/>
      <c r="AV11" s="12"/>
      <c r="AW11" s="12"/>
      <c r="AX11" s="69"/>
      <c r="AY11" s="491"/>
      <c r="AZ11" s="69"/>
      <c r="BA11" s="492"/>
      <c r="BB11" s="492"/>
      <c r="BC11" s="492"/>
      <c r="BD11" s="492"/>
      <c r="BE11" s="492"/>
      <c r="BF11" s="492"/>
      <c r="BG11" s="492"/>
      <c r="BH11" s="492"/>
      <c r="BI11" s="493"/>
      <c r="BJ11" s="493"/>
      <c r="BK11" s="493"/>
      <c r="BL11" s="69"/>
      <c r="BM11" s="69"/>
      <c r="BN11" s="69"/>
    </row>
    <row r="12" spans="1:66" ht="13.5" customHeight="1">
      <c r="A12" s="4"/>
      <c r="B12" s="4"/>
      <c r="C12" s="40"/>
      <c r="D12" s="12" t="e">
        <f t="shared" ref="D12:D16" ca="1" si="0">D53</f>
        <v>#NAME?</v>
      </c>
      <c r="E12" s="12"/>
      <c r="F12" s="69" t="s">
        <v>499</v>
      </c>
      <c r="G12" s="494">
        <v>2456382.6675999998</v>
      </c>
      <c r="H12" s="494">
        <v>2398229.6675999998</v>
      </c>
      <c r="I12" s="495">
        <v>0.26765</v>
      </c>
      <c r="J12" s="495">
        <v>0.33343252776715304</v>
      </c>
      <c r="K12" s="495">
        <v>0.55093599999999998</v>
      </c>
      <c r="L12" s="495">
        <v>0.70120121951219505</v>
      </c>
      <c r="M12" s="495">
        <v>0.319554</v>
      </c>
      <c r="N12" s="495">
        <v>0.32661938324848688</v>
      </c>
      <c r="O12" s="495">
        <v>0.25003799999999998</v>
      </c>
      <c r="P12" s="495">
        <v>0.25628430467220764</v>
      </c>
      <c r="Q12" s="496">
        <v>20.634879999999999</v>
      </c>
      <c r="R12" s="496">
        <v>20.059111461131629</v>
      </c>
      <c r="S12" s="496">
        <v>6.5939699999999997</v>
      </c>
      <c r="T12" s="496">
        <v>6.5516946139474674</v>
      </c>
      <c r="U12" s="496">
        <v>27.797879999999999</v>
      </c>
      <c r="V12" s="496">
        <v>26.184054070992126</v>
      </c>
      <c r="W12" s="12"/>
      <c r="X12" s="4"/>
      <c r="Y12" s="40"/>
      <c r="Z12" s="12" t="e">
        <f t="shared" ref="Z12:Z16" ca="1" si="1">Z72</f>
        <v>#NAME?</v>
      </c>
      <c r="AA12" s="12"/>
      <c r="AB12" s="69" t="s">
        <v>500</v>
      </c>
      <c r="AC12" s="494">
        <v>128030.64896999999</v>
      </c>
      <c r="AD12" s="494">
        <v>154660.64897000001</v>
      </c>
      <c r="AE12" s="492">
        <v>0.28479199999999999</v>
      </c>
      <c r="AF12" s="492">
        <v>0.15215755721278734</v>
      </c>
      <c r="AG12" s="492">
        <v>0.43208399999999997</v>
      </c>
      <c r="AH12" s="492">
        <v>-2.5665133721199402</v>
      </c>
      <c r="AI12" s="492">
        <v>0.14710100000000001</v>
      </c>
      <c r="AJ12" s="492">
        <v>0.15766706958122381</v>
      </c>
      <c r="AK12" s="492">
        <v>3.5056999999999998E-2</v>
      </c>
      <c r="AL12" s="492">
        <v>9.3871453856720549E-2</v>
      </c>
      <c r="AM12" s="496">
        <v>16.461069999999999</v>
      </c>
      <c r="AN12" s="496">
        <v>15.045626948605292</v>
      </c>
      <c r="AO12" s="496">
        <v>2.5757699999999999</v>
      </c>
      <c r="AP12" s="496">
        <v>2.3721999109988872</v>
      </c>
      <c r="AQ12" s="496">
        <v>63.46893</v>
      </c>
      <c r="AR12" s="496">
        <v>20.919526956583937</v>
      </c>
      <c r="AS12" s="4"/>
      <c r="AT12" s="4"/>
      <c r="AU12" s="40"/>
      <c r="AV12" s="12" t="e">
        <f t="shared" ref="AV12:AV16" ca="1" si="2">AV53</f>
        <v>#NAME?</v>
      </c>
      <c r="AW12" s="12"/>
      <c r="AX12" s="69" t="s">
        <v>501</v>
      </c>
      <c r="AY12" s="494">
        <v>112863.39125</v>
      </c>
      <c r="AZ12" s="494">
        <v>126547.39125</v>
      </c>
      <c r="BA12" s="492">
        <v>0.107836</v>
      </c>
      <c r="BB12" s="492">
        <v>9.4074177541635606E-2</v>
      </c>
      <c r="BC12" s="492">
        <v>0.139568</v>
      </c>
      <c r="BD12" s="492">
        <v>7.1204324324324331E-2</v>
      </c>
      <c r="BE12" s="492">
        <v>0.29003200000000001</v>
      </c>
      <c r="BF12" s="492">
        <v>0.26891896707285307</v>
      </c>
      <c r="BG12" s="492">
        <v>0.17038</v>
      </c>
      <c r="BH12" s="492">
        <v>0.1651012198285608</v>
      </c>
      <c r="BI12" s="496">
        <v>11.087059999999999</v>
      </c>
      <c r="BJ12" s="496">
        <v>13.364261803244904</v>
      </c>
      <c r="BK12" s="496">
        <v>3.3659500000000002</v>
      </c>
      <c r="BL12" s="496">
        <v>3.5939034798198044</v>
      </c>
      <c r="BM12" s="496">
        <v>17.64282</v>
      </c>
      <c r="BN12" s="496">
        <v>19.414044738313191</v>
      </c>
    </row>
    <row r="13" spans="1:66" ht="13.5" customHeight="1">
      <c r="A13" s="4"/>
      <c r="B13" s="4"/>
      <c r="C13" s="40"/>
      <c r="D13" s="12" t="e">
        <f t="shared" ca="1" si="0"/>
        <v>#NAME?</v>
      </c>
      <c r="E13" s="12"/>
      <c r="F13" s="69" t="s">
        <v>502</v>
      </c>
      <c r="G13" s="494">
        <v>1050609.6044099999</v>
      </c>
      <c r="H13" s="494">
        <v>999092.60441000003</v>
      </c>
      <c r="I13" s="495">
        <v>0.39428099999999999</v>
      </c>
      <c r="J13" s="495">
        <v>0.38907489955214336</v>
      </c>
      <c r="K13" s="495">
        <v>0.64672399999999997</v>
      </c>
      <c r="L13" s="495">
        <v>0.39881268582755203</v>
      </c>
      <c r="M13" s="495">
        <v>0.49698399999999998</v>
      </c>
      <c r="N13" s="495">
        <v>0.55182038148477908</v>
      </c>
      <c r="O13" s="495">
        <v>0.37176200000000004</v>
      </c>
      <c r="P13" s="495">
        <v>0.33887733067462483</v>
      </c>
      <c r="Q13" s="496">
        <v>16.528099999999998</v>
      </c>
      <c r="R13" s="496">
        <v>15.162146056101314</v>
      </c>
      <c r="S13" s="496">
        <v>8.4851799999999997</v>
      </c>
      <c r="T13" s="496">
        <v>8.3667812208057644</v>
      </c>
      <c r="U13" s="496">
        <v>24.7761</v>
      </c>
      <c r="V13" s="496">
        <v>25.96279940802037</v>
      </c>
      <c r="W13" s="12"/>
      <c r="X13" s="4"/>
      <c r="Y13" s="40"/>
      <c r="Z13" s="12" t="e">
        <f t="shared" ca="1" si="1"/>
        <v>#NAME?</v>
      </c>
      <c r="AA13" s="12"/>
      <c r="AB13" s="69" t="s">
        <v>503</v>
      </c>
      <c r="AC13" s="494">
        <v>129979.18471</v>
      </c>
      <c r="AD13" s="494">
        <v>172393.18471</v>
      </c>
      <c r="AE13" s="492">
        <v>-7.4287999999999993E-2</v>
      </c>
      <c r="AF13" s="492">
        <v>0.26827198442174782</v>
      </c>
      <c r="AG13" s="492">
        <v>0.43208399999999997</v>
      </c>
      <c r="AH13" s="492">
        <v>-0.97760967432950197</v>
      </c>
      <c r="AI13" s="492">
        <v>-2.9094999999999999E-2</v>
      </c>
      <c r="AJ13" s="492">
        <v>7.5836172983072728E-2</v>
      </c>
      <c r="AK13" s="492">
        <v>-0.14303000000000002</v>
      </c>
      <c r="AL13" s="492">
        <v>-5.4210976329000351E-3</v>
      </c>
      <c r="AM13" s="496" t="s">
        <v>504</v>
      </c>
      <c r="AN13" s="496">
        <v>30.819232691225288</v>
      </c>
      <c r="AO13" s="496">
        <v>2.8267600000000002</v>
      </c>
      <c r="AP13" s="496">
        <v>2.3372126615773308</v>
      </c>
      <c r="AQ13" s="496" t="s">
        <v>504</v>
      </c>
      <c r="AR13" s="496" t="s">
        <v>504</v>
      </c>
      <c r="AS13" s="4"/>
      <c r="AT13" s="4"/>
      <c r="AU13" s="40"/>
      <c r="AV13" s="12" t="e">
        <f t="shared" ca="1" si="2"/>
        <v>#NAME?</v>
      </c>
      <c r="AW13" s="12"/>
      <c r="AX13" s="69" t="s">
        <v>505</v>
      </c>
      <c r="AY13" s="494">
        <v>116444.01873</v>
      </c>
      <c r="AZ13" s="494">
        <v>165361.01873000001</v>
      </c>
      <c r="BA13" s="492">
        <v>-8.3476999999999996E-2</v>
      </c>
      <c r="BB13" s="492">
        <v>-3.6353036963538865E-2</v>
      </c>
      <c r="BC13" s="492">
        <v>0.139568</v>
      </c>
      <c r="BD13" s="492">
        <v>-0.57771187139860958</v>
      </c>
      <c r="BE13" s="492">
        <v>8.6125000000000007E-2</v>
      </c>
      <c r="BF13" s="492">
        <v>0.10098877292986558</v>
      </c>
      <c r="BG13" s="492">
        <v>-3.1019999999999999E-2</v>
      </c>
      <c r="BH13" s="492">
        <v>2.7997383350577984E-2</v>
      </c>
      <c r="BI13" s="496">
        <v>20.848230000000001</v>
      </c>
      <c r="BJ13" s="496">
        <v>21.341521001218538</v>
      </c>
      <c r="BK13" s="496">
        <v>2.0760299999999998</v>
      </c>
      <c r="BL13" s="496">
        <v>2.1552540183700164</v>
      </c>
      <c r="BM13" s="496" t="s">
        <v>504</v>
      </c>
      <c r="BN13" s="496">
        <v>54.208209895473338</v>
      </c>
    </row>
    <row r="14" spans="1:66" ht="13.5" customHeight="1">
      <c r="A14" s="4"/>
      <c r="B14" s="4"/>
      <c r="C14" s="40"/>
      <c r="D14" s="12" t="e">
        <f t="shared" ca="1" si="0"/>
        <v>#NAME?</v>
      </c>
      <c r="E14" s="12"/>
      <c r="F14" s="69" t="s">
        <v>506</v>
      </c>
      <c r="G14" s="494">
        <v>2252363.2048499999</v>
      </c>
      <c r="H14" s="494">
        <v>2204385.2048499999</v>
      </c>
      <c r="I14" s="495">
        <v>0.175317</v>
      </c>
      <c r="J14" s="495">
        <v>0.14070950406929716</v>
      </c>
      <c r="K14" s="495">
        <v>0.39756900000000001</v>
      </c>
      <c r="L14" s="495">
        <v>9.4408695652173913E-2</v>
      </c>
      <c r="M14" s="495">
        <v>0.48079500000000003</v>
      </c>
      <c r="N14" s="495">
        <v>0.48630889390678655</v>
      </c>
      <c r="O14" s="495">
        <v>0.36451700000000004</v>
      </c>
      <c r="P14" s="495">
        <v>0.34573137024835249</v>
      </c>
      <c r="Q14" s="496">
        <v>25.97822</v>
      </c>
      <c r="R14" s="496">
        <v>23.640872758162192</v>
      </c>
      <c r="S14" s="496">
        <v>12.818949999999999</v>
      </c>
      <c r="T14" s="496">
        <v>11.496766682012939</v>
      </c>
      <c r="U14" s="496">
        <v>36.411180000000002</v>
      </c>
      <c r="V14" s="496">
        <v>33.977221924795323</v>
      </c>
      <c r="W14" s="12"/>
      <c r="X14" s="4"/>
      <c r="Y14" s="40"/>
      <c r="Z14" s="12" t="e">
        <f t="shared" ca="1" si="1"/>
        <v>#NAME?</v>
      </c>
      <c r="AA14" s="12"/>
      <c r="AB14" s="69" t="s">
        <v>507</v>
      </c>
      <c r="AC14" s="494">
        <v>8308.7197699999997</v>
      </c>
      <c r="AD14" s="494">
        <v>9819.7197699999997</v>
      </c>
      <c r="AE14" s="492">
        <v>7.3869999999999991E-2</v>
      </c>
      <c r="AF14" s="492">
        <v>5.5577780151693235E-2</v>
      </c>
      <c r="AG14" s="492">
        <v>0.43208399999999997</v>
      </c>
      <c r="AH14" s="492">
        <v>-0.23063185530921815</v>
      </c>
      <c r="AI14" s="492">
        <v>0.12192</v>
      </c>
      <c r="AJ14" s="492">
        <v>8.4324001841222004E-2</v>
      </c>
      <c r="AK14" s="492">
        <v>7.8078999999999996E-2</v>
      </c>
      <c r="AL14" s="492">
        <v>0</v>
      </c>
      <c r="AM14" s="496">
        <v>7.41228</v>
      </c>
      <c r="AN14" s="496">
        <v>11.785157752018538</v>
      </c>
      <c r="AO14" s="496">
        <v>0.98224</v>
      </c>
      <c r="AP14" s="496">
        <v>0.99377166398030303</v>
      </c>
      <c r="AQ14" s="496">
        <v>10.643929999999999</v>
      </c>
      <c r="AR14" s="496">
        <v>20.919526956583937</v>
      </c>
      <c r="AS14" s="4"/>
      <c r="AT14" s="4"/>
      <c r="AU14" s="40"/>
      <c r="AV14" s="12" t="e">
        <f t="shared" ca="1" si="2"/>
        <v>#NAME?</v>
      </c>
      <c r="AW14" s="12"/>
      <c r="AX14" s="69" t="s">
        <v>508</v>
      </c>
      <c r="AY14" s="494">
        <v>159578.88610999999</v>
      </c>
      <c r="AZ14" s="494">
        <v>169888.88610999999</v>
      </c>
      <c r="BA14" s="492">
        <v>-1.6309000000000001E-2</v>
      </c>
      <c r="BB14" s="492">
        <v>7.4231268805343698E-2</v>
      </c>
      <c r="BC14" s="492">
        <v>-0.135737</v>
      </c>
      <c r="BD14" s="492">
        <v>0.20102827380952371</v>
      </c>
      <c r="BE14" s="492">
        <v>0.24559</v>
      </c>
      <c r="BF14" s="492">
        <v>0.25050484821913088</v>
      </c>
      <c r="BG14" s="492">
        <v>0.14646999999999999</v>
      </c>
      <c r="BH14" s="492">
        <v>0.16202131881505455</v>
      </c>
      <c r="BI14" s="496">
        <v>18.49203</v>
      </c>
      <c r="BJ14" s="496">
        <v>19.343756300866573</v>
      </c>
      <c r="BK14" s="496">
        <v>4.7124499999999996</v>
      </c>
      <c r="BL14" s="496">
        <v>4.8457047361364376</v>
      </c>
      <c r="BM14" s="496">
        <v>30.831659999999999</v>
      </c>
      <c r="BN14" s="496">
        <v>28.092814093008723</v>
      </c>
    </row>
    <row r="15" spans="1:66" ht="13.5" customHeight="1">
      <c r="A15" s="4"/>
      <c r="B15" s="4"/>
      <c r="C15" s="40"/>
      <c r="D15" s="12" t="e">
        <f t="shared" ca="1" si="0"/>
        <v>#NAME?</v>
      </c>
      <c r="E15" s="12"/>
      <c r="F15" s="69" t="s">
        <v>509</v>
      </c>
      <c r="G15" s="494">
        <v>115291.54504</v>
      </c>
      <c r="H15" s="494">
        <v>114730.73003999999</v>
      </c>
      <c r="I15" s="495">
        <v>0.73709100000000005</v>
      </c>
      <c r="J15" s="495">
        <v>0.67790711099302392</v>
      </c>
      <c r="K15" s="495">
        <v>0.39756900000000001</v>
      </c>
      <c r="L15" s="495">
        <v>-1.5530767571565032</v>
      </c>
      <c r="M15" s="495">
        <v>-0.19595899999999999</v>
      </c>
      <c r="N15" s="495">
        <v>0.1287054648578779</v>
      </c>
      <c r="O15" s="495">
        <v>-0.22488600000000003</v>
      </c>
      <c r="P15" s="495">
        <v>0.12785256005977091</v>
      </c>
      <c r="Q15" s="496" t="s">
        <v>504</v>
      </c>
      <c r="R15" s="496">
        <v>211.94604401245059</v>
      </c>
      <c r="S15" s="496">
        <v>34.646419999999999</v>
      </c>
      <c r="T15" s="496">
        <v>27.278614119410697</v>
      </c>
      <c r="U15" s="496" t="s">
        <v>504</v>
      </c>
      <c r="V15" s="496">
        <v>214.40286086833686</v>
      </c>
      <c r="W15" s="12"/>
      <c r="X15" s="4"/>
      <c r="Y15" s="40"/>
      <c r="Z15" s="12" t="e">
        <f t="shared" ca="1" si="1"/>
        <v>#NAME?</v>
      </c>
      <c r="AA15" s="12"/>
      <c r="AB15" s="69" t="s">
        <v>510</v>
      </c>
      <c r="AC15" s="494">
        <v>100241.00058000001</v>
      </c>
      <c r="AD15" s="494">
        <v>109675.00058000001</v>
      </c>
      <c r="AE15" s="492">
        <v>6.1887999999999999E-2</v>
      </c>
      <c r="AF15" s="492">
        <v>4.4912920425701053E-2</v>
      </c>
      <c r="AG15" s="492">
        <v>0.12679299999999999</v>
      </c>
      <c r="AH15" s="492">
        <v>0.10296855591228082</v>
      </c>
      <c r="AI15" s="492">
        <v>0.15308099999999999</v>
      </c>
      <c r="AJ15" s="492">
        <v>0.15369527678916067</v>
      </c>
      <c r="AK15" s="492">
        <v>0.10689299999999999</v>
      </c>
      <c r="AL15" s="492">
        <v>0.10917443855909938</v>
      </c>
      <c r="AM15" s="496">
        <v>10.019970000000001</v>
      </c>
      <c r="AN15" s="496">
        <v>10.442453685118846</v>
      </c>
      <c r="AO15" s="496">
        <v>1.5917600000000001</v>
      </c>
      <c r="AP15" s="496">
        <v>1.6049558094923317</v>
      </c>
      <c r="AQ15" s="496">
        <v>13.61295</v>
      </c>
      <c r="AR15" s="496">
        <v>13.436305184315913</v>
      </c>
      <c r="AS15" s="4"/>
      <c r="AT15" s="4"/>
      <c r="AU15" s="40"/>
      <c r="AV15" s="12" t="e">
        <f t="shared" ca="1" si="2"/>
        <v>#NAME?</v>
      </c>
      <c r="AW15" s="12"/>
      <c r="AX15" s="69" t="s">
        <v>511</v>
      </c>
      <c r="AY15" s="494">
        <v>50450.580549999999</v>
      </c>
      <c r="AZ15" s="494">
        <v>58814.680549999997</v>
      </c>
      <c r="BA15" s="492">
        <v>0.107789</v>
      </c>
      <c r="BB15" s="492">
        <v>0.16134879412350056</v>
      </c>
      <c r="BC15" s="492">
        <v>-0.342387</v>
      </c>
      <c r="BD15" s="492">
        <v>0.68387750556792848</v>
      </c>
      <c r="BE15" s="492">
        <v>0.36213099999999998</v>
      </c>
      <c r="BF15" s="492">
        <v>0.36653876959791054</v>
      </c>
      <c r="BG15" s="492">
        <v>0.17795100000000003</v>
      </c>
      <c r="BH15" s="492">
        <v>0.25151357300210986</v>
      </c>
      <c r="BI15" s="496">
        <v>25.128550000000001</v>
      </c>
      <c r="BJ15" s="496">
        <v>24.998032555108455</v>
      </c>
      <c r="BK15" s="496">
        <v>9.3873300000000004</v>
      </c>
      <c r="BL15" s="496">
        <v>9.1627480951179638</v>
      </c>
      <c r="BM15" s="496">
        <v>45.20111</v>
      </c>
      <c r="BN15" s="496">
        <v>31.249620371034457</v>
      </c>
    </row>
    <row r="16" spans="1:66" ht="13.5" customHeight="1">
      <c r="A16" s="4"/>
      <c r="B16" s="4"/>
      <c r="C16" s="40"/>
      <c r="D16" s="12" t="e">
        <f t="shared" ca="1" si="0"/>
        <v>#NAME?</v>
      </c>
      <c r="E16" s="12"/>
      <c r="F16" s="69" t="s">
        <v>512</v>
      </c>
      <c r="G16" s="494">
        <v>1923806.90552</v>
      </c>
      <c r="H16" s="494">
        <v>1815453.90552</v>
      </c>
      <c r="I16" s="495">
        <v>0.32665700000000003</v>
      </c>
      <c r="J16" s="495">
        <v>0.37490856536293249</v>
      </c>
      <c r="K16" s="495">
        <v>1.0264169999999999</v>
      </c>
      <c r="L16" s="495">
        <v>0.72321466806270873</v>
      </c>
      <c r="M16" s="495">
        <v>0.34300900000000001</v>
      </c>
      <c r="N16" s="495">
        <v>0.39992131886985705</v>
      </c>
      <c r="O16" s="495">
        <v>0.28569600000000001</v>
      </c>
      <c r="P16" s="495">
        <v>0.26983657316281323</v>
      </c>
      <c r="Q16" s="496">
        <v>21.932359999999999</v>
      </c>
      <c r="R16" s="496">
        <v>18.088799180156109</v>
      </c>
      <c r="S16" s="496">
        <v>7.8302899999999998</v>
      </c>
      <c r="T16" s="496">
        <v>7.2340964249000201</v>
      </c>
      <c r="U16" s="496">
        <v>29.844889999999999</v>
      </c>
      <c r="V16" s="496">
        <v>28.409247682379515</v>
      </c>
      <c r="W16" s="12"/>
      <c r="X16" s="4"/>
      <c r="Y16" s="40"/>
      <c r="Z16" s="12" t="e">
        <f t="shared" ca="1" si="1"/>
        <v>#NAME?</v>
      </c>
      <c r="AA16" s="12"/>
      <c r="AB16" s="69" t="s">
        <v>513</v>
      </c>
      <c r="AC16" s="494">
        <v>58414.205139999998</v>
      </c>
      <c r="AD16" s="494">
        <v>68211.205140000005</v>
      </c>
      <c r="AE16" s="492">
        <v>8.3658999999999997E-2</v>
      </c>
      <c r="AF16" s="492">
        <v>-1.4799398896709226E-2</v>
      </c>
      <c r="AG16" s="492">
        <v>0.94067400000000001</v>
      </c>
      <c r="AH16" s="492">
        <v>0.30977193904361511</v>
      </c>
      <c r="AI16" s="492">
        <v>0.14817900000000001</v>
      </c>
      <c r="AJ16" s="492">
        <v>0.16978995137012473</v>
      </c>
      <c r="AK16" s="492">
        <v>0.120947</v>
      </c>
      <c r="AL16" s="492">
        <v>0.1101035929189027</v>
      </c>
      <c r="AM16" s="496">
        <v>11.64045</v>
      </c>
      <c r="AN16" s="496">
        <v>11.081104576504847</v>
      </c>
      <c r="AO16" s="496">
        <v>1.8671199999999999</v>
      </c>
      <c r="AP16" s="496">
        <v>1.8814602071720246</v>
      </c>
      <c r="AQ16" s="496">
        <v>13.68139</v>
      </c>
      <c r="AR16" s="496">
        <v>14.63377236634007</v>
      </c>
      <c r="AS16" s="4"/>
      <c r="AT16" s="4"/>
      <c r="AU16" s="40"/>
      <c r="AV16" s="12" t="e">
        <f t="shared" ca="1" si="2"/>
        <v>#NAME?</v>
      </c>
      <c r="AW16" s="12"/>
      <c r="AX16" s="69" t="s">
        <v>514</v>
      </c>
      <c r="AY16" s="494">
        <v>62631.506000000001</v>
      </c>
      <c r="AZ16" s="494">
        <v>67649.505999999994</v>
      </c>
      <c r="BA16" s="492">
        <v>3.7735999999999999E-2</v>
      </c>
      <c r="BB16" s="492">
        <v>9.4444228775692585E-2</v>
      </c>
      <c r="BC16" s="492">
        <v>0.22055499999999997</v>
      </c>
      <c r="BD16" s="492">
        <v>0.25316666666666676</v>
      </c>
      <c r="BE16" s="492">
        <v>0.221998</v>
      </c>
      <c r="BF16" s="492">
        <v>0.22892474020264064</v>
      </c>
      <c r="BG16" s="492">
        <v>0.13201000000000002</v>
      </c>
      <c r="BH16" s="492">
        <v>0.13269769057936825</v>
      </c>
      <c r="BI16" s="496">
        <v>14.771470000000001</v>
      </c>
      <c r="BJ16" s="496">
        <v>16.086327955734895</v>
      </c>
      <c r="BK16" s="496">
        <v>3.4847100000000002</v>
      </c>
      <c r="BL16" s="496">
        <v>3.6825584480810862</v>
      </c>
      <c r="BM16" s="496">
        <v>24.433759999999999</v>
      </c>
      <c r="BN16" s="496">
        <v>25.692981780241418</v>
      </c>
    </row>
    <row r="17" spans="1:66" ht="13.5" customHeight="1">
      <c r="A17" s="4"/>
      <c r="B17" s="4"/>
      <c r="C17" s="40"/>
      <c r="D17" s="12"/>
      <c r="E17" s="12"/>
      <c r="F17" s="69"/>
      <c r="G17" s="69"/>
      <c r="H17" s="69"/>
      <c r="I17" s="492"/>
      <c r="J17" s="492"/>
      <c r="K17" s="497"/>
      <c r="L17" s="497"/>
      <c r="M17" s="497"/>
      <c r="N17" s="497"/>
      <c r="O17" s="497"/>
      <c r="P17" s="497"/>
      <c r="Q17" s="69"/>
      <c r="R17" s="69"/>
      <c r="S17" s="69"/>
      <c r="T17" s="69"/>
      <c r="U17" s="69"/>
      <c r="V17" s="69"/>
      <c r="W17" s="12"/>
      <c r="X17" s="4"/>
      <c r="Y17" s="40"/>
      <c r="Z17" s="12"/>
      <c r="AA17" s="12"/>
      <c r="AB17" s="69"/>
      <c r="AC17" s="69"/>
      <c r="AD17" s="69"/>
      <c r="AE17" s="492"/>
      <c r="AF17" s="492"/>
      <c r="AG17" s="497"/>
      <c r="AH17" s="497"/>
      <c r="AI17" s="497"/>
      <c r="AJ17" s="497"/>
      <c r="AK17" s="497"/>
      <c r="AL17" s="497"/>
      <c r="AM17" s="69"/>
      <c r="AN17" s="69"/>
      <c r="AO17" s="69"/>
      <c r="AP17" s="69"/>
      <c r="AQ17" s="69"/>
      <c r="AR17" s="69"/>
      <c r="AS17" s="4"/>
      <c r="AT17" s="4"/>
      <c r="AU17" s="40"/>
      <c r="AV17" s="12"/>
      <c r="AW17" s="12"/>
      <c r="AX17" s="69"/>
      <c r="AY17" s="69"/>
      <c r="AZ17" s="69"/>
      <c r="BA17" s="492"/>
      <c r="BB17" s="492"/>
      <c r="BC17" s="497"/>
      <c r="BD17" s="497"/>
      <c r="BE17" s="497"/>
      <c r="BF17" s="497"/>
      <c r="BG17" s="497"/>
      <c r="BH17" s="497"/>
      <c r="BI17" s="69"/>
      <c r="BJ17" s="69"/>
      <c r="BK17" s="69"/>
      <c r="BL17" s="69"/>
      <c r="BM17" s="69"/>
      <c r="BN17" s="69"/>
    </row>
    <row r="18" spans="1:66" ht="13.5" customHeight="1">
      <c r="A18" s="4"/>
      <c r="B18" s="4"/>
      <c r="C18" s="40"/>
      <c r="D18" s="498" t="s">
        <v>167</v>
      </c>
      <c r="E18" s="499"/>
      <c r="F18" s="500"/>
      <c r="G18" s="501">
        <f t="shared" ref="G18:V18" si="3">MAX(G10:G16)</f>
        <v>2456382.6675999998</v>
      </c>
      <c r="H18" s="501">
        <f t="shared" si="3"/>
        <v>2398229.6675999998</v>
      </c>
      <c r="I18" s="502">
        <f t="shared" si="3"/>
        <v>0.73709100000000005</v>
      </c>
      <c r="J18" s="502">
        <f t="shared" si="3"/>
        <v>0.67790711099302392</v>
      </c>
      <c r="K18" s="502">
        <f t="shared" si="3"/>
        <v>1.0264169999999999</v>
      </c>
      <c r="L18" s="502">
        <f t="shared" si="3"/>
        <v>0.72321466806270873</v>
      </c>
      <c r="M18" s="502">
        <f t="shared" si="3"/>
        <v>0.49698399999999998</v>
      </c>
      <c r="N18" s="502">
        <f t="shared" si="3"/>
        <v>0.55182038148477908</v>
      </c>
      <c r="O18" s="502">
        <f t="shared" si="3"/>
        <v>0.37176200000000004</v>
      </c>
      <c r="P18" s="502">
        <f t="shared" si="3"/>
        <v>0.34573137024835249</v>
      </c>
      <c r="Q18" s="503">
        <f t="shared" si="3"/>
        <v>25.97822</v>
      </c>
      <c r="R18" s="504">
        <f t="shared" si="3"/>
        <v>211.94604401245059</v>
      </c>
      <c r="S18" s="504">
        <f t="shared" si="3"/>
        <v>34.646419999999999</v>
      </c>
      <c r="T18" s="504">
        <f t="shared" si="3"/>
        <v>27.278614119410697</v>
      </c>
      <c r="U18" s="504">
        <f t="shared" si="3"/>
        <v>36.411180000000002</v>
      </c>
      <c r="V18" s="505">
        <f t="shared" si="3"/>
        <v>214.40286086833686</v>
      </c>
      <c r="W18" s="12"/>
      <c r="X18" s="4"/>
      <c r="Y18" s="40"/>
      <c r="Z18" s="498" t="s">
        <v>167</v>
      </c>
      <c r="AA18" s="499"/>
      <c r="AB18" s="500"/>
      <c r="AC18" s="501">
        <f t="shared" ref="AC18:AR18" si="4">MAX(AC10:AC16)</f>
        <v>129979.18471</v>
      </c>
      <c r="AD18" s="501">
        <f t="shared" si="4"/>
        <v>172393.18471</v>
      </c>
      <c r="AE18" s="506">
        <f t="shared" si="4"/>
        <v>0.28479199999999999</v>
      </c>
      <c r="AF18" s="506">
        <f t="shared" si="4"/>
        <v>0.26827198442174782</v>
      </c>
      <c r="AG18" s="506">
        <f t="shared" si="4"/>
        <v>0.94067400000000001</v>
      </c>
      <c r="AH18" s="506">
        <f t="shared" si="4"/>
        <v>0.30977193904361511</v>
      </c>
      <c r="AI18" s="506">
        <f t="shared" si="4"/>
        <v>0.28053100000000003</v>
      </c>
      <c r="AJ18" s="506">
        <f t="shared" si="4"/>
        <v>0.29106114754641993</v>
      </c>
      <c r="AK18" s="506">
        <f t="shared" si="4"/>
        <v>0.15246799999999999</v>
      </c>
      <c r="AL18" s="506">
        <f t="shared" si="4"/>
        <v>0.20242258666034044</v>
      </c>
      <c r="AM18" s="503">
        <f t="shared" si="4"/>
        <v>16.461069999999999</v>
      </c>
      <c r="AN18" s="504">
        <f t="shared" si="4"/>
        <v>30.819232691225288</v>
      </c>
      <c r="AO18" s="504">
        <f t="shared" si="4"/>
        <v>2.8267600000000002</v>
      </c>
      <c r="AP18" s="504">
        <f t="shared" si="4"/>
        <v>7.0938380027498669</v>
      </c>
      <c r="AQ18" s="504">
        <f t="shared" si="4"/>
        <v>63.46893</v>
      </c>
      <c r="AR18" s="505">
        <f t="shared" si="4"/>
        <v>38.06344748498806</v>
      </c>
      <c r="AS18" s="4"/>
      <c r="AT18" s="4"/>
      <c r="AU18" s="40"/>
      <c r="AV18" s="498" t="s">
        <v>167</v>
      </c>
      <c r="AW18" s="499"/>
      <c r="AX18" s="500"/>
      <c r="AY18" s="501">
        <f t="shared" ref="AY18:BN18" si="5">MAX(AY10:AY16)</f>
        <v>159578.88610999999</v>
      </c>
      <c r="AZ18" s="501">
        <f t="shared" si="5"/>
        <v>169888.88610999999</v>
      </c>
      <c r="BA18" s="506">
        <f t="shared" si="5"/>
        <v>0.19067000000000001</v>
      </c>
      <c r="BB18" s="506">
        <f t="shared" si="5"/>
        <v>0.16134879412350056</v>
      </c>
      <c r="BC18" s="506">
        <f t="shared" si="5"/>
        <v>0.22055499999999997</v>
      </c>
      <c r="BD18" s="506">
        <f t="shared" si="5"/>
        <v>0.68387750556792848</v>
      </c>
      <c r="BE18" s="506">
        <f t="shared" si="5"/>
        <v>0.36213099999999998</v>
      </c>
      <c r="BF18" s="506">
        <f t="shared" si="5"/>
        <v>0.36653876959791054</v>
      </c>
      <c r="BG18" s="506">
        <f t="shared" si="5"/>
        <v>0.17795100000000003</v>
      </c>
      <c r="BH18" s="506">
        <f t="shared" si="5"/>
        <v>0.25151357300210986</v>
      </c>
      <c r="BI18" s="503">
        <f t="shared" si="5"/>
        <v>25.128550000000001</v>
      </c>
      <c r="BJ18" s="504">
        <f t="shared" si="5"/>
        <v>24.998032555108455</v>
      </c>
      <c r="BK18" s="504">
        <f t="shared" si="5"/>
        <v>9.3873300000000004</v>
      </c>
      <c r="BL18" s="504">
        <f t="shared" si="5"/>
        <v>9.1627480951179638</v>
      </c>
      <c r="BM18" s="504">
        <f t="shared" si="5"/>
        <v>45.20111</v>
      </c>
      <c r="BN18" s="505">
        <f t="shared" si="5"/>
        <v>54.208209895473338</v>
      </c>
    </row>
    <row r="19" spans="1:66" ht="13.5" customHeight="1">
      <c r="A19" s="4"/>
      <c r="B19" s="4"/>
      <c r="C19" s="40"/>
      <c r="D19" s="507" t="s">
        <v>515</v>
      </c>
      <c r="E19" s="387"/>
      <c r="F19" s="508"/>
      <c r="G19" s="509">
        <f t="shared" ref="G19:V19" si="6">AVERAGE(G10:G16)</f>
        <v>1323504.3030483332</v>
      </c>
      <c r="H19" s="509">
        <f t="shared" si="6"/>
        <v>1282820.1672149999</v>
      </c>
      <c r="I19" s="510">
        <f t="shared" si="6"/>
        <v>0.34631516666666667</v>
      </c>
      <c r="J19" s="510">
        <f t="shared" si="6"/>
        <v>0.32548700852351536</v>
      </c>
      <c r="K19" s="510">
        <f t="shared" si="6"/>
        <v>0.54920033333333329</v>
      </c>
      <c r="L19" s="510">
        <f t="shared" si="6"/>
        <v>0.13784868746689205</v>
      </c>
      <c r="M19" s="510">
        <f t="shared" si="6"/>
        <v>0.26566000000000001</v>
      </c>
      <c r="N19" s="510">
        <f t="shared" si="6"/>
        <v>0.33918903186474658</v>
      </c>
      <c r="O19" s="510">
        <f t="shared" si="6"/>
        <v>0.18686966666666668</v>
      </c>
      <c r="P19" s="510">
        <f t="shared" si="6"/>
        <v>0.23742911696241339</v>
      </c>
      <c r="Q19" s="511">
        <f t="shared" si="6"/>
        <v>19.189219999999999</v>
      </c>
      <c r="R19" s="512">
        <f t="shared" si="6"/>
        <v>50.237988163618418</v>
      </c>
      <c r="S19" s="512">
        <f t="shared" si="6"/>
        <v>12.017526666666667</v>
      </c>
      <c r="T19" s="512">
        <f t="shared" si="6"/>
        <v>10.450720939371331</v>
      </c>
      <c r="U19" s="512">
        <f t="shared" si="6"/>
        <v>28.027836000000001</v>
      </c>
      <c r="V19" s="513">
        <f t="shared" si="6"/>
        <v>57.797073166133409</v>
      </c>
      <c r="W19" s="12"/>
      <c r="X19" s="4"/>
      <c r="Y19" s="40"/>
      <c r="Z19" s="507" t="s">
        <v>515</v>
      </c>
      <c r="AA19" s="387"/>
      <c r="AB19" s="508"/>
      <c r="AC19" s="509">
        <f t="shared" ref="AC19:AR19" si="7">AVERAGE(AC10:AC16)</f>
        <v>71835.782454999993</v>
      </c>
      <c r="AD19" s="509">
        <f t="shared" si="7"/>
        <v>86720.26628833334</v>
      </c>
      <c r="AE19" s="514">
        <f t="shared" si="7"/>
        <v>0.10343183333333333</v>
      </c>
      <c r="AF19" s="514">
        <f t="shared" si="7"/>
        <v>9.0083176516546293E-2</v>
      </c>
      <c r="AG19" s="514">
        <f t="shared" si="7"/>
        <v>0.4146725</v>
      </c>
      <c r="AH19" s="514">
        <f t="shared" si="7"/>
        <v>-0.58363705072468697</v>
      </c>
      <c r="AI19" s="514">
        <f t="shared" si="7"/>
        <v>0.13695283333333333</v>
      </c>
      <c r="AJ19" s="514">
        <f t="shared" si="7"/>
        <v>0.15539560335187066</v>
      </c>
      <c r="AK19" s="514">
        <f t="shared" si="7"/>
        <v>5.8402333333333334E-2</v>
      </c>
      <c r="AL19" s="514">
        <f t="shared" si="7"/>
        <v>8.5025162393693843E-2</v>
      </c>
      <c r="AM19" s="511">
        <f t="shared" si="7"/>
        <v>9.1067540000000005</v>
      </c>
      <c r="AN19" s="512">
        <f t="shared" si="7"/>
        <v>17.257650750172328</v>
      </c>
      <c r="AO19" s="512">
        <f t="shared" si="7"/>
        <v>1.6406083333333334</v>
      </c>
      <c r="AP19" s="512">
        <f t="shared" si="7"/>
        <v>2.7139063759951241</v>
      </c>
      <c r="AQ19" s="512">
        <f t="shared" si="7"/>
        <v>20.281439999999996</v>
      </c>
      <c r="AR19" s="513">
        <f t="shared" si="7"/>
        <v>21.594515789762383</v>
      </c>
      <c r="AS19" s="4"/>
      <c r="AT19" s="4"/>
      <c r="AU19" s="40"/>
      <c r="AV19" s="507" t="s">
        <v>515</v>
      </c>
      <c r="AW19" s="387"/>
      <c r="AX19" s="508"/>
      <c r="AY19" s="509">
        <f t="shared" ref="AY19:BN19" si="8">AVERAGE(AY10:AY16)</f>
        <v>84668.219700000001</v>
      </c>
      <c r="AZ19" s="509">
        <f t="shared" si="8"/>
        <v>98970.553533333354</v>
      </c>
      <c r="BA19" s="514">
        <f t="shared" si="8"/>
        <v>5.7374166666666671E-2</v>
      </c>
      <c r="BB19" s="514">
        <f t="shared" si="8"/>
        <v>7.0353941344448515E-2</v>
      </c>
      <c r="BC19" s="514">
        <f t="shared" si="8"/>
        <v>2.4313833333333337E-2</v>
      </c>
      <c r="BD19" s="514">
        <f t="shared" si="8"/>
        <v>8.1959500237412719E-2</v>
      </c>
      <c r="BE19" s="514">
        <f t="shared" si="8"/>
        <v>0.2477345</v>
      </c>
      <c r="BF19" s="514">
        <f t="shared" si="8"/>
        <v>0.25115620759480345</v>
      </c>
      <c r="BG19" s="514">
        <f t="shared" si="8"/>
        <v>0.12470983333333334</v>
      </c>
      <c r="BH19" s="514">
        <f t="shared" si="8"/>
        <v>0.15695896203933532</v>
      </c>
      <c r="BI19" s="511">
        <f t="shared" si="8"/>
        <v>15.054556666666665</v>
      </c>
      <c r="BJ19" s="512">
        <f t="shared" si="8"/>
        <v>19.917704743955753</v>
      </c>
      <c r="BK19" s="512">
        <f t="shared" si="8"/>
        <v>3.837745</v>
      </c>
      <c r="BL19" s="512">
        <f t="shared" si="8"/>
        <v>5.0890011300458626</v>
      </c>
      <c r="BM19" s="512">
        <f t="shared" si="8"/>
        <v>23.621870000000001</v>
      </c>
      <c r="BN19" s="513">
        <f t="shared" si="8"/>
        <v>32.786853060509863</v>
      </c>
    </row>
    <row r="20" spans="1:66" ht="13.5" customHeight="1">
      <c r="A20" s="4"/>
      <c r="B20" s="4"/>
      <c r="C20" s="40"/>
      <c r="D20" s="507" t="s">
        <v>516</v>
      </c>
      <c r="E20" s="387"/>
      <c r="F20" s="387"/>
      <c r="G20" s="509">
        <f t="shared" ref="G20:V20" si="9">MEDIAN(G10:G16)</f>
        <v>1487208.2549649999</v>
      </c>
      <c r="H20" s="509">
        <f t="shared" si="9"/>
        <v>1407273.2549650001</v>
      </c>
      <c r="I20" s="510">
        <f t="shared" si="9"/>
        <v>0.29715350000000001</v>
      </c>
      <c r="J20" s="510">
        <f t="shared" si="9"/>
        <v>0.35417054656504277</v>
      </c>
      <c r="K20" s="510">
        <f t="shared" si="9"/>
        <v>0.47425249999999997</v>
      </c>
      <c r="L20" s="510">
        <f t="shared" si="9"/>
        <v>0.43067214936538889</v>
      </c>
      <c r="M20" s="510">
        <f t="shared" si="9"/>
        <v>0.33128150000000001</v>
      </c>
      <c r="N20" s="510">
        <f t="shared" si="9"/>
        <v>0.36327035105917194</v>
      </c>
      <c r="O20" s="510">
        <f t="shared" si="9"/>
        <v>0.26786699999999997</v>
      </c>
      <c r="P20" s="510">
        <f t="shared" si="9"/>
        <v>0.26306043891751041</v>
      </c>
      <c r="Q20" s="511">
        <f t="shared" si="9"/>
        <v>20.634879999999999</v>
      </c>
      <c r="R20" s="512">
        <f t="shared" si="9"/>
        <v>19.073955320643869</v>
      </c>
      <c r="S20" s="512">
        <f t="shared" si="9"/>
        <v>8.1577349999999988</v>
      </c>
      <c r="T20" s="512">
        <f t="shared" si="9"/>
        <v>7.8004388228528923</v>
      </c>
      <c r="U20" s="512">
        <f t="shared" si="9"/>
        <v>27.797879999999999</v>
      </c>
      <c r="V20" s="513">
        <f t="shared" si="9"/>
        <v>27.29665087668582</v>
      </c>
      <c r="W20" s="12"/>
      <c r="X20" s="4"/>
      <c r="Y20" s="40"/>
      <c r="Z20" s="507" t="s">
        <v>516</v>
      </c>
      <c r="AA20" s="387"/>
      <c r="AB20" s="387"/>
      <c r="AC20" s="509">
        <f t="shared" ref="AC20:AR20" si="10">MEDIAN(AC10:AC16)</f>
        <v>79327.602859999999</v>
      </c>
      <c r="AD20" s="509">
        <f t="shared" si="10"/>
        <v>88943.102860000014</v>
      </c>
      <c r="AE20" s="514">
        <f t="shared" si="10"/>
        <v>7.8764499999999987E-2</v>
      </c>
      <c r="AF20" s="514">
        <f t="shared" si="10"/>
        <v>5.0245350288697144E-2</v>
      </c>
      <c r="AG20" s="514">
        <f t="shared" si="10"/>
        <v>0.43208399999999997</v>
      </c>
      <c r="AH20" s="514">
        <f t="shared" si="10"/>
        <v>-0.18521987642728777</v>
      </c>
      <c r="AI20" s="514">
        <f t="shared" si="10"/>
        <v>0.14763999999999999</v>
      </c>
      <c r="AJ20" s="514">
        <f t="shared" si="10"/>
        <v>0.15568117318519226</v>
      </c>
      <c r="AK20" s="514">
        <f t="shared" si="10"/>
        <v>9.2485999999999985E-2</v>
      </c>
      <c r="AL20" s="514">
        <f t="shared" si="10"/>
        <v>0.10152294620790997</v>
      </c>
      <c r="AM20" s="511">
        <f t="shared" si="10"/>
        <v>10.019970000000001</v>
      </c>
      <c r="AN20" s="512">
        <f t="shared" si="10"/>
        <v>13.415392350311915</v>
      </c>
      <c r="AO20" s="512">
        <f t="shared" si="10"/>
        <v>1.7294399999999999</v>
      </c>
      <c r="AP20" s="512">
        <f t="shared" si="10"/>
        <v>2.1093364343746774</v>
      </c>
      <c r="AQ20" s="512">
        <f t="shared" si="10"/>
        <v>13.61295</v>
      </c>
      <c r="AR20" s="513">
        <f t="shared" si="10"/>
        <v>20.919526956583937</v>
      </c>
      <c r="AS20" s="4"/>
      <c r="AT20" s="4"/>
      <c r="AU20" s="40"/>
      <c r="AV20" s="507" t="s">
        <v>516</v>
      </c>
      <c r="AW20" s="387"/>
      <c r="AX20" s="387"/>
      <c r="AY20" s="509">
        <f t="shared" ref="AY20:BN20" si="11">MEDIAN(AY10:AY16)</f>
        <v>87747.448625000005</v>
      </c>
      <c r="AZ20" s="509">
        <f t="shared" si="11"/>
        <v>97098.44862499999</v>
      </c>
      <c r="BA20" s="514">
        <f t="shared" si="11"/>
        <v>7.2762500000000008E-2</v>
      </c>
      <c r="BB20" s="514">
        <f t="shared" si="11"/>
        <v>8.4152723173489652E-2</v>
      </c>
      <c r="BC20" s="514">
        <f t="shared" si="11"/>
        <v>0.131942</v>
      </c>
      <c r="BD20" s="514">
        <f t="shared" si="11"/>
        <v>0.13611629906692402</v>
      </c>
      <c r="BE20" s="514">
        <f t="shared" si="11"/>
        <v>0.26306050000000003</v>
      </c>
      <c r="BF20" s="514">
        <f t="shared" si="11"/>
        <v>0.25971190764599195</v>
      </c>
      <c r="BG20" s="514">
        <f t="shared" si="11"/>
        <v>0.14946899999999999</v>
      </c>
      <c r="BH20" s="514">
        <f t="shared" si="11"/>
        <v>0.16356126932180767</v>
      </c>
      <c r="BI20" s="511">
        <f t="shared" si="11"/>
        <v>16.63175</v>
      </c>
      <c r="BJ20" s="512">
        <f t="shared" si="11"/>
        <v>20.342638651042556</v>
      </c>
      <c r="BK20" s="512">
        <f t="shared" si="11"/>
        <v>3.4253300000000002</v>
      </c>
      <c r="BL20" s="512">
        <f t="shared" si="11"/>
        <v>4.2641315921087619</v>
      </c>
      <c r="BM20" s="512">
        <f t="shared" si="11"/>
        <v>24.433759999999999</v>
      </c>
      <c r="BN20" s="513">
        <f t="shared" si="11"/>
        <v>29.67121723202159</v>
      </c>
    </row>
    <row r="21" spans="1:66" ht="13.5" customHeight="1">
      <c r="A21" s="4"/>
      <c r="B21" s="4"/>
      <c r="C21" s="40"/>
      <c r="D21" s="515" t="s">
        <v>168</v>
      </c>
      <c r="E21" s="516"/>
      <c r="F21" s="516"/>
      <c r="G21" s="517">
        <f t="shared" ref="G21:V21" si="12">MIN(G10:G16)</f>
        <v>115291.54504</v>
      </c>
      <c r="H21" s="517">
        <f t="shared" si="12"/>
        <v>114730.73003999999</v>
      </c>
      <c r="I21" s="518">
        <f t="shared" si="12"/>
        <v>0.175317</v>
      </c>
      <c r="J21" s="518">
        <f t="shared" si="12"/>
        <v>3.6889443396542321E-2</v>
      </c>
      <c r="K21" s="518">
        <f t="shared" si="12"/>
        <v>0.27598699999999998</v>
      </c>
      <c r="L21" s="518">
        <f t="shared" si="12"/>
        <v>-1.5530767571565032</v>
      </c>
      <c r="M21" s="518">
        <f t="shared" si="12"/>
        <v>-0.19595899999999999</v>
      </c>
      <c r="N21" s="518">
        <f t="shared" si="12"/>
        <v>0.1287054648578779</v>
      </c>
      <c r="O21" s="518">
        <f t="shared" si="12"/>
        <v>-0.22488600000000003</v>
      </c>
      <c r="P21" s="518">
        <f t="shared" si="12"/>
        <v>8.5992562956711371E-2</v>
      </c>
      <c r="Q21" s="519">
        <f t="shared" si="12"/>
        <v>10.872540000000001</v>
      </c>
      <c r="R21" s="520">
        <f t="shared" si="12"/>
        <v>12.530955513708699</v>
      </c>
      <c r="S21" s="520">
        <f t="shared" si="12"/>
        <v>1.7303500000000001</v>
      </c>
      <c r="T21" s="520">
        <f t="shared" si="12"/>
        <v>1.7763725751510986</v>
      </c>
      <c r="U21" s="520">
        <f t="shared" si="12"/>
        <v>21.30913</v>
      </c>
      <c r="V21" s="521">
        <f t="shared" si="12"/>
        <v>17.846255042276262</v>
      </c>
      <c r="W21" s="12"/>
      <c r="X21" s="4"/>
      <c r="Y21" s="40"/>
      <c r="Z21" s="515" t="s">
        <v>168</v>
      </c>
      <c r="AA21" s="516"/>
      <c r="AB21" s="516"/>
      <c r="AC21" s="517">
        <f t="shared" ref="AC21:AR21" si="13">MIN(AC10:AC16)</f>
        <v>6040.9355599999999</v>
      </c>
      <c r="AD21" s="517">
        <f t="shared" si="13"/>
        <v>5561.8385600000001</v>
      </c>
      <c r="AE21" s="522">
        <f t="shared" si="13"/>
        <v>-7.4287999999999993E-2</v>
      </c>
      <c r="AF21" s="522">
        <f t="shared" si="13"/>
        <v>-1.4799398896709226E-2</v>
      </c>
      <c r="AG21" s="522">
        <f t="shared" si="13"/>
        <v>0.124316</v>
      </c>
      <c r="AH21" s="522">
        <f t="shared" si="13"/>
        <v>-2.5665133721199402</v>
      </c>
      <c r="AI21" s="522">
        <f t="shared" si="13"/>
        <v>-2.9094999999999999E-2</v>
      </c>
      <c r="AJ21" s="522">
        <f t="shared" si="13"/>
        <v>7.5836172983072728E-2</v>
      </c>
      <c r="AK21" s="522">
        <f t="shared" si="13"/>
        <v>-0.14303000000000002</v>
      </c>
      <c r="AL21" s="522">
        <f t="shared" si="13"/>
        <v>-5.4210976329000351E-3</v>
      </c>
      <c r="AM21" s="519">
        <f t="shared" si="13"/>
        <v>0</v>
      </c>
      <c r="AN21" s="520">
        <f t="shared" si="13"/>
        <v>10.442453685118846</v>
      </c>
      <c r="AO21" s="520">
        <f t="shared" si="13"/>
        <v>0</v>
      </c>
      <c r="AP21" s="520">
        <f t="shared" si="13"/>
        <v>0.99377166398030303</v>
      </c>
      <c r="AQ21" s="520">
        <f t="shared" si="13"/>
        <v>0</v>
      </c>
      <c r="AR21" s="521">
        <f t="shared" si="13"/>
        <v>13.436305184315913</v>
      </c>
      <c r="AS21" s="4"/>
      <c r="AT21" s="4"/>
      <c r="AU21" s="40"/>
      <c r="AV21" s="515" t="s">
        <v>168</v>
      </c>
      <c r="AW21" s="516"/>
      <c r="AX21" s="516"/>
      <c r="AY21" s="517">
        <f t="shared" ref="AY21:BN21" si="14">MIN(AY10:AY16)</f>
        <v>6040.9355599999999</v>
      </c>
      <c r="AZ21" s="517">
        <f t="shared" si="14"/>
        <v>5561.8385600000001</v>
      </c>
      <c r="BA21" s="522">
        <f t="shared" si="14"/>
        <v>-8.3476999999999996E-2</v>
      </c>
      <c r="BB21" s="522">
        <f t="shared" si="14"/>
        <v>-3.6353036963538865E-2</v>
      </c>
      <c r="BC21" s="522">
        <f t="shared" si="14"/>
        <v>-0.342387</v>
      </c>
      <c r="BD21" s="522">
        <f t="shared" si="14"/>
        <v>-0.57771187139860958</v>
      </c>
      <c r="BE21" s="522">
        <f t="shared" si="14"/>
        <v>8.6125000000000007E-2</v>
      </c>
      <c r="BF21" s="522">
        <f t="shared" si="14"/>
        <v>0.10098877292986558</v>
      </c>
      <c r="BG21" s="522">
        <f t="shared" si="14"/>
        <v>-3.1019999999999999E-2</v>
      </c>
      <c r="BH21" s="522">
        <f t="shared" si="14"/>
        <v>2.7997383350577984E-2</v>
      </c>
      <c r="BI21" s="519">
        <f t="shared" si="14"/>
        <v>0</v>
      </c>
      <c r="BJ21" s="520">
        <f t="shared" si="14"/>
        <v>13.364261803244904</v>
      </c>
      <c r="BK21" s="520">
        <f t="shared" si="14"/>
        <v>0</v>
      </c>
      <c r="BL21" s="520">
        <f t="shared" si="14"/>
        <v>2.1552540183700164</v>
      </c>
      <c r="BM21" s="520">
        <f t="shared" si="14"/>
        <v>0</v>
      </c>
      <c r="BN21" s="521">
        <f t="shared" si="14"/>
        <v>19.414044738313191</v>
      </c>
    </row>
    <row r="22" spans="1:66" ht="13.5" customHeight="1">
      <c r="A22" s="4"/>
      <c r="B22" s="4"/>
      <c r="C22" s="40"/>
      <c r="D22" s="12"/>
      <c r="E22" s="12"/>
      <c r="F22" s="12"/>
      <c r="G22" s="12"/>
      <c r="H22" s="12"/>
      <c r="I22" s="12"/>
      <c r="J22" s="12"/>
      <c r="K22" s="12"/>
      <c r="L22" s="12"/>
      <c r="M22" s="12"/>
      <c r="N22" s="12"/>
      <c r="O22" s="12"/>
      <c r="P22" s="12"/>
      <c r="Q22" s="12"/>
      <c r="R22" s="12"/>
      <c r="S22" s="12"/>
      <c r="T22" s="12"/>
      <c r="U22" s="12"/>
      <c r="V22" s="12"/>
      <c r="W22" s="12"/>
      <c r="X22" s="4"/>
      <c r="Y22" s="40"/>
      <c r="Z22" s="12"/>
      <c r="AA22" s="12"/>
      <c r="AB22" s="12"/>
      <c r="AC22" s="12"/>
      <c r="AD22" s="12"/>
      <c r="AE22" s="12"/>
      <c r="AF22" s="12"/>
      <c r="AG22" s="12"/>
      <c r="AH22" s="12"/>
      <c r="AI22" s="12"/>
      <c r="AJ22" s="12"/>
      <c r="AK22" s="12"/>
      <c r="AL22" s="12"/>
      <c r="AM22" s="12"/>
      <c r="AN22" s="12"/>
      <c r="AO22" s="12"/>
      <c r="AP22" s="12"/>
      <c r="AQ22" s="12"/>
      <c r="AR22" s="12"/>
      <c r="AS22" s="4"/>
      <c r="AT22" s="4"/>
      <c r="AU22" s="40"/>
      <c r="AV22" s="12"/>
      <c r="AW22" s="12"/>
      <c r="AX22" s="12"/>
      <c r="AY22" s="12"/>
      <c r="AZ22" s="12"/>
      <c r="BA22" s="12"/>
      <c r="BB22" s="12"/>
      <c r="BC22" s="12"/>
      <c r="BD22" s="12"/>
      <c r="BE22" s="12"/>
      <c r="BF22" s="12"/>
      <c r="BG22" s="12"/>
      <c r="BH22" s="12"/>
      <c r="BI22" s="12"/>
      <c r="BJ22" s="12"/>
      <c r="BK22" s="12"/>
      <c r="BL22" s="12"/>
      <c r="BM22" s="12"/>
      <c r="BN22" s="12"/>
    </row>
    <row r="23" spans="1:66" ht="13.5" customHeight="1">
      <c r="A23" s="4"/>
      <c r="B23" s="4"/>
      <c r="C23" s="40" t="s">
        <v>1</v>
      </c>
      <c r="D23" s="913" t="s">
        <v>517</v>
      </c>
      <c r="E23" s="861"/>
      <c r="F23" s="861"/>
      <c r="G23" s="913" t="s">
        <v>518</v>
      </c>
      <c r="H23" s="861"/>
      <c r="I23" s="861"/>
      <c r="J23" s="913" t="s">
        <v>519</v>
      </c>
      <c r="K23" s="861"/>
      <c r="L23" s="861"/>
      <c r="M23" s="913" t="str">
        <f>TEXT(Last_FYE,"yyyy")&amp;"A"&amp;" Leverage Analysis"</f>
        <v>2025A Leverage Analysis</v>
      </c>
      <c r="N23" s="861"/>
      <c r="O23" s="861"/>
      <c r="P23" s="913" t="str">
        <f>TEXT(Last_FYE,"yyyy")&amp;"A"&amp;" Coverage Analysis"</f>
        <v>2025A Coverage Analysis</v>
      </c>
      <c r="Q23" s="861"/>
      <c r="R23" s="861"/>
      <c r="S23" s="913" t="s">
        <v>520</v>
      </c>
      <c r="T23" s="861"/>
      <c r="U23" s="913" t="s">
        <v>521</v>
      </c>
      <c r="V23" s="861"/>
      <c r="W23" s="12"/>
      <c r="X23" s="4"/>
      <c r="Y23" s="40" t="s">
        <v>1</v>
      </c>
      <c r="Z23" s="913" t="s">
        <v>517</v>
      </c>
      <c r="AA23" s="861"/>
      <c r="AB23" s="861"/>
      <c r="AC23" s="913" t="s">
        <v>518</v>
      </c>
      <c r="AD23" s="861"/>
      <c r="AE23" s="861"/>
      <c r="AF23" s="913" t="s">
        <v>519</v>
      </c>
      <c r="AG23" s="861"/>
      <c r="AH23" s="861"/>
      <c r="AI23" s="913" t="str">
        <f>TEXT(Last_FYE,"yyyy")&amp;"A"&amp;" Leverage Analysis"</f>
        <v>2025A Leverage Analysis</v>
      </c>
      <c r="AJ23" s="861"/>
      <c r="AK23" s="861"/>
      <c r="AL23" s="913" t="str">
        <f>TEXT(Last_FYE,"yyyy")&amp;"A"&amp;" Coverage Analysis"</f>
        <v>2025A Coverage Analysis</v>
      </c>
      <c r="AM23" s="861"/>
      <c r="AN23" s="861"/>
      <c r="AO23" s="913" t="s">
        <v>520</v>
      </c>
      <c r="AP23" s="861"/>
      <c r="AQ23" s="913" t="s">
        <v>521</v>
      </c>
      <c r="AR23" s="861"/>
      <c r="AS23" s="4"/>
      <c r="AT23" s="4"/>
      <c r="AU23" s="40" t="s">
        <v>1</v>
      </c>
      <c r="AV23" s="913" t="s">
        <v>517</v>
      </c>
      <c r="AW23" s="861"/>
      <c r="AX23" s="861"/>
      <c r="AY23" s="913" t="s">
        <v>518</v>
      </c>
      <c r="AZ23" s="861"/>
      <c r="BA23" s="861"/>
      <c r="BB23" s="913" t="s">
        <v>519</v>
      </c>
      <c r="BC23" s="861"/>
      <c r="BD23" s="861"/>
      <c r="BE23" s="913" t="str">
        <f>TEXT(Last_FYE,"yyyy")&amp;"A"&amp;" Leverage Analysis"</f>
        <v>2025A Leverage Analysis</v>
      </c>
      <c r="BF23" s="861"/>
      <c r="BG23" s="861"/>
      <c r="BH23" s="913" t="str">
        <f>TEXT(Last_FYE,"yyyy")&amp;"A"&amp;" Coverage Analysis"</f>
        <v>2025A Coverage Analysis</v>
      </c>
      <c r="BI23" s="861"/>
      <c r="BJ23" s="861"/>
      <c r="BK23" s="913" t="s">
        <v>520</v>
      </c>
      <c r="BL23" s="861"/>
      <c r="BM23" s="913" t="s">
        <v>521</v>
      </c>
      <c r="BN23" s="861"/>
    </row>
    <row r="24" spans="1:66" ht="13.5" customHeight="1">
      <c r="A24" s="4"/>
      <c r="B24" s="4"/>
      <c r="C24" s="40"/>
      <c r="D24" s="12"/>
      <c r="E24" s="12"/>
      <c r="F24" s="12"/>
      <c r="G24" s="12"/>
      <c r="H24" s="12"/>
      <c r="I24" s="12"/>
      <c r="J24" s="12"/>
      <c r="K24" s="12"/>
      <c r="L24" s="12"/>
      <c r="M24" s="913" t="s">
        <v>522</v>
      </c>
      <c r="N24" s="861"/>
      <c r="O24" s="861"/>
      <c r="P24" s="12"/>
      <c r="Q24" s="12"/>
      <c r="R24" s="12"/>
      <c r="S24" s="12"/>
      <c r="T24" s="12"/>
      <c r="U24" s="12"/>
      <c r="V24" s="12"/>
      <c r="W24" s="12"/>
      <c r="X24" s="4"/>
      <c r="Y24" s="40"/>
      <c r="Z24" s="12"/>
      <c r="AA24" s="12"/>
      <c r="AB24" s="12"/>
      <c r="AC24" s="12"/>
      <c r="AD24" s="12"/>
      <c r="AE24" s="12"/>
      <c r="AF24" s="12"/>
      <c r="AG24" s="12"/>
      <c r="AH24" s="12"/>
      <c r="AI24" s="913" t="s">
        <v>522</v>
      </c>
      <c r="AJ24" s="861"/>
      <c r="AK24" s="861"/>
      <c r="AL24" s="12"/>
      <c r="AM24" s="12"/>
      <c r="AN24" s="12"/>
      <c r="AO24" s="12"/>
      <c r="AP24" s="12"/>
      <c r="AQ24" s="12"/>
      <c r="AR24" s="12"/>
      <c r="AS24" s="4"/>
      <c r="AT24" s="4"/>
      <c r="AU24" s="40"/>
      <c r="AV24" s="12"/>
      <c r="AW24" s="12"/>
      <c r="AX24" s="12"/>
      <c r="AY24" s="12"/>
      <c r="AZ24" s="12"/>
      <c r="BA24" s="12"/>
      <c r="BB24" s="12"/>
      <c r="BC24" s="12"/>
      <c r="BD24" s="12"/>
      <c r="BE24" s="913" t="s">
        <v>522</v>
      </c>
      <c r="BF24" s="861"/>
      <c r="BG24" s="861"/>
      <c r="BH24" s="12"/>
      <c r="BI24" s="12"/>
      <c r="BJ24" s="12"/>
      <c r="BK24" s="12"/>
      <c r="BL24" s="12"/>
      <c r="BM24" s="12"/>
      <c r="BN24" s="12"/>
    </row>
    <row r="25" spans="1:66" ht="13.5" customHeight="1">
      <c r="A25" s="4"/>
      <c r="B25" s="4"/>
      <c r="C25" s="40"/>
      <c r="D25" s="69"/>
      <c r="E25" s="69"/>
      <c r="F25" s="69"/>
      <c r="G25" s="69"/>
      <c r="H25" s="69"/>
      <c r="I25" s="69" t="s">
        <v>523</v>
      </c>
      <c r="J25" s="69"/>
      <c r="K25" s="69"/>
      <c r="L25" s="69"/>
      <c r="M25" s="69"/>
      <c r="N25" s="69"/>
      <c r="O25" s="69"/>
      <c r="P25" s="69" t="s">
        <v>524</v>
      </c>
      <c r="Q25" s="291" t="s">
        <v>525</v>
      </c>
      <c r="R25" s="69" t="s">
        <v>526</v>
      </c>
      <c r="S25" s="69" t="s">
        <v>527</v>
      </c>
      <c r="T25" s="69" t="s">
        <v>528</v>
      </c>
      <c r="U25" s="69"/>
      <c r="V25" s="69"/>
      <c r="W25" s="12"/>
      <c r="X25" s="4"/>
      <c r="Y25" s="40"/>
      <c r="Z25" s="69"/>
      <c r="AA25" s="69"/>
      <c r="AB25" s="69"/>
      <c r="AC25" s="69"/>
      <c r="AD25" s="69"/>
      <c r="AE25" s="69" t="s">
        <v>523</v>
      </c>
      <c r="AF25" s="69"/>
      <c r="AG25" s="69"/>
      <c r="AH25" s="69"/>
      <c r="AI25" s="69"/>
      <c r="AJ25" s="69"/>
      <c r="AK25" s="69"/>
      <c r="AL25" s="69" t="s">
        <v>524</v>
      </c>
      <c r="AM25" s="291" t="s">
        <v>525</v>
      </c>
      <c r="AN25" s="69" t="s">
        <v>526</v>
      </c>
      <c r="AO25" s="69" t="s">
        <v>527</v>
      </c>
      <c r="AP25" s="69" t="s">
        <v>528</v>
      </c>
      <c r="AQ25" s="69"/>
      <c r="AR25" s="69"/>
      <c r="AS25" s="4"/>
      <c r="AT25" s="4"/>
      <c r="AU25" s="40"/>
      <c r="AV25" s="69"/>
      <c r="AW25" s="69"/>
      <c r="AX25" s="69"/>
      <c r="AY25" s="69"/>
      <c r="AZ25" s="69"/>
      <c r="BA25" s="69" t="s">
        <v>523</v>
      </c>
      <c r="BB25" s="69"/>
      <c r="BC25" s="69"/>
      <c r="BD25" s="69"/>
      <c r="BE25" s="69"/>
      <c r="BF25" s="69"/>
      <c r="BG25" s="69"/>
      <c r="BH25" s="69" t="s">
        <v>524</v>
      </c>
      <c r="BI25" s="291" t="s">
        <v>525</v>
      </c>
      <c r="BJ25" s="69" t="s">
        <v>526</v>
      </c>
      <c r="BK25" s="69" t="s">
        <v>527</v>
      </c>
      <c r="BL25" s="69" t="s">
        <v>528</v>
      </c>
      <c r="BM25" s="69"/>
      <c r="BN25" s="69"/>
    </row>
    <row r="26" spans="1:66" ht="13.5" customHeight="1">
      <c r="A26" s="4"/>
      <c r="B26" s="4"/>
      <c r="C26" s="40"/>
      <c r="D26" s="108"/>
      <c r="E26" s="69"/>
      <c r="F26" s="483" t="s">
        <v>25</v>
      </c>
      <c r="G26" s="483" t="s">
        <v>298</v>
      </c>
      <c r="H26" s="483" t="s">
        <v>529</v>
      </c>
      <c r="I26" s="483" t="s">
        <v>530</v>
      </c>
      <c r="J26" s="483" t="s">
        <v>531</v>
      </c>
      <c r="K26" s="483" t="s">
        <v>532</v>
      </c>
      <c r="L26" s="483" t="s">
        <v>533</v>
      </c>
      <c r="M26" s="483" t="s">
        <v>496</v>
      </c>
      <c r="N26" s="483" t="s">
        <v>292</v>
      </c>
      <c r="O26" s="483" t="s">
        <v>534</v>
      </c>
      <c r="P26" s="483" t="s">
        <v>535</v>
      </c>
      <c r="Q26" s="523" t="s">
        <v>536</v>
      </c>
      <c r="R26" s="483" t="s">
        <v>535</v>
      </c>
      <c r="S26" s="483" t="s">
        <v>537</v>
      </c>
      <c r="T26" s="483" t="s">
        <v>537</v>
      </c>
      <c r="U26" s="483" t="s">
        <v>538</v>
      </c>
      <c r="V26" s="483" t="s">
        <v>539</v>
      </c>
      <c r="W26" s="12"/>
      <c r="X26" s="4"/>
      <c r="Y26" s="40"/>
      <c r="Z26" s="108"/>
      <c r="AA26" s="69"/>
      <c r="AB26" s="483" t="s">
        <v>25</v>
      </c>
      <c r="AC26" s="483" t="s">
        <v>298</v>
      </c>
      <c r="AD26" s="483" t="s">
        <v>529</v>
      </c>
      <c r="AE26" s="483" t="s">
        <v>530</v>
      </c>
      <c r="AF26" s="483" t="s">
        <v>531</v>
      </c>
      <c r="AG26" s="483" t="s">
        <v>532</v>
      </c>
      <c r="AH26" s="483" t="s">
        <v>533</v>
      </c>
      <c r="AI26" s="483" t="s">
        <v>496</v>
      </c>
      <c r="AJ26" s="483" t="s">
        <v>292</v>
      </c>
      <c r="AK26" s="483" t="s">
        <v>534</v>
      </c>
      <c r="AL26" s="483" t="s">
        <v>535</v>
      </c>
      <c r="AM26" s="523" t="s">
        <v>536</v>
      </c>
      <c r="AN26" s="483" t="s">
        <v>535</v>
      </c>
      <c r="AO26" s="483" t="s">
        <v>537</v>
      </c>
      <c r="AP26" s="483" t="s">
        <v>537</v>
      </c>
      <c r="AQ26" s="483" t="s">
        <v>538</v>
      </c>
      <c r="AR26" s="483" t="s">
        <v>539</v>
      </c>
      <c r="AS26" s="4"/>
      <c r="AT26" s="4"/>
      <c r="AU26" s="40"/>
      <c r="AV26" s="108"/>
      <c r="AW26" s="69"/>
      <c r="AX26" s="483" t="s">
        <v>25</v>
      </c>
      <c r="AY26" s="483" t="s">
        <v>298</v>
      </c>
      <c r="AZ26" s="483" t="s">
        <v>529</v>
      </c>
      <c r="BA26" s="483" t="s">
        <v>530</v>
      </c>
      <c r="BB26" s="483" t="s">
        <v>531</v>
      </c>
      <c r="BC26" s="483" t="s">
        <v>532</v>
      </c>
      <c r="BD26" s="483" t="s">
        <v>533</v>
      </c>
      <c r="BE26" s="483" t="s">
        <v>496</v>
      </c>
      <c r="BF26" s="483" t="s">
        <v>292</v>
      </c>
      <c r="BG26" s="483" t="s">
        <v>534</v>
      </c>
      <c r="BH26" s="483" t="s">
        <v>535</v>
      </c>
      <c r="BI26" s="523" t="s">
        <v>536</v>
      </c>
      <c r="BJ26" s="483" t="s">
        <v>535</v>
      </c>
      <c r="BK26" s="483" t="s">
        <v>537</v>
      </c>
      <c r="BL26" s="483" t="s">
        <v>537</v>
      </c>
      <c r="BM26" s="483" t="s">
        <v>538</v>
      </c>
      <c r="BN26" s="483" t="s">
        <v>539</v>
      </c>
    </row>
    <row r="27" spans="1:66" ht="4.5" customHeight="1">
      <c r="A27" s="4"/>
      <c r="B27" s="4"/>
      <c r="C27" s="40"/>
      <c r="D27" s="69"/>
      <c r="E27" s="69"/>
      <c r="F27" s="69"/>
      <c r="G27" s="69"/>
      <c r="H27" s="69"/>
      <c r="I27" s="12"/>
      <c r="J27" s="485"/>
      <c r="K27" s="69"/>
      <c r="L27" s="69"/>
      <c r="M27" s="69"/>
      <c r="N27" s="69"/>
      <c r="O27" s="69"/>
      <c r="P27" s="69"/>
      <c r="Q27" s="69"/>
      <c r="R27" s="69"/>
      <c r="S27" s="69"/>
      <c r="T27" s="69"/>
      <c r="U27" s="69"/>
      <c r="V27" s="69"/>
      <c r="W27" s="12"/>
      <c r="X27" s="4"/>
      <c r="Y27" s="40"/>
      <c r="Z27" s="69"/>
      <c r="AA27" s="69"/>
      <c r="AB27" s="69"/>
      <c r="AC27" s="69"/>
      <c r="AD27" s="69"/>
      <c r="AE27" s="12"/>
      <c r="AF27" s="485"/>
      <c r="AG27" s="69"/>
      <c r="AH27" s="69"/>
      <c r="AI27" s="69"/>
      <c r="AJ27" s="69"/>
      <c r="AK27" s="69"/>
      <c r="AL27" s="69"/>
      <c r="AM27" s="69"/>
      <c r="AN27" s="69"/>
      <c r="AO27" s="69"/>
      <c r="AP27" s="69"/>
      <c r="AQ27" s="69"/>
      <c r="AR27" s="69"/>
      <c r="AS27" s="4"/>
      <c r="AT27" s="4"/>
      <c r="AU27" s="40"/>
      <c r="AV27" s="69"/>
      <c r="AW27" s="69"/>
      <c r="AX27" s="69"/>
      <c r="AY27" s="69"/>
      <c r="AZ27" s="69"/>
      <c r="BA27" s="12"/>
      <c r="BB27" s="485"/>
      <c r="BC27" s="69"/>
      <c r="BD27" s="69"/>
      <c r="BE27" s="69"/>
      <c r="BF27" s="69"/>
      <c r="BG27" s="69"/>
      <c r="BH27" s="69"/>
      <c r="BI27" s="69"/>
      <c r="BJ27" s="69"/>
      <c r="BK27" s="69"/>
      <c r="BL27" s="69"/>
      <c r="BM27" s="69"/>
      <c r="BN27" s="69"/>
    </row>
    <row r="28" spans="1:66" ht="13.5" customHeight="1">
      <c r="A28" s="4"/>
      <c r="B28" s="4"/>
      <c r="C28" s="40"/>
      <c r="D28" s="14" t="str">
        <f>Company_Name</f>
        <v>NETFLIX INC</v>
      </c>
      <c r="E28" s="15"/>
      <c r="F28" s="56" t="s">
        <v>498</v>
      </c>
      <c r="G28" s="487">
        <v>0.24602599999999999</v>
      </c>
      <c r="H28" s="524">
        <v>1.3267899999999999</v>
      </c>
      <c r="I28" s="487">
        <v>1.5541000000000001E-2</v>
      </c>
      <c r="J28" s="487">
        <v>0.39441918935110964</v>
      </c>
      <c r="K28" s="487">
        <v>3.3532639999999998</v>
      </c>
      <c r="L28" s="487">
        <v>0.153199</v>
      </c>
      <c r="M28" s="488">
        <v>0.9480249999999999</v>
      </c>
      <c r="N28" s="488">
        <v>1.9578</v>
      </c>
      <c r="O28" s="488">
        <v>18.240082999999998</v>
      </c>
      <c r="P28" s="488">
        <v>15.353210000000001</v>
      </c>
      <c r="Q28" s="488">
        <v>13.29931</v>
      </c>
      <c r="R28" s="488">
        <v>12.490830000000001</v>
      </c>
      <c r="S28" s="524">
        <v>0.27742</v>
      </c>
      <c r="T28" s="524">
        <v>1.1919900000000001</v>
      </c>
      <c r="U28" s="56" t="s">
        <v>540</v>
      </c>
      <c r="V28" s="57" t="s">
        <v>541</v>
      </c>
      <c r="W28" s="12"/>
      <c r="X28" s="4"/>
      <c r="Y28" s="40"/>
      <c r="Z28" s="14" t="str">
        <f>Company_Name</f>
        <v>NETFLIX INC</v>
      </c>
      <c r="AA28" s="15"/>
      <c r="AB28" s="56" t="s">
        <v>498</v>
      </c>
      <c r="AC28" s="490">
        <v>0.24602599999999999</v>
      </c>
      <c r="AD28" s="524">
        <v>1.3267899999999999</v>
      </c>
      <c r="AE28" s="490">
        <v>1.5541000000000001E-2</v>
      </c>
      <c r="AF28" s="490">
        <v>0.39441918935110964</v>
      </c>
      <c r="AG28" s="490">
        <v>3.3532639999999998</v>
      </c>
      <c r="AH28" s="490">
        <v>0.153199</v>
      </c>
      <c r="AI28" s="488">
        <v>94.802499999999995</v>
      </c>
      <c r="AJ28" s="488">
        <v>1.9578</v>
      </c>
      <c r="AK28" s="488">
        <v>1824.0083</v>
      </c>
      <c r="AL28" s="488">
        <v>15.353210000000001</v>
      </c>
      <c r="AM28" s="488">
        <v>13.29931</v>
      </c>
      <c r="AN28" s="488">
        <v>12.490830000000001</v>
      </c>
      <c r="AO28" s="524">
        <v>0.27742</v>
      </c>
      <c r="AP28" s="524">
        <v>1.1919900000000001</v>
      </c>
      <c r="AQ28" s="56" t="s">
        <v>540</v>
      </c>
      <c r="AR28" s="57" t="s">
        <v>541</v>
      </c>
      <c r="AS28" s="4"/>
      <c r="AT28" s="4"/>
      <c r="AU28" s="40"/>
      <c r="AV28" s="14" t="str">
        <f>Company_Name</f>
        <v>NETFLIX INC</v>
      </c>
      <c r="AW28" s="15"/>
      <c r="AX28" s="56" t="s">
        <v>498</v>
      </c>
      <c r="AY28" s="490">
        <v>0.24602599999999999</v>
      </c>
      <c r="AZ28" s="524">
        <v>1.3267899999999999</v>
      </c>
      <c r="BA28" s="490">
        <v>1.5541000000000001E-2</v>
      </c>
      <c r="BB28" s="490">
        <v>0.39441918935110964</v>
      </c>
      <c r="BC28" s="490">
        <v>3.3532639999999998</v>
      </c>
      <c r="BD28" s="490">
        <v>0.153199</v>
      </c>
      <c r="BE28" s="488">
        <v>94.802499999999995</v>
      </c>
      <c r="BF28" s="488">
        <v>1.9578</v>
      </c>
      <c r="BG28" s="488">
        <v>1824.0083</v>
      </c>
      <c r="BH28" s="488">
        <v>15.353210000000001</v>
      </c>
      <c r="BI28" s="488">
        <v>13.29931</v>
      </c>
      <c r="BJ28" s="488">
        <v>12.490830000000001</v>
      </c>
      <c r="BK28" s="524">
        <v>0.27742</v>
      </c>
      <c r="BL28" s="524">
        <v>1.1919900000000001</v>
      </c>
      <c r="BM28" s="56" t="s">
        <v>540</v>
      </c>
      <c r="BN28" s="57" t="s">
        <v>541</v>
      </c>
    </row>
    <row r="29" spans="1:66" ht="13.5" customHeight="1">
      <c r="A29" s="4"/>
      <c r="B29" s="4"/>
      <c r="C29" s="40"/>
      <c r="D29" s="12"/>
      <c r="E29" s="12"/>
      <c r="F29" s="69"/>
      <c r="G29" s="492"/>
      <c r="H29" s="69"/>
      <c r="I29" s="497"/>
      <c r="J29" s="497"/>
      <c r="K29" s="497"/>
      <c r="L29" s="497"/>
      <c r="M29" s="525"/>
      <c r="N29" s="496"/>
      <c r="O29" s="525"/>
      <c r="P29" s="496"/>
      <c r="Q29" s="493"/>
      <c r="R29" s="493"/>
      <c r="S29" s="69"/>
      <c r="T29" s="69"/>
      <c r="U29" s="69"/>
      <c r="V29" s="69"/>
      <c r="W29" s="12"/>
      <c r="X29" s="4"/>
      <c r="Y29" s="40"/>
      <c r="Z29" s="12"/>
      <c r="AA29" s="12"/>
      <c r="AB29" s="69"/>
      <c r="AC29" s="492"/>
      <c r="AD29" s="69"/>
      <c r="AE29" s="497"/>
      <c r="AF29" s="497"/>
      <c r="AG29" s="497"/>
      <c r="AH29" s="497"/>
      <c r="AI29" s="525"/>
      <c r="AJ29" s="496"/>
      <c r="AK29" s="525"/>
      <c r="AL29" s="496"/>
      <c r="AM29" s="493"/>
      <c r="AN29" s="493"/>
      <c r="AO29" s="69"/>
      <c r="AP29" s="69"/>
      <c r="AQ29" s="69"/>
      <c r="AR29" s="69"/>
      <c r="AS29" s="4"/>
      <c r="AT29" s="4"/>
      <c r="AU29" s="40"/>
      <c r="AV29" s="12"/>
      <c r="AW29" s="12"/>
      <c r="AX29" s="69"/>
      <c r="AY29" s="492"/>
      <c r="AZ29" s="69"/>
      <c r="BA29" s="497"/>
      <c r="BB29" s="497"/>
      <c r="BC29" s="497"/>
      <c r="BD29" s="497"/>
      <c r="BE29" s="525"/>
      <c r="BF29" s="496"/>
      <c r="BG29" s="525"/>
      <c r="BH29" s="496"/>
      <c r="BI29" s="493"/>
      <c r="BJ29" s="493"/>
      <c r="BK29" s="69"/>
      <c r="BL29" s="69"/>
      <c r="BM29" s="69"/>
      <c r="BN29" s="69"/>
    </row>
    <row r="30" spans="1:66" ht="13.5" customHeight="1">
      <c r="A30" s="4"/>
      <c r="B30" s="4"/>
      <c r="C30" s="40"/>
      <c r="D30" s="12" t="e">
        <f t="shared" ref="D30:D34" ca="1" si="15">D53</f>
        <v>#NAME?</v>
      </c>
      <c r="E30" s="12"/>
      <c r="F30" s="69" t="s">
        <v>499</v>
      </c>
      <c r="G30" s="495">
        <v>0.14428099999999999</v>
      </c>
      <c r="H30" s="526">
        <v>1.2027699999999999</v>
      </c>
      <c r="I30" s="495">
        <v>5.9209999999999992E-3</v>
      </c>
      <c r="J30" s="495">
        <v>0.51604108967481488</v>
      </c>
      <c r="K30" s="495">
        <v>1.2712460000000001</v>
      </c>
      <c r="L30" s="495">
        <v>0.19302399999999997</v>
      </c>
      <c r="M30" s="496">
        <v>0.65174200000000004</v>
      </c>
      <c r="N30" s="496">
        <v>1.3872500000000001</v>
      </c>
      <c r="O30" s="496">
        <v>1.8714390000000001</v>
      </c>
      <c r="P30" s="496">
        <v>30.680129999999998</v>
      </c>
      <c r="Q30" s="496">
        <v>28.136089999999999</v>
      </c>
      <c r="R30" s="496">
        <v>23.072749999999999</v>
      </c>
      <c r="S30" s="526">
        <v>1.2181900000000001</v>
      </c>
      <c r="T30" s="526">
        <v>1.3635999999999999</v>
      </c>
      <c r="U30" s="69" t="s">
        <v>542</v>
      </c>
      <c r="V30" s="69" t="s">
        <v>541</v>
      </c>
      <c r="W30" s="12"/>
      <c r="X30" s="4"/>
      <c r="Y30" s="40"/>
      <c r="Z30" s="12" t="e">
        <f t="shared" ref="Z30:Z34" ca="1" si="16">Z53</f>
        <v>#NAME?</v>
      </c>
      <c r="AA30" s="12"/>
      <c r="AB30" s="69" t="s">
        <v>500</v>
      </c>
      <c r="AC30" s="492">
        <v>0.14074</v>
      </c>
      <c r="AD30" s="526">
        <v>1.0573999999999999</v>
      </c>
      <c r="AE30" s="492">
        <v>2.3887000000000002E-2</v>
      </c>
      <c r="AF30" s="492">
        <v>0.21877749021799892</v>
      </c>
      <c r="AG30" s="492">
        <v>3.2482000000000004E-2</v>
      </c>
      <c r="AH30" s="492">
        <v>1.7917000000000002E-2</v>
      </c>
      <c r="AI30" s="496">
        <v>31.401499999999999</v>
      </c>
      <c r="AJ30" s="496">
        <v>4.7381599999999997</v>
      </c>
      <c r="AK30" s="496">
        <v>45.775799999999997</v>
      </c>
      <c r="AL30" s="496">
        <v>5.0696000000000003</v>
      </c>
      <c r="AM30" s="496">
        <v>3.79474</v>
      </c>
      <c r="AN30" s="496">
        <v>1.76491</v>
      </c>
      <c r="AO30" s="526">
        <v>0.78071000000000002</v>
      </c>
      <c r="AP30" s="526">
        <v>1.21</v>
      </c>
      <c r="AQ30" s="69" t="s">
        <v>543</v>
      </c>
      <c r="AR30" s="69" t="s">
        <v>544</v>
      </c>
      <c r="AS30" s="4"/>
      <c r="AT30" s="4"/>
      <c r="AU30" s="40"/>
      <c r="AV30" s="12" t="e">
        <f t="shared" ref="AV30:AV34" ca="1" si="17">AV53</f>
        <v>#NAME?</v>
      </c>
      <c r="AW30" s="12"/>
      <c r="AX30" s="69" t="s">
        <v>501</v>
      </c>
      <c r="AY30" s="492">
        <v>0.19653999999999999</v>
      </c>
      <c r="AZ30" s="526">
        <v>0.95801999999999998</v>
      </c>
      <c r="BA30" s="492">
        <v>3.0351E-2</v>
      </c>
      <c r="BB30" s="492">
        <v>0.22662902487906014</v>
      </c>
      <c r="BC30" s="492">
        <v>0.46612399999999998</v>
      </c>
      <c r="BD30" s="492">
        <v>0.10926399999999999</v>
      </c>
      <c r="BE30" s="496">
        <v>60.462899999999998</v>
      </c>
      <c r="BF30" s="496">
        <v>2.09659</v>
      </c>
      <c r="BG30" s="496">
        <v>152.92699999999999</v>
      </c>
      <c r="BH30" s="496">
        <v>17.82987</v>
      </c>
      <c r="BI30" s="496">
        <v>14.99244</v>
      </c>
      <c r="BJ30" s="496">
        <v>13.36862</v>
      </c>
      <c r="BK30" s="526">
        <v>1.2424500000000001</v>
      </c>
      <c r="BL30" s="526">
        <v>1.885</v>
      </c>
      <c r="BM30" s="69" t="s">
        <v>545</v>
      </c>
      <c r="BN30" s="69" t="s">
        <v>544</v>
      </c>
    </row>
    <row r="31" spans="1:66" ht="13.5" customHeight="1">
      <c r="A31" s="4"/>
      <c r="B31" s="4"/>
      <c r="C31" s="40"/>
      <c r="D31" s="12" t="e">
        <f t="shared" ca="1" si="15"/>
        <v>#NAME?</v>
      </c>
      <c r="E31" s="12"/>
      <c r="F31" s="69" t="s">
        <v>502</v>
      </c>
      <c r="G31" s="495">
        <v>0.12157899999999999</v>
      </c>
      <c r="H31" s="526">
        <v>1.29172</v>
      </c>
      <c r="I31" s="495">
        <v>0</v>
      </c>
      <c r="J31" s="495">
        <v>0.29079700276366233</v>
      </c>
      <c r="K31" s="495">
        <v>0.31331700000000001</v>
      </c>
      <c r="L31" s="495">
        <v>0.179503</v>
      </c>
      <c r="M31" s="496">
        <v>8.0139999999999989E-2</v>
      </c>
      <c r="N31" s="496">
        <v>0.27133000000000002</v>
      </c>
      <c r="O31" s="496">
        <v>8.7121999999999991E-2</v>
      </c>
      <c r="P31" s="496">
        <v>0</v>
      </c>
      <c r="Q31" s="496">
        <v>0</v>
      </c>
      <c r="R31" s="496">
        <v>0</v>
      </c>
      <c r="S31" s="526">
        <v>4.8921299999999999</v>
      </c>
      <c r="T31" s="526">
        <v>5.0510599999999997</v>
      </c>
      <c r="U31" s="69" t="s">
        <v>546</v>
      </c>
      <c r="V31" s="69" t="s">
        <v>541</v>
      </c>
      <c r="W31" s="12"/>
      <c r="X31" s="4"/>
      <c r="Y31" s="40"/>
      <c r="Z31" s="12" t="e">
        <f t="shared" ca="1" si="16"/>
        <v>#NAME?</v>
      </c>
      <c r="AA31" s="12"/>
      <c r="AB31" s="69" t="s">
        <v>503</v>
      </c>
      <c r="AC31" s="492">
        <v>0.14074</v>
      </c>
      <c r="AD31" s="526">
        <v>1.6202799999999999</v>
      </c>
      <c r="AE31" s="492">
        <v>0</v>
      </c>
      <c r="AF31" s="492">
        <v>0.21877749021799892</v>
      </c>
      <c r="AG31" s="492">
        <v>3.2482000000000004E-2</v>
      </c>
      <c r="AH31" s="492">
        <v>-1.6131E-2</v>
      </c>
      <c r="AI31" s="496">
        <v>138.57230000000001</v>
      </c>
      <c r="AJ31" s="496" t="s">
        <v>504</v>
      </c>
      <c r="AK31" s="496" t="s">
        <v>504</v>
      </c>
      <c r="AL31" s="496" t="s">
        <v>504</v>
      </c>
      <c r="AM31" s="496" t="s">
        <v>504</v>
      </c>
      <c r="AN31" s="496" t="s">
        <v>504</v>
      </c>
      <c r="AO31" s="526">
        <v>0.40834999999999999</v>
      </c>
      <c r="AP31" s="526">
        <v>1.3936999999999999</v>
      </c>
      <c r="AQ31" s="69" t="s">
        <v>547</v>
      </c>
      <c r="AR31" s="69" t="s">
        <v>544</v>
      </c>
      <c r="AS31" s="4"/>
      <c r="AT31" s="4"/>
      <c r="AU31" s="40"/>
      <c r="AV31" s="12" t="e">
        <f t="shared" ca="1" si="17"/>
        <v>#NAME?</v>
      </c>
      <c r="AW31" s="12"/>
      <c r="AX31" s="69" t="s">
        <v>505</v>
      </c>
      <c r="AY31" s="492">
        <v>0.19653999999999999</v>
      </c>
      <c r="AZ31" s="526">
        <v>1.0765100000000001</v>
      </c>
      <c r="BA31" s="492">
        <v>3.0159999999999996E-3</v>
      </c>
      <c r="BB31" s="492">
        <v>0.22662902487906014</v>
      </c>
      <c r="BC31" s="492">
        <v>2.2750000000000001E-3</v>
      </c>
      <c r="BD31" s="492">
        <v>2.2489999999999997E-3</v>
      </c>
      <c r="BE31" s="496">
        <v>67.793300000000002</v>
      </c>
      <c r="BF31" s="496">
        <v>11.469580000000001</v>
      </c>
      <c r="BG31" s="496">
        <v>210.49520000000001</v>
      </c>
      <c r="BH31" s="496">
        <v>5.1042800000000002</v>
      </c>
      <c r="BI31" s="496">
        <v>2.6646700000000001</v>
      </c>
      <c r="BJ31" s="496" t="s">
        <v>504</v>
      </c>
      <c r="BK31" s="526">
        <v>1.21993</v>
      </c>
      <c r="BL31" s="526">
        <v>1.57684</v>
      </c>
      <c r="BM31" s="69" t="s">
        <v>540</v>
      </c>
      <c r="BN31" s="69" t="s">
        <v>548</v>
      </c>
    </row>
    <row r="32" spans="1:66" ht="13.5" customHeight="1">
      <c r="A32" s="4"/>
      <c r="B32" s="4"/>
      <c r="C32" s="40"/>
      <c r="D32" s="12" t="e">
        <f t="shared" ca="1" si="15"/>
        <v>#NAME?</v>
      </c>
      <c r="E32" s="12"/>
      <c r="F32" s="69" t="s">
        <v>506</v>
      </c>
      <c r="G32" s="495">
        <v>0.138266</v>
      </c>
      <c r="H32" s="526">
        <v>0.77607999999999999</v>
      </c>
      <c r="I32" s="495">
        <v>7.4729999999999996E-3</v>
      </c>
      <c r="J32" s="495">
        <v>0.2868426045457575</v>
      </c>
      <c r="K32" s="495">
        <v>0.47078600000000004</v>
      </c>
      <c r="L32" s="495">
        <v>0.13760999999999998</v>
      </c>
      <c r="M32" s="496">
        <v>0.36687600000000004</v>
      </c>
      <c r="N32" s="496">
        <v>0.99197999999999997</v>
      </c>
      <c r="O32" s="496">
        <v>0.57947099999999996</v>
      </c>
      <c r="P32" s="496">
        <v>35.597850000000001</v>
      </c>
      <c r="Q32" s="496">
        <v>26.747209999999999</v>
      </c>
      <c r="R32" s="496">
        <v>30.006869999999999</v>
      </c>
      <c r="S32" s="526">
        <v>1.89832</v>
      </c>
      <c r="T32" s="526">
        <v>2.07999</v>
      </c>
      <c r="U32" s="69" t="s">
        <v>546</v>
      </c>
      <c r="V32" s="69" t="s">
        <v>541</v>
      </c>
      <c r="W32" s="12"/>
      <c r="X32" s="4"/>
      <c r="Y32" s="40"/>
      <c r="Z32" s="12" t="e">
        <f t="shared" ca="1" si="16"/>
        <v>#NAME?</v>
      </c>
      <c r="AA32" s="12"/>
      <c r="AB32" s="69" t="s">
        <v>507</v>
      </c>
      <c r="AC32" s="492">
        <v>0.14074</v>
      </c>
      <c r="AD32" s="526">
        <v>1.00423</v>
      </c>
      <c r="AE32" s="492">
        <v>2.2029999999999998E-2</v>
      </c>
      <c r="AF32" s="492">
        <v>0.21877749021799892</v>
      </c>
      <c r="AG32" s="492">
        <v>0.39946500000000001</v>
      </c>
      <c r="AH32" s="492">
        <v>6.9584000000000007E-2</v>
      </c>
      <c r="AI32" s="496">
        <v>49.722200000000001</v>
      </c>
      <c r="AJ32" s="496">
        <v>1.5284599999999999</v>
      </c>
      <c r="AK32" s="496">
        <v>98.895300000000006</v>
      </c>
      <c r="AL32" s="496">
        <v>10.78947</v>
      </c>
      <c r="AM32" s="496">
        <v>7.6929800000000004</v>
      </c>
      <c r="AN32" s="496">
        <v>7.7719300000000002</v>
      </c>
      <c r="AO32" s="526">
        <v>0.95642000000000005</v>
      </c>
      <c r="AP32" s="526">
        <v>1.0979300000000001</v>
      </c>
      <c r="AQ32" s="69" t="s">
        <v>547</v>
      </c>
      <c r="AR32" s="69" t="s">
        <v>544</v>
      </c>
      <c r="AS32" s="4"/>
      <c r="AT32" s="4"/>
      <c r="AU32" s="40"/>
      <c r="AV32" s="12" t="e">
        <f t="shared" ca="1" si="17"/>
        <v>#NAME?</v>
      </c>
      <c r="AW32" s="12"/>
      <c r="AX32" s="69" t="s">
        <v>508</v>
      </c>
      <c r="AY32" s="492">
        <v>0.19078499999999998</v>
      </c>
      <c r="AZ32" s="526">
        <v>1.1858299999999999</v>
      </c>
      <c r="BA32" s="492">
        <v>1.6094000000000001E-2</v>
      </c>
      <c r="BB32" s="492">
        <v>0.20011679501698756</v>
      </c>
      <c r="BC32" s="492">
        <v>0.27636500000000003</v>
      </c>
      <c r="BD32" s="492">
        <v>7.0619000000000001E-2</v>
      </c>
      <c r="BE32" s="496">
        <v>56.602200000000003</v>
      </c>
      <c r="BF32" s="496">
        <v>2.9363700000000001</v>
      </c>
      <c r="BG32" s="496">
        <v>130.4264</v>
      </c>
      <c r="BH32" s="496">
        <v>22.019500000000001</v>
      </c>
      <c r="BI32" s="496">
        <v>19.495819999999998</v>
      </c>
      <c r="BJ32" s="496">
        <v>18.53482</v>
      </c>
      <c r="BK32" s="526">
        <v>1.15815</v>
      </c>
      <c r="BL32" s="526">
        <v>1.4676800000000001</v>
      </c>
      <c r="BM32" s="69" t="s">
        <v>549</v>
      </c>
      <c r="BN32" s="69" t="s">
        <v>541</v>
      </c>
    </row>
    <row r="33" spans="1:66" ht="13.5" customHeight="1">
      <c r="A33" s="4"/>
      <c r="B33" s="4"/>
      <c r="C33" s="40"/>
      <c r="D33" s="12" t="e">
        <f t="shared" ca="1" si="15"/>
        <v>#NAME?</v>
      </c>
      <c r="E33" s="12"/>
      <c r="F33" s="69" t="s">
        <v>509</v>
      </c>
      <c r="G33" s="495">
        <v>0.138266</v>
      </c>
      <c r="H33" s="526">
        <v>1.27315</v>
      </c>
      <c r="I33" s="495">
        <v>0</v>
      </c>
      <c r="J33" s="495">
        <v>0.2868426045457575</v>
      </c>
      <c r="K33" s="495">
        <v>-0.29455100000000001</v>
      </c>
      <c r="L33" s="495">
        <v>-8.1477999999999995E-2</v>
      </c>
      <c r="M33" s="496">
        <v>0.462335</v>
      </c>
      <c r="N33" s="496" t="s">
        <v>504</v>
      </c>
      <c r="O33" s="496">
        <v>0.85989599999999999</v>
      </c>
      <c r="P33" s="496" t="s">
        <v>504</v>
      </c>
      <c r="Q33" s="496" t="s">
        <v>504</v>
      </c>
      <c r="R33" s="496" t="s">
        <v>504</v>
      </c>
      <c r="S33" s="526">
        <v>4.9178699999999997</v>
      </c>
      <c r="T33" s="526">
        <v>5.0020100000000003</v>
      </c>
      <c r="U33" s="69" t="s">
        <v>546</v>
      </c>
      <c r="V33" s="69" t="s">
        <v>541</v>
      </c>
      <c r="W33" s="12"/>
      <c r="X33" s="4"/>
      <c r="Y33" s="40"/>
      <c r="Z33" s="12" t="e">
        <f t="shared" ca="1" si="16"/>
        <v>#NAME?</v>
      </c>
      <c r="AA33" s="12"/>
      <c r="AB33" s="69" t="s">
        <v>510</v>
      </c>
      <c r="AC33" s="492">
        <v>0.16356999999999999</v>
      </c>
      <c r="AD33" s="526">
        <v>0.97955999999999999</v>
      </c>
      <c r="AE33" s="492">
        <v>2.8730000000000002E-2</v>
      </c>
      <c r="AF33" s="492">
        <v>0.47399097894209075</v>
      </c>
      <c r="AG33" s="492">
        <v>1.395308</v>
      </c>
      <c r="AH33" s="492">
        <v>0.11113300000000001</v>
      </c>
      <c r="AI33" s="496">
        <v>68.750600000000006</v>
      </c>
      <c r="AJ33" s="496">
        <v>1.2992999999999999</v>
      </c>
      <c r="AK33" s="496">
        <v>220.00659999999999</v>
      </c>
      <c r="AL33" s="496">
        <v>17.299489999999999</v>
      </c>
      <c r="AM33" s="496">
        <v>14.31134</v>
      </c>
      <c r="AN33" s="496">
        <v>15.020300000000001</v>
      </c>
      <c r="AO33" s="526">
        <v>1.05383</v>
      </c>
      <c r="AP33" s="526">
        <v>1.3908</v>
      </c>
      <c r="AQ33" s="69" t="s">
        <v>543</v>
      </c>
      <c r="AR33" s="69" t="s">
        <v>541</v>
      </c>
      <c r="AS33" s="4"/>
      <c r="AT33" s="4"/>
      <c r="AU33" s="40"/>
      <c r="AV33" s="12" t="e">
        <f t="shared" ca="1" si="17"/>
        <v>#NAME?</v>
      </c>
      <c r="AW33" s="12"/>
      <c r="AX33" s="69" t="s">
        <v>511</v>
      </c>
      <c r="AY33" s="492">
        <v>0.214669</v>
      </c>
      <c r="AZ33" s="526">
        <v>1.0453399999999999</v>
      </c>
      <c r="BA33" s="492">
        <v>4.7010000000000003E-3</v>
      </c>
      <c r="BB33" s="492">
        <v>6.2702786118550582E-2</v>
      </c>
      <c r="BC33" s="492">
        <v>0.10162599999999999</v>
      </c>
      <c r="BD33" s="492">
        <v>4.5176000000000001E-2</v>
      </c>
      <c r="BE33" s="496">
        <v>48.453000000000003</v>
      </c>
      <c r="BF33" s="496">
        <v>4.8756700000000004</v>
      </c>
      <c r="BG33" s="496">
        <v>93.997900000000001</v>
      </c>
      <c r="BH33" s="496">
        <v>9.2297899999999995</v>
      </c>
      <c r="BI33" s="496">
        <v>9.0872499999999992</v>
      </c>
      <c r="BJ33" s="496">
        <v>6.5376899999999996</v>
      </c>
      <c r="BK33" s="526">
        <v>0.58701999999999999</v>
      </c>
      <c r="BL33" s="526">
        <v>0.71686000000000005</v>
      </c>
      <c r="BM33" s="69" t="s">
        <v>540</v>
      </c>
      <c r="BN33" s="69" t="s">
        <v>541</v>
      </c>
    </row>
    <row r="34" spans="1:66" ht="13.5" customHeight="1">
      <c r="A34" s="4"/>
      <c r="B34" s="4"/>
      <c r="C34" s="40"/>
      <c r="D34" s="12" t="e">
        <f t="shared" ca="1" si="15"/>
        <v>#NAME?</v>
      </c>
      <c r="E34" s="12"/>
      <c r="F34" s="69" t="s">
        <v>512</v>
      </c>
      <c r="G34" s="495">
        <v>0.16249300000000003</v>
      </c>
      <c r="H34" s="526">
        <v>0.99924999999999997</v>
      </c>
      <c r="I34" s="495">
        <v>0</v>
      </c>
      <c r="J34" s="495">
        <v>0.21682668542696129</v>
      </c>
      <c r="K34" s="495">
        <v>0.28289799999999998</v>
      </c>
      <c r="L34" s="495">
        <v>0.12759399999999999</v>
      </c>
      <c r="M34" s="496">
        <v>0.111302</v>
      </c>
      <c r="N34" s="496">
        <v>0.48231000000000002</v>
      </c>
      <c r="O34" s="496">
        <v>0.12524199999999999</v>
      </c>
      <c r="P34" s="496">
        <v>428.06666999999999</v>
      </c>
      <c r="Q34" s="496">
        <v>263.02222</v>
      </c>
      <c r="R34" s="496">
        <v>305.36295999999999</v>
      </c>
      <c r="S34" s="526">
        <v>2.9573499999999999</v>
      </c>
      <c r="T34" s="526">
        <v>3.0667599999999999</v>
      </c>
      <c r="U34" s="69" t="s">
        <v>542</v>
      </c>
      <c r="V34" s="69" t="s">
        <v>541</v>
      </c>
      <c r="W34" s="12"/>
      <c r="X34" s="4"/>
      <c r="Y34" s="40"/>
      <c r="Z34" s="12" t="e">
        <f t="shared" ca="1" si="16"/>
        <v>#NAME?</v>
      </c>
      <c r="AA34" s="12"/>
      <c r="AB34" s="69" t="s">
        <v>513</v>
      </c>
      <c r="AC34" s="492">
        <v>0.14458099999999999</v>
      </c>
      <c r="AD34" s="526">
        <v>0.83875999999999995</v>
      </c>
      <c r="AE34" s="492">
        <v>1.7212999999999999E-2</v>
      </c>
      <c r="AF34" s="492">
        <v>0.17260347844787285</v>
      </c>
      <c r="AG34" s="492">
        <v>0.43554799999999999</v>
      </c>
      <c r="AH34" s="492">
        <v>6.3013E-2</v>
      </c>
      <c r="AI34" s="496">
        <v>61.089399999999998</v>
      </c>
      <c r="AJ34" s="496">
        <v>2.7975400000000001</v>
      </c>
      <c r="AK34" s="496">
        <v>156.99969999999999</v>
      </c>
      <c r="AL34" s="496">
        <v>10.011799999999999</v>
      </c>
      <c r="AM34" s="496">
        <v>7.6172000000000004</v>
      </c>
      <c r="AN34" s="496">
        <v>7.1315299999999997</v>
      </c>
      <c r="AO34" s="526">
        <v>1.2881</v>
      </c>
      <c r="AP34" s="526">
        <v>1.6016699999999999</v>
      </c>
      <c r="AQ34" s="69" t="s">
        <v>540</v>
      </c>
      <c r="AR34" s="69" t="s">
        <v>541</v>
      </c>
      <c r="AS34" s="4"/>
      <c r="AT34" s="4"/>
      <c r="AU34" s="40"/>
      <c r="AV34" s="12" t="e">
        <f t="shared" ca="1" si="17"/>
        <v>#NAME?</v>
      </c>
      <c r="AW34" s="12"/>
      <c r="AX34" s="69" t="s">
        <v>514</v>
      </c>
      <c r="AY34" s="492">
        <v>0.14775099999999999</v>
      </c>
      <c r="AZ34" s="526">
        <v>1.5346900000000001</v>
      </c>
      <c r="BA34" s="492">
        <v>1.9279999999999999E-2</v>
      </c>
      <c r="BB34" s="492">
        <v>0.18755553155356769</v>
      </c>
      <c r="BC34" s="492">
        <v>0.27681899999999998</v>
      </c>
      <c r="BD34" s="492">
        <v>8.5174E-2</v>
      </c>
      <c r="BE34" s="496">
        <v>48.6629</v>
      </c>
      <c r="BF34" s="496">
        <v>2.1010200000000001</v>
      </c>
      <c r="BG34" s="496">
        <v>94.790999999999997</v>
      </c>
      <c r="BH34" s="496">
        <v>21.777139999999999</v>
      </c>
      <c r="BI34" s="496">
        <v>18.702860000000001</v>
      </c>
      <c r="BJ34" s="496">
        <v>16.274290000000001</v>
      </c>
      <c r="BK34" s="526">
        <v>1.13656</v>
      </c>
      <c r="BL34" s="526">
        <v>1.5222100000000001</v>
      </c>
      <c r="BM34" s="69" t="s">
        <v>549</v>
      </c>
      <c r="BN34" s="69" t="s">
        <v>541</v>
      </c>
    </row>
    <row r="35" spans="1:66" ht="13.5" customHeight="1">
      <c r="A35" s="4"/>
      <c r="B35" s="4"/>
      <c r="C35" s="40"/>
      <c r="D35" s="12"/>
      <c r="E35" s="12"/>
      <c r="F35" s="69"/>
      <c r="G35" s="492"/>
      <c r="H35" s="69"/>
      <c r="I35" s="497"/>
      <c r="J35" s="497"/>
      <c r="K35" s="497"/>
      <c r="L35" s="497"/>
      <c r="M35" s="525"/>
      <c r="N35" s="69"/>
      <c r="O35" s="527"/>
      <c r="P35" s="496"/>
      <c r="Q35" s="496"/>
      <c r="R35" s="496"/>
      <c r="S35" s="69"/>
      <c r="T35" s="69"/>
      <c r="U35" s="69"/>
      <c r="V35" s="69"/>
      <c r="W35" s="12"/>
      <c r="X35" s="4"/>
      <c r="Y35" s="40"/>
      <c r="Z35" s="12"/>
      <c r="AA35" s="12"/>
      <c r="AB35" s="69"/>
      <c r="AC35" s="492"/>
      <c r="AD35" s="69"/>
      <c r="AE35" s="497"/>
      <c r="AF35" s="497"/>
      <c r="AG35" s="497"/>
      <c r="AH35" s="497"/>
      <c r="AI35" s="525"/>
      <c r="AJ35" s="69"/>
      <c r="AK35" s="527"/>
      <c r="AL35" s="496"/>
      <c r="AM35" s="496"/>
      <c r="AN35" s="496"/>
      <c r="AO35" s="69"/>
      <c r="AP35" s="69"/>
      <c r="AQ35" s="69"/>
      <c r="AR35" s="69"/>
      <c r="AS35" s="4"/>
      <c r="AT35" s="4"/>
      <c r="AU35" s="40"/>
      <c r="AV35" s="12"/>
      <c r="AW35" s="12"/>
      <c r="AX35" s="69"/>
      <c r="AY35" s="492"/>
      <c r="AZ35" s="69"/>
      <c r="BA35" s="497"/>
      <c r="BB35" s="497"/>
      <c r="BC35" s="497"/>
      <c r="BD35" s="497"/>
      <c r="BE35" s="525"/>
      <c r="BF35" s="69"/>
      <c r="BG35" s="527"/>
      <c r="BH35" s="496"/>
      <c r="BI35" s="496"/>
      <c r="BJ35" s="496"/>
      <c r="BK35" s="69"/>
      <c r="BL35" s="69"/>
      <c r="BM35" s="69"/>
      <c r="BN35" s="69"/>
    </row>
    <row r="36" spans="1:66" ht="13.5" customHeight="1">
      <c r="A36" s="4"/>
      <c r="B36" s="4"/>
      <c r="C36" s="40"/>
      <c r="D36" s="498" t="str">
        <f t="shared" ref="D36:D39" si="18">D18</f>
        <v>High</v>
      </c>
      <c r="E36" s="499"/>
      <c r="F36" s="500"/>
      <c r="G36" s="502">
        <f t="shared" ref="G36:T36" si="19">MAX(G28:G34)</f>
        <v>0.24602599999999999</v>
      </c>
      <c r="H36" s="528">
        <f t="shared" si="19"/>
        <v>1.3267899999999999</v>
      </c>
      <c r="I36" s="502">
        <f t="shared" si="19"/>
        <v>1.5541000000000001E-2</v>
      </c>
      <c r="J36" s="502">
        <f t="shared" si="19"/>
        <v>0.51604108967481488</v>
      </c>
      <c r="K36" s="502">
        <f t="shared" si="19"/>
        <v>3.3532639999999998</v>
      </c>
      <c r="L36" s="502">
        <f t="shared" si="19"/>
        <v>0.19302399999999997</v>
      </c>
      <c r="M36" s="504">
        <f t="shared" si="19"/>
        <v>0.9480249999999999</v>
      </c>
      <c r="N36" s="504">
        <f t="shared" si="19"/>
        <v>1.9578</v>
      </c>
      <c r="O36" s="504">
        <f t="shared" si="19"/>
        <v>18.240082999999998</v>
      </c>
      <c r="P36" s="504">
        <f t="shared" si="19"/>
        <v>428.06666999999999</v>
      </c>
      <c r="Q36" s="504">
        <f t="shared" si="19"/>
        <v>263.02222</v>
      </c>
      <c r="R36" s="504">
        <f t="shared" si="19"/>
        <v>305.36295999999999</v>
      </c>
      <c r="S36" s="528">
        <f t="shared" si="19"/>
        <v>4.9178699999999997</v>
      </c>
      <c r="T36" s="528">
        <f t="shared" si="19"/>
        <v>5.0510599999999997</v>
      </c>
      <c r="U36" s="500"/>
      <c r="V36" s="529"/>
      <c r="W36" s="12"/>
      <c r="X36" s="4"/>
      <c r="Y36" s="40"/>
      <c r="Z36" s="498" t="str">
        <f t="shared" ref="Z36:Z39" si="20">Z18</f>
        <v>High</v>
      </c>
      <c r="AA36" s="499"/>
      <c r="AB36" s="500"/>
      <c r="AC36" s="506">
        <f t="shared" ref="AC36:AP36" si="21">MAX(AC28:AC34)</f>
        <v>0.24602599999999999</v>
      </c>
      <c r="AD36" s="528">
        <f t="shared" si="21"/>
        <v>1.6202799999999999</v>
      </c>
      <c r="AE36" s="506">
        <f t="shared" si="21"/>
        <v>2.8730000000000002E-2</v>
      </c>
      <c r="AF36" s="506">
        <f t="shared" si="21"/>
        <v>0.47399097894209075</v>
      </c>
      <c r="AG36" s="506">
        <f t="shared" si="21"/>
        <v>3.3532639999999998</v>
      </c>
      <c r="AH36" s="506">
        <f t="shared" si="21"/>
        <v>0.153199</v>
      </c>
      <c r="AI36" s="504">
        <f t="shared" si="21"/>
        <v>138.57230000000001</v>
      </c>
      <c r="AJ36" s="504">
        <f t="shared" si="21"/>
        <v>4.7381599999999997</v>
      </c>
      <c r="AK36" s="504">
        <f t="shared" si="21"/>
        <v>1824.0083</v>
      </c>
      <c r="AL36" s="504">
        <f t="shared" si="21"/>
        <v>17.299489999999999</v>
      </c>
      <c r="AM36" s="504">
        <f t="shared" si="21"/>
        <v>14.31134</v>
      </c>
      <c r="AN36" s="504">
        <f t="shared" si="21"/>
        <v>15.020300000000001</v>
      </c>
      <c r="AO36" s="528">
        <f t="shared" si="21"/>
        <v>1.2881</v>
      </c>
      <c r="AP36" s="528">
        <f t="shared" si="21"/>
        <v>1.6016699999999999</v>
      </c>
      <c r="AQ36" s="500"/>
      <c r="AR36" s="529"/>
      <c r="AS36" s="4"/>
      <c r="AT36" s="4"/>
      <c r="AU36" s="40"/>
      <c r="AV36" s="498" t="str">
        <f t="shared" ref="AV36:AV39" si="22">AV18</f>
        <v>High</v>
      </c>
      <c r="AW36" s="499"/>
      <c r="AX36" s="500"/>
      <c r="AY36" s="506">
        <f t="shared" ref="AY36:BL36" si="23">MAX(AY28:AY34)</f>
        <v>0.24602599999999999</v>
      </c>
      <c r="AZ36" s="528">
        <f t="shared" si="23"/>
        <v>1.5346900000000001</v>
      </c>
      <c r="BA36" s="506">
        <f t="shared" si="23"/>
        <v>3.0351E-2</v>
      </c>
      <c r="BB36" s="506">
        <f t="shared" si="23"/>
        <v>0.39441918935110964</v>
      </c>
      <c r="BC36" s="506">
        <f t="shared" si="23"/>
        <v>3.3532639999999998</v>
      </c>
      <c r="BD36" s="506">
        <f t="shared" si="23"/>
        <v>0.153199</v>
      </c>
      <c r="BE36" s="504">
        <f t="shared" si="23"/>
        <v>94.802499999999995</v>
      </c>
      <c r="BF36" s="504">
        <f t="shared" si="23"/>
        <v>11.469580000000001</v>
      </c>
      <c r="BG36" s="504">
        <f t="shared" si="23"/>
        <v>1824.0083</v>
      </c>
      <c r="BH36" s="504">
        <f t="shared" si="23"/>
        <v>22.019500000000001</v>
      </c>
      <c r="BI36" s="504">
        <f t="shared" si="23"/>
        <v>19.495819999999998</v>
      </c>
      <c r="BJ36" s="504">
        <f t="shared" si="23"/>
        <v>18.53482</v>
      </c>
      <c r="BK36" s="528">
        <f t="shared" si="23"/>
        <v>1.2424500000000001</v>
      </c>
      <c r="BL36" s="528">
        <f t="shared" si="23"/>
        <v>1.885</v>
      </c>
      <c r="BM36" s="500"/>
      <c r="BN36" s="529"/>
    </row>
    <row r="37" spans="1:66" ht="13.5" customHeight="1">
      <c r="A37" s="4"/>
      <c r="B37" s="4"/>
      <c r="C37" s="40"/>
      <c r="D37" s="507" t="str">
        <f t="shared" si="18"/>
        <v>Mean</v>
      </c>
      <c r="E37" s="387"/>
      <c r="F37" s="508"/>
      <c r="G37" s="510">
        <f t="shared" ref="G37:T37" si="24">AVERAGE(G28:G34)</f>
        <v>0.15848516666666665</v>
      </c>
      <c r="H37" s="530">
        <f t="shared" si="24"/>
        <v>1.14496</v>
      </c>
      <c r="I37" s="510">
        <f t="shared" si="24"/>
        <v>4.8225000000000004E-3</v>
      </c>
      <c r="J37" s="510">
        <f t="shared" si="24"/>
        <v>0.33196152938467721</v>
      </c>
      <c r="K37" s="510">
        <f t="shared" si="24"/>
        <v>0.89949333333333337</v>
      </c>
      <c r="L37" s="510">
        <f t="shared" si="24"/>
        <v>0.118242</v>
      </c>
      <c r="M37" s="512">
        <f t="shared" si="24"/>
        <v>0.43673666666666661</v>
      </c>
      <c r="N37" s="512">
        <f t="shared" si="24"/>
        <v>1.0181340000000001</v>
      </c>
      <c r="O37" s="512">
        <f t="shared" si="24"/>
        <v>3.627208833333333</v>
      </c>
      <c r="P37" s="512">
        <f t="shared" si="24"/>
        <v>101.939572</v>
      </c>
      <c r="Q37" s="512">
        <f t="shared" si="24"/>
        <v>66.240966</v>
      </c>
      <c r="R37" s="512">
        <f t="shared" si="24"/>
        <v>74.18668199999999</v>
      </c>
      <c r="S37" s="530">
        <f t="shared" si="24"/>
        <v>2.6935466666666663</v>
      </c>
      <c r="T37" s="530">
        <f t="shared" si="24"/>
        <v>2.9592350000000001</v>
      </c>
      <c r="U37" s="508"/>
      <c r="V37" s="531"/>
      <c r="W37" s="12"/>
      <c r="X37" s="4"/>
      <c r="Y37" s="40"/>
      <c r="Z37" s="507" t="str">
        <f t="shared" si="20"/>
        <v>Mean</v>
      </c>
      <c r="AA37" s="387"/>
      <c r="AB37" s="508"/>
      <c r="AC37" s="514">
        <f t="shared" ref="AC37:AP37" si="25">AVERAGE(AC28:AC34)</f>
        <v>0.16273283333333333</v>
      </c>
      <c r="AD37" s="530">
        <f t="shared" si="25"/>
        <v>1.1378366666666666</v>
      </c>
      <c r="AE37" s="514">
        <f t="shared" si="25"/>
        <v>1.7900166666666665E-2</v>
      </c>
      <c r="AF37" s="514">
        <f t="shared" si="25"/>
        <v>0.282891019565845</v>
      </c>
      <c r="AG37" s="514">
        <f t="shared" si="25"/>
        <v>0.94142483333333338</v>
      </c>
      <c r="AH37" s="514">
        <f t="shared" si="25"/>
        <v>6.6452499999999998E-2</v>
      </c>
      <c r="AI37" s="512">
        <f t="shared" si="25"/>
        <v>74.056416666666664</v>
      </c>
      <c r="AJ37" s="512">
        <f t="shared" si="25"/>
        <v>2.4642519999999997</v>
      </c>
      <c r="AK37" s="512">
        <f t="shared" si="25"/>
        <v>469.13713999999993</v>
      </c>
      <c r="AL37" s="512">
        <f t="shared" si="25"/>
        <v>11.704713999999999</v>
      </c>
      <c r="AM37" s="512">
        <f t="shared" si="25"/>
        <v>9.3431139999999999</v>
      </c>
      <c r="AN37" s="512">
        <f t="shared" si="25"/>
        <v>8.8358999999999988</v>
      </c>
      <c r="AO37" s="530">
        <f t="shared" si="25"/>
        <v>0.79413833333333328</v>
      </c>
      <c r="AP37" s="530">
        <f t="shared" si="25"/>
        <v>1.3143483333333335</v>
      </c>
      <c r="AQ37" s="508"/>
      <c r="AR37" s="531"/>
      <c r="AS37" s="4"/>
      <c r="AT37" s="4"/>
      <c r="AU37" s="40"/>
      <c r="AV37" s="507" t="str">
        <f t="shared" si="22"/>
        <v>Mean</v>
      </c>
      <c r="AW37" s="387"/>
      <c r="AX37" s="508"/>
      <c r="AY37" s="514">
        <f t="shared" ref="AY37:BL37" si="26">AVERAGE(AY28:AY34)</f>
        <v>0.19871849999999999</v>
      </c>
      <c r="AZ37" s="530">
        <f t="shared" si="26"/>
        <v>1.1878633333333333</v>
      </c>
      <c r="BA37" s="514">
        <f t="shared" si="26"/>
        <v>1.4830500000000002E-2</v>
      </c>
      <c r="BB37" s="514">
        <f t="shared" si="26"/>
        <v>0.21634205863305597</v>
      </c>
      <c r="BC37" s="514">
        <f t="shared" si="26"/>
        <v>0.74607883333333336</v>
      </c>
      <c r="BD37" s="514">
        <f t="shared" si="26"/>
        <v>7.7613500000000002E-2</v>
      </c>
      <c r="BE37" s="512">
        <f t="shared" si="26"/>
        <v>62.796133333333323</v>
      </c>
      <c r="BF37" s="512">
        <f t="shared" si="26"/>
        <v>4.2395050000000003</v>
      </c>
      <c r="BG37" s="512">
        <f t="shared" si="26"/>
        <v>417.77429999999998</v>
      </c>
      <c r="BH37" s="512">
        <f t="shared" si="26"/>
        <v>15.218965000000003</v>
      </c>
      <c r="BI37" s="512">
        <f t="shared" si="26"/>
        <v>13.040391666666666</v>
      </c>
      <c r="BJ37" s="512">
        <f t="shared" si="26"/>
        <v>13.441250000000002</v>
      </c>
      <c r="BK37" s="530">
        <f t="shared" si="26"/>
        <v>0.93692166666666665</v>
      </c>
      <c r="BL37" s="530">
        <f t="shared" si="26"/>
        <v>1.3934300000000002</v>
      </c>
      <c r="BM37" s="508"/>
      <c r="BN37" s="531"/>
    </row>
    <row r="38" spans="1:66" ht="13.5" customHeight="1">
      <c r="A38" s="4"/>
      <c r="B38" s="4"/>
      <c r="C38" s="40"/>
      <c r="D38" s="507" t="str">
        <f t="shared" si="18"/>
        <v>Median</v>
      </c>
      <c r="E38" s="387"/>
      <c r="F38" s="387"/>
      <c r="G38" s="510">
        <f t="shared" ref="G38:T38" si="27">MEDIAN(G28:G34)</f>
        <v>0.1412735</v>
      </c>
      <c r="H38" s="530">
        <f t="shared" si="27"/>
        <v>1.2379599999999999</v>
      </c>
      <c r="I38" s="510">
        <f t="shared" si="27"/>
        <v>2.9604999999999996E-3</v>
      </c>
      <c r="J38" s="510">
        <f t="shared" si="27"/>
        <v>0.28881980365470994</v>
      </c>
      <c r="K38" s="510">
        <f t="shared" si="27"/>
        <v>0.3920515</v>
      </c>
      <c r="L38" s="510">
        <f t="shared" si="27"/>
        <v>0.14540449999999999</v>
      </c>
      <c r="M38" s="512">
        <f t="shared" si="27"/>
        <v>0.41460550000000002</v>
      </c>
      <c r="N38" s="512">
        <f t="shared" si="27"/>
        <v>0.99197999999999997</v>
      </c>
      <c r="O38" s="512">
        <f t="shared" si="27"/>
        <v>0.71968349999999992</v>
      </c>
      <c r="P38" s="512">
        <f t="shared" si="27"/>
        <v>30.680129999999998</v>
      </c>
      <c r="Q38" s="512">
        <f t="shared" si="27"/>
        <v>26.747209999999999</v>
      </c>
      <c r="R38" s="512">
        <f t="shared" si="27"/>
        <v>23.072749999999999</v>
      </c>
      <c r="S38" s="530">
        <f t="shared" si="27"/>
        <v>2.427835</v>
      </c>
      <c r="T38" s="530">
        <f t="shared" si="27"/>
        <v>2.573375</v>
      </c>
      <c r="U38" s="508"/>
      <c r="V38" s="531"/>
      <c r="W38" s="12"/>
      <c r="X38" s="4"/>
      <c r="Y38" s="40"/>
      <c r="Z38" s="507" t="str">
        <f t="shared" si="20"/>
        <v>Median</v>
      </c>
      <c r="AA38" s="387"/>
      <c r="AB38" s="387"/>
      <c r="AC38" s="514">
        <f t="shared" ref="AC38:AP38" si="28">MEDIAN(AC28:AC34)</f>
        <v>0.1426605</v>
      </c>
      <c r="AD38" s="530">
        <f t="shared" si="28"/>
        <v>1.030815</v>
      </c>
      <c r="AE38" s="514">
        <f t="shared" si="28"/>
        <v>1.96215E-2</v>
      </c>
      <c r="AF38" s="514">
        <f t="shared" si="28"/>
        <v>0.21877749021799892</v>
      </c>
      <c r="AG38" s="514">
        <f t="shared" si="28"/>
        <v>0.4175065</v>
      </c>
      <c r="AH38" s="514">
        <f t="shared" si="28"/>
        <v>6.629850000000001E-2</v>
      </c>
      <c r="AI38" s="512">
        <f t="shared" si="28"/>
        <v>64.92</v>
      </c>
      <c r="AJ38" s="512">
        <f t="shared" si="28"/>
        <v>1.9578</v>
      </c>
      <c r="AK38" s="512">
        <f t="shared" si="28"/>
        <v>156.99969999999999</v>
      </c>
      <c r="AL38" s="512">
        <f t="shared" si="28"/>
        <v>10.78947</v>
      </c>
      <c r="AM38" s="512">
        <f t="shared" si="28"/>
        <v>7.6929800000000004</v>
      </c>
      <c r="AN38" s="512">
        <f t="shared" si="28"/>
        <v>7.7719300000000002</v>
      </c>
      <c r="AO38" s="530">
        <f t="shared" si="28"/>
        <v>0.86856500000000003</v>
      </c>
      <c r="AP38" s="530">
        <f t="shared" si="28"/>
        <v>1.3004</v>
      </c>
      <c r="AQ38" s="508"/>
      <c r="AR38" s="531"/>
      <c r="AS38" s="4"/>
      <c r="AT38" s="4"/>
      <c r="AU38" s="40"/>
      <c r="AV38" s="507" t="str">
        <f t="shared" si="22"/>
        <v>Median</v>
      </c>
      <c r="AW38" s="387"/>
      <c r="AX38" s="387"/>
      <c r="AY38" s="514">
        <f t="shared" ref="AY38:BL38" si="29">MEDIAN(AY28:AY34)</f>
        <v>0.19653999999999999</v>
      </c>
      <c r="AZ38" s="530">
        <f t="shared" si="29"/>
        <v>1.13117</v>
      </c>
      <c r="BA38" s="514">
        <f t="shared" si="29"/>
        <v>1.5817500000000002E-2</v>
      </c>
      <c r="BB38" s="514">
        <f t="shared" si="29"/>
        <v>0.21337290994802385</v>
      </c>
      <c r="BC38" s="514">
        <f t="shared" si="29"/>
        <v>0.276592</v>
      </c>
      <c r="BD38" s="514">
        <f t="shared" si="29"/>
        <v>7.7896500000000007E-2</v>
      </c>
      <c r="BE38" s="512">
        <f t="shared" si="29"/>
        <v>58.532550000000001</v>
      </c>
      <c r="BF38" s="512">
        <f t="shared" si="29"/>
        <v>2.5186950000000001</v>
      </c>
      <c r="BG38" s="512">
        <f t="shared" si="29"/>
        <v>141.67669999999998</v>
      </c>
      <c r="BH38" s="512">
        <f t="shared" si="29"/>
        <v>16.591540000000002</v>
      </c>
      <c r="BI38" s="512">
        <f t="shared" si="29"/>
        <v>14.145875</v>
      </c>
      <c r="BJ38" s="512">
        <f t="shared" si="29"/>
        <v>13.36862</v>
      </c>
      <c r="BK38" s="530">
        <f t="shared" si="29"/>
        <v>1.1473550000000001</v>
      </c>
      <c r="BL38" s="530">
        <f t="shared" si="29"/>
        <v>1.494945</v>
      </c>
      <c r="BM38" s="508"/>
      <c r="BN38" s="531"/>
    </row>
    <row r="39" spans="1:66" ht="13.5" customHeight="1">
      <c r="A39" s="4"/>
      <c r="B39" s="4"/>
      <c r="C39" s="40" t="s">
        <v>1</v>
      </c>
      <c r="D39" s="515" t="str">
        <f t="shared" si="18"/>
        <v>Low</v>
      </c>
      <c r="E39" s="516"/>
      <c r="F39" s="516"/>
      <c r="G39" s="518">
        <f t="shared" ref="G39:T39" si="30">MIN(G28:G34)</f>
        <v>0.12157899999999999</v>
      </c>
      <c r="H39" s="532">
        <f t="shared" si="30"/>
        <v>0.77607999999999999</v>
      </c>
      <c r="I39" s="518">
        <f t="shared" si="30"/>
        <v>0</v>
      </c>
      <c r="J39" s="518">
        <f t="shared" si="30"/>
        <v>0.21682668542696129</v>
      </c>
      <c r="K39" s="518">
        <f t="shared" si="30"/>
        <v>-0.29455100000000001</v>
      </c>
      <c r="L39" s="518">
        <f t="shared" si="30"/>
        <v>-8.1477999999999995E-2</v>
      </c>
      <c r="M39" s="520">
        <f t="shared" si="30"/>
        <v>8.0139999999999989E-2</v>
      </c>
      <c r="N39" s="520">
        <f t="shared" si="30"/>
        <v>0.27133000000000002</v>
      </c>
      <c r="O39" s="520">
        <f t="shared" si="30"/>
        <v>8.7121999999999991E-2</v>
      </c>
      <c r="P39" s="520">
        <f t="shared" si="30"/>
        <v>0</v>
      </c>
      <c r="Q39" s="520">
        <f t="shared" si="30"/>
        <v>0</v>
      </c>
      <c r="R39" s="520">
        <f t="shared" si="30"/>
        <v>0</v>
      </c>
      <c r="S39" s="532">
        <f t="shared" si="30"/>
        <v>0.27742</v>
      </c>
      <c r="T39" s="532">
        <f t="shared" si="30"/>
        <v>1.1919900000000001</v>
      </c>
      <c r="U39" s="533"/>
      <c r="V39" s="534"/>
      <c r="W39" s="12"/>
      <c r="X39" s="4"/>
      <c r="Y39" s="40" t="s">
        <v>1</v>
      </c>
      <c r="Z39" s="515" t="str">
        <f t="shared" si="20"/>
        <v>Low</v>
      </c>
      <c r="AA39" s="516"/>
      <c r="AB39" s="516"/>
      <c r="AC39" s="522">
        <f t="shared" ref="AC39:AP39" si="31">MIN(AC28:AC34)</f>
        <v>0.14074</v>
      </c>
      <c r="AD39" s="532">
        <f t="shared" si="31"/>
        <v>0.83875999999999995</v>
      </c>
      <c r="AE39" s="522">
        <f t="shared" si="31"/>
        <v>0</v>
      </c>
      <c r="AF39" s="522">
        <f t="shared" si="31"/>
        <v>0.17260347844787285</v>
      </c>
      <c r="AG39" s="522">
        <f t="shared" si="31"/>
        <v>3.2482000000000004E-2</v>
      </c>
      <c r="AH39" s="522">
        <f t="shared" si="31"/>
        <v>-1.6131E-2</v>
      </c>
      <c r="AI39" s="520">
        <f t="shared" si="31"/>
        <v>31.401499999999999</v>
      </c>
      <c r="AJ39" s="520">
        <f t="shared" si="31"/>
        <v>1.2992999999999999</v>
      </c>
      <c r="AK39" s="520">
        <f t="shared" si="31"/>
        <v>45.775799999999997</v>
      </c>
      <c r="AL39" s="520">
        <f t="shared" si="31"/>
        <v>5.0696000000000003</v>
      </c>
      <c r="AM39" s="520">
        <f t="shared" si="31"/>
        <v>3.79474</v>
      </c>
      <c r="AN39" s="520">
        <f t="shared" si="31"/>
        <v>1.76491</v>
      </c>
      <c r="AO39" s="532">
        <f t="shared" si="31"/>
        <v>0.27742</v>
      </c>
      <c r="AP39" s="532">
        <f t="shared" si="31"/>
        <v>1.0979300000000001</v>
      </c>
      <c r="AQ39" s="533"/>
      <c r="AR39" s="534"/>
      <c r="AS39" s="4"/>
      <c r="AT39" s="4"/>
      <c r="AU39" s="40" t="s">
        <v>1</v>
      </c>
      <c r="AV39" s="515" t="str">
        <f t="shared" si="22"/>
        <v>Low</v>
      </c>
      <c r="AW39" s="516"/>
      <c r="AX39" s="516"/>
      <c r="AY39" s="522">
        <f t="shared" ref="AY39:BL39" si="32">MIN(AY28:AY34)</f>
        <v>0.14775099999999999</v>
      </c>
      <c r="AZ39" s="532">
        <f t="shared" si="32"/>
        <v>0.95801999999999998</v>
      </c>
      <c r="BA39" s="522">
        <f t="shared" si="32"/>
        <v>3.0159999999999996E-3</v>
      </c>
      <c r="BB39" s="522">
        <f t="shared" si="32"/>
        <v>6.2702786118550582E-2</v>
      </c>
      <c r="BC39" s="522">
        <f t="shared" si="32"/>
        <v>2.2750000000000001E-3</v>
      </c>
      <c r="BD39" s="522">
        <f t="shared" si="32"/>
        <v>2.2489999999999997E-3</v>
      </c>
      <c r="BE39" s="520">
        <f t="shared" si="32"/>
        <v>48.453000000000003</v>
      </c>
      <c r="BF39" s="520">
        <f t="shared" si="32"/>
        <v>1.9578</v>
      </c>
      <c r="BG39" s="520">
        <f t="shared" si="32"/>
        <v>93.997900000000001</v>
      </c>
      <c r="BH39" s="520">
        <f t="shared" si="32"/>
        <v>5.1042800000000002</v>
      </c>
      <c r="BI39" s="520">
        <f t="shared" si="32"/>
        <v>2.6646700000000001</v>
      </c>
      <c r="BJ39" s="520">
        <f t="shared" si="32"/>
        <v>6.5376899999999996</v>
      </c>
      <c r="BK39" s="532">
        <f t="shared" si="32"/>
        <v>0.27742</v>
      </c>
      <c r="BL39" s="532">
        <f t="shared" si="32"/>
        <v>0.71686000000000005</v>
      </c>
      <c r="BM39" s="533"/>
      <c r="BN39" s="534"/>
    </row>
    <row r="40" spans="1:66" ht="13.5" customHeight="1">
      <c r="A40" s="4"/>
      <c r="B40" s="4"/>
      <c r="C40" s="40"/>
      <c r="D40" s="12"/>
      <c r="E40" s="12"/>
      <c r="F40" s="12"/>
      <c r="G40" s="12"/>
      <c r="H40" s="12"/>
      <c r="I40" s="12"/>
      <c r="J40" s="12"/>
      <c r="K40" s="12"/>
      <c r="L40" s="12"/>
      <c r="M40" s="12"/>
      <c r="N40" s="12"/>
      <c r="O40" s="12"/>
      <c r="P40" s="12"/>
      <c r="Q40" s="12"/>
      <c r="R40" s="12"/>
      <c r="S40" s="12"/>
      <c r="T40" s="12"/>
      <c r="U40" s="12"/>
      <c r="V40" s="12"/>
      <c r="W40" s="12"/>
      <c r="X40" s="4"/>
      <c r="Y40" s="40"/>
      <c r="Z40" s="12"/>
      <c r="AA40" s="12"/>
      <c r="AB40" s="12"/>
      <c r="AC40" s="12"/>
      <c r="AD40" s="12"/>
      <c r="AE40" s="12"/>
      <c r="AF40" s="12"/>
      <c r="AG40" s="12"/>
      <c r="AH40" s="12"/>
      <c r="AI40" s="12"/>
      <c r="AJ40" s="12"/>
      <c r="AK40" s="12"/>
      <c r="AL40" s="12"/>
      <c r="AM40" s="12"/>
      <c r="AN40" s="12"/>
      <c r="AO40" s="12"/>
      <c r="AP40" s="12"/>
      <c r="AQ40" s="12"/>
      <c r="AR40" s="12"/>
      <c r="AS40" s="4"/>
      <c r="AT40" s="4"/>
      <c r="AU40" s="40"/>
      <c r="AV40" s="12"/>
      <c r="AW40" s="12"/>
      <c r="AX40" s="12"/>
      <c r="AY40" s="12"/>
      <c r="AZ40" s="12"/>
      <c r="BA40" s="12"/>
      <c r="BB40" s="12"/>
      <c r="BC40" s="12"/>
      <c r="BD40" s="12"/>
      <c r="BE40" s="12"/>
      <c r="BF40" s="12"/>
      <c r="BG40" s="12"/>
      <c r="BH40" s="12"/>
      <c r="BI40" s="12"/>
      <c r="BJ40" s="12"/>
      <c r="BK40" s="12"/>
      <c r="BL40" s="12"/>
      <c r="BM40" s="12"/>
      <c r="BN40" s="12"/>
    </row>
    <row r="41" spans="1:66" ht="13.5" customHeight="1">
      <c r="A41" s="4"/>
      <c r="B41" s="4"/>
      <c r="C41" s="40"/>
      <c r="D41" s="12"/>
      <c r="E41" s="12"/>
      <c r="F41" s="12"/>
      <c r="G41" s="12"/>
      <c r="H41" s="12"/>
      <c r="I41" s="12"/>
      <c r="J41" s="12"/>
      <c r="K41" s="12"/>
      <c r="L41" s="12"/>
      <c r="M41" s="12"/>
      <c r="N41" s="12"/>
      <c r="O41" s="12"/>
      <c r="P41" s="12"/>
      <c r="Q41" s="12"/>
      <c r="R41" s="12"/>
      <c r="S41" s="12"/>
      <c r="T41" s="12"/>
      <c r="U41" s="12"/>
      <c r="V41" s="12"/>
      <c r="W41" s="12"/>
      <c r="X41" s="4"/>
      <c r="Y41" s="40"/>
      <c r="Z41" s="12"/>
      <c r="AA41" s="12"/>
      <c r="AB41" s="12"/>
      <c r="AC41" s="12"/>
      <c r="AD41" s="12"/>
      <c r="AE41" s="12"/>
      <c r="AF41" s="12"/>
      <c r="AG41" s="12"/>
      <c r="AH41" s="12"/>
      <c r="AI41" s="12"/>
      <c r="AJ41" s="12"/>
      <c r="AK41" s="12"/>
      <c r="AL41" s="12"/>
      <c r="AM41" s="12"/>
      <c r="AN41" s="12"/>
      <c r="AO41" s="12"/>
      <c r="AP41" s="12"/>
      <c r="AQ41" s="12"/>
      <c r="AR41" s="12"/>
      <c r="AS41" s="4"/>
      <c r="AT41" s="4"/>
      <c r="AU41" s="40"/>
      <c r="AV41" s="12"/>
      <c r="AW41" s="12"/>
      <c r="AX41" s="12"/>
      <c r="AY41" s="12"/>
      <c r="AZ41" s="12"/>
      <c r="BA41" s="12"/>
      <c r="BB41" s="12"/>
      <c r="BC41" s="12"/>
      <c r="BD41" s="12"/>
      <c r="BE41" s="12"/>
      <c r="BF41" s="12"/>
      <c r="BG41" s="12"/>
      <c r="BH41" s="12"/>
      <c r="BI41" s="12"/>
      <c r="BJ41" s="12"/>
      <c r="BK41" s="12"/>
      <c r="BL41" s="12"/>
      <c r="BM41" s="12"/>
      <c r="BN41" s="12"/>
    </row>
    <row r="42" spans="1:66" ht="13.5" customHeight="1">
      <c r="A42" s="4"/>
      <c r="B42" s="4"/>
      <c r="C42" s="40"/>
      <c r="D42" s="535"/>
      <c r="E42" s="535"/>
      <c r="F42" s="535"/>
      <c r="G42" s="536"/>
      <c r="H42" s="537"/>
      <c r="I42" s="536"/>
      <c r="J42" s="536"/>
      <c r="K42" s="536"/>
      <c r="L42" s="536"/>
      <c r="M42" s="536"/>
      <c r="N42" s="538"/>
      <c r="O42" s="536"/>
      <c r="P42" s="538"/>
      <c r="Q42" s="539"/>
      <c r="R42" s="538"/>
      <c r="S42" s="535"/>
      <c r="T42" s="536"/>
      <c r="U42" s="537"/>
      <c r="V42" s="537"/>
      <c r="W42" s="535"/>
      <c r="X42" s="4"/>
      <c r="Y42" s="40"/>
      <c r="Z42" s="535"/>
      <c r="AA42" s="535"/>
      <c r="AB42" s="535"/>
      <c r="AC42" s="536"/>
      <c r="AD42" s="537"/>
      <c r="AE42" s="536"/>
      <c r="AF42" s="536"/>
      <c r="AG42" s="536"/>
      <c r="AH42" s="536"/>
      <c r="AI42" s="536"/>
      <c r="AJ42" s="538"/>
      <c r="AK42" s="536"/>
      <c r="AL42" s="538"/>
      <c r="AM42" s="539"/>
      <c r="AN42" s="538"/>
      <c r="AO42" s="535"/>
      <c r="AP42" s="536"/>
      <c r="AQ42" s="537"/>
      <c r="AR42" s="537"/>
      <c r="AS42" s="4"/>
      <c r="AT42" s="4"/>
      <c r="AU42" s="40"/>
      <c r="AV42" s="535"/>
      <c r="AW42" s="535"/>
      <c r="AX42" s="535"/>
      <c r="AY42" s="536"/>
      <c r="AZ42" s="537"/>
      <c r="BA42" s="536"/>
      <c r="BB42" s="536"/>
      <c r="BC42" s="536"/>
      <c r="BD42" s="536"/>
      <c r="BE42" s="536"/>
      <c r="BF42" s="538"/>
      <c r="BG42" s="536"/>
      <c r="BH42" s="538"/>
      <c r="BI42" s="539"/>
      <c r="BJ42" s="538"/>
      <c r="BK42" s="535"/>
      <c r="BL42" s="536"/>
      <c r="BM42" s="537"/>
      <c r="BN42" s="537"/>
    </row>
    <row r="43" spans="1:66" ht="13.5" customHeight="1" outlineLevel="1" collapsed="1">
      <c r="A43" s="4"/>
      <c r="B43" s="4"/>
      <c r="C43" s="40" t="s">
        <v>550</v>
      </c>
      <c r="D43" s="12"/>
      <c r="E43" s="12"/>
      <c r="F43" s="12"/>
      <c r="G43" s="540"/>
      <c r="H43" s="69"/>
      <c r="I43" s="540"/>
      <c r="J43" s="540"/>
      <c r="K43" s="540"/>
      <c r="L43" s="540"/>
      <c r="M43" s="540"/>
      <c r="N43" s="496"/>
      <c r="O43" s="540"/>
      <c r="P43" s="496"/>
      <c r="Q43" s="493"/>
      <c r="R43" s="496"/>
      <c r="S43" s="12"/>
      <c r="T43" s="540"/>
      <c r="U43" s="69"/>
      <c r="V43" s="69"/>
      <c r="W43" s="12"/>
      <c r="X43" s="4"/>
      <c r="Y43" s="40" t="s">
        <v>550</v>
      </c>
      <c r="Z43" s="12"/>
      <c r="AA43" s="12"/>
      <c r="AB43" s="12"/>
      <c r="AC43" s="540"/>
      <c r="AD43" s="69"/>
      <c r="AE43" s="540"/>
      <c r="AF43" s="540"/>
      <c r="AG43" s="540"/>
      <c r="AH43" s="540"/>
      <c r="AI43" s="540"/>
      <c r="AJ43" s="496"/>
      <c r="AK43" s="540"/>
      <c r="AL43" s="496"/>
      <c r="AM43" s="493"/>
      <c r="AN43" s="496"/>
      <c r="AO43" s="12"/>
      <c r="AP43" s="540"/>
      <c r="AQ43" s="69"/>
      <c r="AR43" s="69"/>
      <c r="AS43" s="4"/>
      <c r="AT43" s="4"/>
      <c r="AU43" s="40" t="s">
        <v>550</v>
      </c>
      <c r="AV43" s="12"/>
      <c r="AW43" s="12"/>
      <c r="AX43" s="12"/>
      <c r="AY43" s="540"/>
      <c r="AZ43" s="69"/>
      <c r="BA43" s="540"/>
      <c r="BB43" s="540"/>
      <c r="BC43" s="540"/>
      <c r="BD43" s="540"/>
      <c r="BE43" s="540"/>
      <c r="BF43" s="496"/>
      <c r="BG43" s="540"/>
      <c r="BH43" s="496"/>
      <c r="BI43" s="493"/>
      <c r="BJ43" s="496"/>
      <c r="BK43" s="12"/>
      <c r="BL43" s="540"/>
      <c r="BM43" s="69"/>
      <c r="BN43" s="69"/>
    </row>
    <row r="44" spans="1:66" ht="13.5" customHeight="1" outlineLevel="1" collapsed="1">
      <c r="A44" s="4"/>
      <c r="B44" s="40"/>
      <c r="C44" s="40"/>
      <c r="D44" s="541" t="s">
        <v>551</v>
      </c>
      <c r="E44" s="542"/>
      <c r="F44" s="12"/>
      <c r="G44" s="540"/>
      <c r="H44" s="69"/>
      <c r="I44" s="540"/>
      <c r="J44" s="540"/>
      <c r="K44" s="540"/>
      <c r="M44" s="540"/>
      <c r="N44" s="496"/>
      <c r="O44" s="540"/>
      <c r="P44" s="496"/>
      <c r="Q44" s="493"/>
      <c r="R44" s="496"/>
      <c r="S44" s="12"/>
      <c r="T44" s="540"/>
      <c r="U44" s="69"/>
      <c r="V44" s="69"/>
      <c r="W44" s="12"/>
      <c r="X44" s="4"/>
      <c r="Y44" s="40"/>
      <c r="AB44" s="12"/>
      <c r="AC44" s="540"/>
      <c r="AD44" s="69"/>
      <c r="AE44" s="540"/>
      <c r="AF44" s="540"/>
      <c r="AG44" s="540"/>
      <c r="AH44" s="540"/>
      <c r="AI44" s="540"/>
      <c r="AJ44" s="496"/>
      <c r="AK44" s="540"/>
      <c r="AL44" s="496"/>
      <c r="AM44" s="493"/>
      <c r="AN44" s="496"/>
      <c r="AO44" s="12"/>
      <c r="AP44" s="540"/>
      <c r="AQ44" s="69"/>
      <c r="AR44" s="69"/>
      <c r="AS44" s="4"/>
      <c r="AT44" s="4"/>
      <c r="AU44" s="40"/>
      <c r="AX44" s="12"/>
      <c r="AY44" s="540"/>
      <c r="AZ44" s="69"/>
      <c r="BA44" s="540"/>
      <c r="BB44" s="540"/>
      <c r="BC44" s="540"/>
      <c r="BD44" s="540"/>
      <c r="BE44" s="540"/>
      <c r="BF44" s="496"/>
      <c r="BG44" s="540"/>
      <c r="BH44" s="496"/>
      <c r="BI44" s="493"/>
      <c r="BJ44" s="496"/>
      <c r="BK44" s="12"/>
      <c r="BL44" s="540"/>
      <c r="BM44" s="69"/>
      <c r="BN44" s="69"/>
    </row>
    <row r="45" spans="1:66" ht="13.5" customHeight="1" outlineLevel="1" collapsed="1">
      <c r="A45" s="4"/>
      <c r="D45" s="543"/>
      <c r="E45" s="543"/>
      <c r="F45" s="40"/>
      <c r="G45" s="149"/>
      <c r="H45" s="149"/>
      <c r="I45" s="149"/>
      <c r="J45" s="149"/>
      <c r="K45" s="149"/>
      <c r="M45" s="149"/>
      <c r="N45" s="149"/>
      <c r="O45" s="149"/>
      <c r="P45" s="149"/>
      <c r="Q45" s="149"/>
      <c r="R45" s="149"/>
      <c r="S45" s="40"/>
      <c r="T45" s="149"/>
      <c r="U45" s="149"/>
      <c r="V45" s="149"/>
      <c r="W45" s="12"/>
      <c r="X45" s="4"/>
      <c r="Y45" s="40"/>
      <c r="Z45" s="543"/>
      <c r="AA45" s="543"/>
      <c r="AB45" s="40"/>
      <c r="AC45" s="149"/>
      <c r="AD45" s="149"/>
      <c r="AE45" s="149"/>
      <c r="AF45" s="149"/>
      <c r="AG45" s="149"/>
      <c r="AH45" s="149"/>
      <c r="AI45" s="149"/>
      <c r="AJ45" s="149"/>
      <c r="AK45" s="149"/>
      <c r="AL45" s="149"/>
      <c r="AM45" s="149"/>
      <c r="AN45" s="149"/>
      <c r="AO45" s="40"/>
      <c r="AP45" s="149"/>
      <c r="AQ45" s="149"/>
      <c r="AR45" s="149"/>
      <c r="AS45" s="4"/>
      <c r="AT45" s="4"/>
      <c r="AU45" s="40"/>
      <c r="AV45" s="543"/>
      <c r="AW45" s="543"/>
      <c r="AX45" s="40"/>
      <c r="AY45" s="149"/>
      <c r="AZ45" s="149"/>
      <c r="BA45" s="149"/>
      <c r="BB45" s="149"/>
      <c r="BC45" s="149"/>
      <c r="BD45" s="149"/>
      <c r="BE45" s="149"/>
      <c r="BF45" s="149"/>
      <c r="BG45" s="149"/>
      <c r="BH45" s="149"/>
      <c r="BI45" s="149"/>
      <c r="BJ45" s="149"/>
      <c r="BK45" s="40"/>
      <c r="BL45" s="149"/>
      <c r="BM45" s="149"/>
      <c r="BN45" s="149"/>
    </row>
    <row r="46" spans="1:66" ht="13.5" customHeight="1" outlineLevel="1" collapsed="1">
      <c r="A46" s="4"/>
      <c r="D46" s="913" t="str">
        <f>D4</f>
        <v>Primary Peer Group</v>
      </c>
      <c r="E46" s="861"/>
      <c r="F46" s="861"/>
      <c r="G46" s="861"/>
      <c r="H46" s="861"/>
      <c r="I46" s="861"/>
      <c r="J46" s="861"/>
      <c r="K46" s="861"/>
      <c r="L46" s="861"/>
      <c r="M46" s="861"/>
      <c r="N46" s="861"/>
      <c r="O46" s="861"/>
      <c r="P46" s="861"/>
      <c r="Q46" s="861"/>
      <c r="R46" s="861"/>
      <c r="S46" s="861"/>
      <c r="T46" s="861"/>
      <c r="U46" s="861"/>
      <c r="V46" s="861"/>
      <c r="W46" s="12"/>
      <c r="X46" s="4"/>
      <c r="Y46" s="40"/>
      <c r="Z46" s="913" t="str">
        <f>Z4</f>
        <v>Defense Peer Group</v>
      </c>
      <c r="AA46" s="861"/>
      <c r="AB46" s="861"/>
      <c r="AC46" s="861"/>
      <c r="AD46" s="861"/>
      <c r="AE46" s="861"/>
      <c r="AF46" s="861"/>
      <c r="AG46" s="861"/>
      <c r="AH46" s="861"/>
      <c r="AI46" s="861"/>
      <c r="AJ46" s="861"/>
      <c r="AK46" s="861"/>
      <c r="AL46" s="861"/>
      <c r="AM46" s="861"/>
      <c r="AN46" s="861"/>
      <c r="AO46" s="861"/>
      <c r="AP46" s="861"/>
      <c r="AQ46" s="861"/>
      <c r="AR46" s="861"/>
      <c r="AS46" s="4"/>
      <c r="AT46" s="4"/>
      <c r="AU46" s="40"/>
      <c r="AV46" s="913" t="str">
        <f>AV4</f>
        <v>Cap. Goods Peer Group</v>
      </c>
      <c r="AW46" s="861"/>
      <c r="AX46" s="861"/>
      <c r="AY46" s="861"/>
      <c r="AZ46" s="861"/>
      <c r="BA46" s="861"/>
      <c r="BB46" s="861"/>
      <c r="BC46" s="861"/>
      <c r="BD46" s="861"/>
      <c r="BE46" s="861"/>
      <c r="BF46" s="861"/>
      <c r="BG46" s="861"/>
      <c r="BH46" s="861"/>
      <c r="BI46" s="861"/>
      <c r="BJ46" s="861"/>
      <c r="BK46" s="861"/>
      <c r="BL46" s="861"/>
      <c r="BM46" s="861"/>
      <c r="BN46" s="861"/>
    </row>
    <row r="47" spans="1:66" ht="13.5" customHeight="1" outlineLevel="1" collapsed="1">
      <c r="A47" s="4"/>
      <c r="D47" s="69"/>
      <c r="E47" s="69"/>
      <c r="F47" s="12"/>
      <c r="G47" s="12"/>
      <c r="H47" s="12"/>
      <c r="I47" s="12"/>
      <c r="J47" s="12"/>
      <c r="K47" s="12"/>
      <c r="L47" s="12"/>
      <c r="M47" s="12"/>
      <c r="N47" s="12"/>
      <c r="O47" s="12"/>
      <c r="P47" s="12"/>
      <c r="Q47" s="913" t="str">
        <f t="shared" ref="Q47:Q48" si="33">Q6</f>
        <v xml:space="preserve">Enterprise Value / </v>
      </c>
      <c r="R47" s="861"/>
      <c r="S47" s="861"/>
      <c r="T47" s="149">
        <f>T6</f>
        <v>0</v>
      </c>
      <c r="U47" s="12"/>
      <c r="V47" s="12"/>
      <c r="W47" s="12"/>
      <c r="X47" s="4"/>
      <c r="Y47" s="40"/>
      <c r="Z47" s="69"/>
      <c r="AA47" s="69"/>
      <c r="AB47" s="12"/>
      <c r="AC47" s="12"/>
      <c r="AD47" s="12"/>
      <c r="AE47" s="12"/>
      <c r="AF47" s="12"/>
      <c r="AG47" s="12"/>
      <c r="AH47" s="12"/>
      <c r="AI47" s="12"/>
      <c r="AJ47" s="12"/>
      <c r="AK47" s="12"/>
      <c r="AL47" s="12"/>
      <c r="AM47" s="913" t="str">
        <f t="shared" ref="AM47:AM48" si="34">AM6</f>
        <v xml:space="preserve">Enterprise Value / </v>
      </c>
      <c r="AN47" s="861"/>
      <c r="AO47" s="861"/>
      <c r="AP47" s="149">
        <f>AP6</f>
        <v>0</v>
      </c>
      <c r="AQ47" s="12"/>
      <c r="AR47" s="12"/>
      <c r="AS47" s="4"/>
      <c r="AT47" s="4"/>
      <c r="AU47" s="40"/>
      <c r="AV47" s="69"/>
      <c r="AW47" s="69"/>
      <c r="AX47" s="12"/>
      <c r="AY47" s="12"/>
      <c r="AZ47" s="12"/>
      <c r="BA47" s="12"/>
      <c r="BB47" s="12"/>
      <c r="BC47" s="12"/>
      <c r="BD47" s="12"/>
      <c r="BE47" s="12"/>
      <c r="BF47" s="12"/>
      <c r="BG47" s="12"/>
      <c r="BH47" s="12"/>
      <c r="BI47" s="913" t="str">
        <f t="shared" ref="BI47:BI48" si="35">BI6</f>
        <v xml:space="preserve">Enterprise Value / </v>
      </c>
      <c r="BJ47" s="861"/>
      <c r="BK47" s="861"/>
      <c r="BL47" s="149">
        <f>BL6</f>
        <v>0</v>
      </c>
      <c r="BM47" s="12"/>
      <c r="BN47" s="12"/>
    </row>
    <row r="48" spans="1:66" ht="13.5" customHeight="1" outlineLevel="1" collapsed="1">
      <c r="A48" s="4"/>
      <c r="D48" s="69"/>
      <c r="E48" s="69"/>
      <c r="F48" s="69"/>
      <c r="G48" s="69" t="str">
        <f t="shared" ref="G48:I48" si="36">G7</f>
        <v xml:space="preserve">Market </v>
      </c>
      <c r="H48" s="69" t="str">
        <f t="shared" si="36"/>
        <v>Enterprise</v>
      </c>
      <c r="I48" s="913" t="str">
        <f t="shared" si="36"/>
        <v>Sales</v>
      </c>
      <c r="J48" s="861"/>
      <c r="K48" s="913" t="str">
        <f>K7</f>
        <v>EPS</v>
      </c>
      <c r="L48" s="861"/>
      <c r="M48" s="913" t="str">
        <f>M7</f>
        <v>EBITDA Margin</v>
      </c>
      <c r="N48" s="861"/>
      <c r="O48" s="913" t="str">
        <f>O7</f>
        <v>Profit Margin</v>
      </c>
      <c r="P48" s="861"/>
      <c r="Q48" s="913" t="str">
        <f t="shared" si="33"/>
        <v>EBITDA</v>
      </c>
      <c r="R48" s="861"/>
      <c r="S48" s="913" t="str">
        <f>S7</f>
        <v>Sales</v>
      </c>
      <c r="T48" s="861"/>
      <c r="U48" s="913" t="str">
        <f>U7</f>
        <v>Price / Earnings</v>
      </c>
      <c r="V48" s="861"/>
      <c r="W48" s="12"/>
      <c r="X48" s="4"/>
      <c r="Y48" s="40"/>
      <c r="Z48" s="69"/>
      <c r="AA48" s="69"/>
      <c r="AB48" s="69"/>
      <c r="AC48" s="69" t="str">
        <f t="shared" ref="AC48:AE48" si="37">AC7</f>
        <v xml:space="preserve">Market </v>
      </c>
      <c r="AD48" s="69" t="str">
        <f t="shared" si="37"/>
        <v>Enterprise</v>
      </c>
      <c r="AE48" s="913" t="str">
        <f t="shared" si="37"/>
        <v>Sales</v>
      </c>
      <c r="AF48" s="861"/>
      <c r="AG48" s="913" t="str">
        <f>AG7</f>
        <v>EPS</v>
      </c>
      <c r="AH48" s="861"/>
      <c r="AI48" s="913" t="str">
        <f>AI7</f>
        <v>EBITDA Margin</v>
      </c>
      <c r="AJ48" s="861"/>
      <c r="AK48" s="913" t="str">
        <f>AK7</f>
        <v>Profit Margin</v>
      </c>
      <c r="AL48" s="861"/>
      <c r="AM48" s="913" t="str">
        <f t="shared" si="34"/>
        <v>EBITDA</v>
      </c>
      <c r="AN48" s="861"/>
      <c r="AO48" s="913" t="str">
        <f>AO7</f>
        <v>Sales</v>
      </c>
      <c r="AP48" s="861"/>
      <c r="AQ48" s="913" t="str">
        <f>AQ7</f>
        <v>Price / Earnings</v>
      </c>
      <c r="AR48" s="861"/>
      <c r="AS48" s="4"/>
      <c r="AT48" s="4"/>
      <c r="AU48" s="40"/>
      <c r="AV48" s="69"/>
      <c r="AW48" s="69"/>
      <c r="AX48" s="69"/>
      <c r="AY48" s="69" t="str">
        <f t="shared" ref="AY48:BA48" si="38">AY7</f>
        <v xml:space="preserve">Market </v>
      </c>
      <c r="AZ48" s="69" t="str">
        <f t="shared" si="38"/>
        <v>Enterprise</v>
      </c>
      <c r="BA48" s="913" t="str">
        <f t="shared" si="38"/>
        <v>Sales</v>
      </c>
      <c r="BB48" s="861"/>
      <c r="BC48" s="913" t="str">
        <f>BC7</f>
        <v>EPS</v>
      </c>
      <c r="BD48" s="861"/>
      <c r="BE48" s="913" t="str">
        <f>BE7</f>
        <v>EBITDA Margin</v>
      </c>
      <c r="BF48" s="861"/>
      <c r="BG48" s="913" t="str">
        <f>BG7</f>
        <v>Profit Margin</v>
      </c>
      <c r="BH48" s="861"/>
      <c r="BI48" s="913" t="str">
        <f t="shared" si="35"/>
        <v>EBITDA</v>
      </c>
      <c r="BJ48" s="861"/>
      <c r="BK48" s="913" t="str">
        <f>BK7</f>
        <v>Sales</v>
      </c>
      <c r="BL48" s="861"/>
      <c r="BM48" s="913" t="str">
        <f>BM7</f>
        <v>Price / Earnings</v>
      </c>
      <c r="BN48" s="861"/>
    </row>
    <row r="49" spans="1:66" ht="13.5" customHeight="1" outlineLevel="1" collapsed="1">
      <c r="A49" s="4"/>
      <c r="B49" s="40"/>
      <c r="C49" s="40"/>
      <c r="D49" s="108"/>
      <c r="E49" s="69"/>
      <c r="F49" s="483" t="str">
        <f t="shared" ref="F49:V49" si="39">F8</f>
        <v>Ticker</v>
      </c>
      <c r="G49" s="483" t="str">
        <f t="shared" si="39"/>
        <v>Cap</v>
      </c>
      <c r="H49" s="483" t="str">
        <f t="shared" si="39"/>
        <v>Value</v>
      </c>
      <c r="I49" s="483" t="str">
        <f t="shared" si="39"/>
        <v>LTM</v>
      </c>
      <c r="J49" s="484">
        <f t="shared" si="39"/>
        <v>46387</v>
      </c>
      <c r="K49" s="483" t="str">
        <f t="shared" si="39"/>
        <v>LTM</v>
      </c>
      <c r="L49" s="484">
        <f t="shared" si="39"/>
        <v>46387</v>
      </c>
      <c r="M49" s="483" t="str">
        <f t="shared" si="39"/>
        <v>LTM</v>
      </c>
      <c r="N49" s="484">
        <f t="shared" si="39"/>
        <v>46387</v>
      </c>
      <c r="O49" s="483" t="str">
        <f t="shared" si="39"/>
        <v>LTM</v>
      </c>
      <c r="P49" s="484">
        <f t="shared" si="39"/>
        <v>46387</v>
      </c>
      <c r="Q49" s="483" t="str">
        <f t="shared" si="39"/>
        <v>LTM</v>
      </c>
      <c r="R49" s="484">
        <f t="shared" si="39"/>
        <v>46387</v>
      </c>
      <c r="S49" s="483" t="str">
        <f t="shared" si="39"/>
        <v>LTM</v>
      </c>
      <c r="T49" s="484">
        <f t="shared" si="39"/>
        <v>46387</v>
      </c>
      <c r="U49" s="483" t="str">
        <f t="shared" si="39"/>
        <v>LTM</v>
      </c>
      <c r="V49" s="484">
        <f t="shared" si="39"/>
        <v>46387</v>
      </c>
      <c r="W49" s="12"/>
      <c r="X49" s="4"/>
      <c r="Y49" s="40"/>
      <c r="Z49" s="108"/>
      <c r="AA49" s="69"/>
      <c r="AB49" s="483" t="str">
        <f t="shared" ref="AB49:AR49" si="40">AB8</f>
        <v>Ticker</v>
      </c>
      <c r="AC49" s="483" t="str">
        <f t="shared" si="40"/>
        <v>Cap</v>
      </c>
      <c r="AD49" s="483" t="str">
        <f t="shared" si="40"/>
        <v>Value</v>
      </c>
      <c r="AE49" s="483" t="str">
        <f t="shared" si="40"/>
        <v>LTM</v>
      </c>
      <c r="AF49" s="484">
        <f t="shared" si="40"/>
        <v>46387</v>
      </c>
      <c r="AG49" s="483" t="str">
        <f t="shared" si="40"/>
        <v>LTM</v>
      </c>
      <c r="AH49" s="484">
        <f t="shared" si="40"/>
        <v>46387</v>
      </c>
      <c r="AI49" s="483" t="str">
        <f t="shared" si="40"/>
        <v>LTM</v>
      </c>
      <c r="AJ49" s="484">
        <f t="shared" si="40"/>
        <v>46387</v>
      </c>
      <c r="AK49" s="483" t="str">
        <f t="shared" si="40"/>
        <v>LTM</v>
      </c>
      <c r="AL49" s="484">
        <f t="shared" si="40"/>
        <v>46387</v>
      </c>
      <c r="AM49" s="483" t="str">
        <f t="shared" si="40"/>
        <v>LTM</v>
      </c>
      <c r="AN49" s="484">
        <f t="shared" si="40"/>
        <v>46387</v>
      </c>
      <c r="AO49" s="483" t="str">
        <f t="shared" si="40"/>
        <v>LTM</v>
      </c>
      <c r="AP49" s="484">
        <f t="shared" si="40"/>
        <v>46387</v>
      </c>
      <c r="AQ49" s="483" t="str">
        <f t="shared" si="40"/>
        <v>LTM</v>
      </c>
      <c r="AR49" s="484">
        <f t="shared" si="40"/>
        <v>46387</v>
      </c>
      <c r="AS49" s="4"/>
      <c r="AT49" s="4"/>
      <c r="AU49" s="40"/>
      <c r="AV49" s="108"/>
      <c r="AW49" s="69"/>
      <c r="AX49" s="483" t="str">
        <f t="shared" ref="AX49:BN49" si="41">AX8</f>
        <v>Ticker</v>
      </c>
      <c r="AY49" s="483" t="str">
        <f t="shared" si="41"/>
        <v>Cap</v>
      </c>
      <c r="AZ49" s="483" t="str">
        <f t="shared" si="41"/>
        <v>Value</v>
      </c>
      <c r="BA49" s="483" t="str">
        <f t="shared" si="41"/>
        <v>LTM</v>
      </c>
      <c r="BB49" s="484">
        <f t="shared" si="41"/>
        <v>46387</v>
      </c>
      <c r="BC49" s="483" t="str">
        <f t="shared" si="41"/>
        <v>LTM</v>
      </c>
      <c r="BD49" s="484">
        <f t="shared" si="41"/>
        <v>46387</v>
      </c>
      <c r="BE49" s="483" t="str">
        <f t="shared" si="41"/>
        <v>LTM</v>
      </c>
      <c r="BF49" s="484">
        <f t="shared" si="41"/>
        <v>46387</v>
      </c>
      <c r="BG49" s="483" t="str">
        <f t="shared" si="41"/>
        <v>LTM</v>
      </c>
      <c r="BH49" s="484">
        <f t="shared" si="41"/>
        <v>46387</v>
      </c>
      <c r="BI49" s="483" t="str">
        <f t="shared" si="41"/>
        <v>LTM</v>
      </c>
      <c r="BJ49" s="484">
        <f t="shared" si="41"/>
        <v>46387</v>
      </c>
      <c r="BK49" s="483" t="str">
        <f t="shared" si="41"/>
        <v>LTM</v>
      </c>
      <c r="BL49" s="484">
        <f t="shared" si="41"/>
        <v>46387</v>
      </c>
      <c r="BM49" s="483" t="str">
        <f t="shared" si="41"/>
        <v>LTM</v>
      </c>
      <c r="BN49" s="484">
        <f t="shared" si="41"/>
        <v>46387</v>
      </c>
    </row>
    <row r="50" spans="1:66" ht="4.5" customHeight="1" outlineLevel="1" collapsed="1">
      <c r="A50" s="4"/>
      <c r="B50" s="40"/>
      <c r="C50" s="40"/>
      <c r="D50" s="69"/>
      <c r="E50" s="69"/>
      <c r="F50" s="69"/>
      <c r="G50" s="69"/>
      <c r="H50" s="69"/>
      <c r="I50" s="485"/>
      <c r="J50" s="69"/>
      <c r="K50" s="69"/>
      <c r="L50" s="69"/>
      <c r="M50" s="69"/>
      <c r="N50" s="69"/>
      <c r="O50" s="69"/>
      <c r="P50" s="69"/>
      <c r="Q50" s="69"/>
      <c r="R50" s="69"/>
      <c r="S50" s="69"/>
      <c r="T50" s="69"/>
      <c r="U50" s="69"/>
      <c r="V50" s="69"/>
      <c r="W50" s="12"/>
      <c r="X50" s="4"/>
      <c r="Y50" s="40"/>
      <c r="Z50" s="69"/>
      <c r="AA50" s="69"/>
      <c r="AB50" s="69"/>
      <c r="AC50" s="69"/>
      <c r="AD50" s="69"/>
      <c r="AE50" s="485"/>
      <c r="AF50" s="69"/>
      <c r="AG50" s="69"/>
      <c r="AH50" s="69"/>
      <c r="AI50" s="69"/>
      <c r="AJ50" s="69"/>
      <c r="AK50" s="69"/>
      <c r="AL50" s="69"/>
      <c r="AM50" s="69"/>
      <c r="AN50" s="69"/>
      <c r="AO50" s="69"/>
      <c r="AP50" s="69"/>
      <c r="AQ50" s="69"/>
      <c r="AR50" s="69"/>
      <c r="AS50" s="4"/>
      <c r="AT50" s="4"/>
      <c r="AU50" s="40"/>
      <c r="AV50" s="69"/>
      <c r="AW50" s="69"/>
      <c r="AX50" s="69"/>
      <c r="AY50" s="69"/>
      <c r="AZ50" s="69"/>
      <c r="BA50" s="485"/>
      <c r="BB50" s="69"/>
      <c r="BC50" s="69"/>
      <c r="BD50" s="69"/>
      <c r="BE50" s="69"/>
      <c r="BF50" s="69"/>
      <c r="BG50" s="69"/>
      <c r="BH50" s="69"/>
      <c r="BI50" s="69"/>
      <c r="BJ50" s="69"/>
      <c r="BK50" s="69"/>
      <c r="BL50" s="69"/>
      <c r="BM50" s="69"/>
      <c r="BN50" s="69"/>
    </row>
    <row r="51" spans="1:66" ht="13.5" customHeight="1" outlineLevel="1" collapsed="1">
      <c r="A51" s="4"/>
      <c r="B51" s="544" t="str">
        <f>B70</f>
        <v>IQ180871</v>
      </c>
      <c r="C51" s="544"/>
      <c r="D51" s="545" t="e">
        <f ca="1">_xll.ciqfunctions.udf.CIQ($B51, "IQ_COMPANY_NAME",Current_Date)</f>
        <v>#NAME?</v>
      </c>
      <c r="E51" s="546"/>
      <c r="F51" s="547" t="str">
        <f>$E$89</f>
        <v>NFLX</v>
      </c>
      <c r="G51" s="548" t="e">
        <f ca="1">_xll.ciqfunctions.udf.CIQ($B51, "IQ_MARKETCAP",Current_Date)</f>
        <v>#NAME?</v>
      </c>
      <c r="H51" s="548" t="e">
        <f ca="1">_xll.ciqfunctions.udf.CIQ($B51, "IQ_TEV",Current_Date)</f>
        <v>#NAME?</v>
      </c>
      <c r="I51" s="549" t="e">
        <f ca="1">_xll.ciqfunctions.udf.CIQ($B51, "IQ_TOTAL_REV_1YR_ANN_GROWTH",IQ_LTM,Current_Date)/100</f>
        <v>#NAME?</v>
      </c>
      <c r="J51" s="549" t="e">
        <f ca="1">_xll.ciqfunctions.udf.CIQ($B51,"IQ_REVENUE_EST",IQ_FY+1)/(_xll.ciqfunctions.udf.CIQ($B51,"IQ_TOTAL_REV",IQ_FY))-1</f>
        <v>#NAME?</v>
      </c>
      <c r="K51" s="549" t="e">
        <f ca="1">_xll.ciqfunctions.udf.CIQ($B51, "IQ_EPS_1YR_ANN_GROWTH",IQ_LTM,Current_Date)/100</f>
        <v>#NAME?</v>
      </c>
      <c r="L51" s="549" t="e">
        <f ca="1">_xll.ciqfunctions.udf.CIQ($B51,"IQ_EPS_EST",IQ_FY+1)/(_xll.ciqfunctions.udf.CIQ($B51,"IQ_DILUT_EPS_INCL",IQ_FY))-1</f>
        <v>#NAME?</v>
      </c>
      <c r="M51" s="549" t="e">
        <f ca="1">_xll.ciqfunctions.udf.CIQ($B51, "IQ_EBITDA_MARGIN",IQ_LTM)/100</f>
        <v>#NAME?</v>
      </c>
      <c r="N51" s="549" t="e">
        <f ca="1">_xll.ciqfunctions.udf.CIQ($B51,"IQ_EBITDA_EST",IQ_FY+1)/(_xll.ciqfunctions.udf.CIQ($B51,"IQ_REVENUE_EST",IQ_FY+1))</f>
        <v>#NAME?</v>
      </c>
      <c r="O51" s="549" t="e">
        <f ca="1">_xll.ciqfunctions.udf.CIQ($B51, "IQ_NI_MARGIN",IQ_LTM)/100</f>
        <v>#NAME?</v>
      </c>
      <c r="P51" s="549" t="e">
        <f ca="1">_xll.ciqfunctions.udf.CIQ($B51,"IQ_NI_EST",IQ_FY+1)/(_xll.ciqfunctions.udf.CIQ($B51,"IQ_REVENUE_EST",IQ_FY+1))</f>
        <v>#NAME?</v>
      </c>
      <c r="Q51" s="550" t="e">
        <f ca="1">_xll.ciqfunctions.udf.CIQ($B51, "IQ_TEV_EBITDA",IQ_LTM)</f>
        <v>#NAME?</v>
      </c>
      <c r="R51" s="550" t="e">
        <f ca="1">_xll.ciqfunctions.udf.CIQ($B51, "IQ_TEV",Current_Date)/_xll.ciqfunctions.udf.CIQ($B51, "IQ_EBITDA_EST",IQ_FY+1)</f>
        <v>#NAME?</v>
      </c>
      <c r="S51" s="550" t="e">
        <f ca="1">_xll.ciqfunctions.udf.CIQ($B51, "IQ_TEV_TOTAL_REV",IQ_LTM)</f>
        <v>#NAME?</v>
      </c>
      <c r="T51" s="550" t="e">
        <f ca="1">_xll.ciqfunctions.udf.CIQ($B51, "IQ_TEV",Current_Date)/_xll.ciqfunctions.udf.CIQ($B51, "IQ_REVENUE_EST",IQ_FY+1)</f>
        <v>#NAME?</v>
      </c>
      <c r="U51" s="550" t="e">
        <f ca="1">_xll.ciqfunctions.udf.CIQ($B51, "IQ_PE_EXCL",IQ_LTM)</f>
        <v>#NAME?</v>
      </c>
      <c r="V51" s="550" t="e">
        <f ca="1">_xll.ciqfunctions.udf.CIQ($B51, "IQ_MARKETCAP",Current_Date)/_xll.ciqfunctions.udf.CIQ($B51, "IQ_NI_EST",IQ_FY+1)</f>
        <v>#NAME?</v>
      </c>
      <c r="W51" s="12"/>
      <c r="X51" s="544" t="str">
        <f>X70</f>
        <v>IQ180871</v>
      </c>
      <c r="Y51" s="40"/>
      <c r="Z51" s="545" t="str">
        <f>Company_Name</f>
        <v>NETFLIX INC</v>
      </c>
      <c r="AA51" s="546"/>
      <c r="AB51" s="547" t="str">
        <f>$E$89</f>
        <v>NFLX</v>
      </c>
      <c r="AC51" s="548" t="e">
        <f ca="1">_xll.ciqfunctions.udf.CIQ($X51, "IQ_MARKETCAP",Current_Date)</f>
        <v>#NAME?</v>
      </c>
      <c r="AD51" s="548" t="e">
        <f ca="1">_xll.ciqfunctions.udf.CIQ($X51, "IQ_TEV",Current_Date)</f>
        <v>#NAME?</v>
      </c>
      <c r="AE51" s="549" t="e">
        <f ca="1">_xll.ciqfunctions.udf.CIQ($X51, "IQ_TOTAL_REV_1YR_ANN_GROWTH",IQ_LTM,Current_Date)/100</f>
        <v>#NAME?</v>
      </c>
      <c r="AF51" s="549" t="e">
        <f ca="1">_xll.ciqfunctions.udf.CIQ($X51,"IQ_REVENUE_EST",IQ_FY+1)/(_xll.ciqfunctions.udf.CIQ($X51,"IQ_TOTAL_REV",IQ_FY))-1</f>
        <v>#NAME?</v>
      </c>
      <c r="AG51" s="549" t="e">
        <f ca="1">_xll.ciqfunctions.udf.CIQ($X51, "IQ_EPS_1YR_ANN_GROWTH",IQ_LTM,Current_Date)/100</f>
        <v>#NAME?</v>
      </c>
      <c r="AH51" s="549" t="e">
        <f ca="1">_xll.ciqfunctions.udf.CIQ($X51,"IQ_EPS_EST",IQ_FY+1)/(_xll.ciqfunctions.udf.CIQ($X51,"IQ_DILUT_EPS_INCL",IQ_FY))-1</f>
        <v>#NAME?</v>
      </c>
      <c r="AI51" s="549" t="e">
        <f ca="1">_xll.ciqfunctions.udf.CIQ($X51, "IQ_EBITDA_MARGIN",IQ_LTM)/100</f>
        <v>#NAME?</v>
      </c>
      <c r="AJ51" s="549" t="e">
        <f ca="1">_xll.ciqfunctions.udf.CIQ($X51,"IQ_EBITDA_EST",IQ_FY+1)/(_xll.ciqfunctions.udf.CIQ($X51,"IQ_REVENUE_EST",IQ_FY+1))</f>
        <v>#NAME?</v>
      </c>
      <c r="AK51" s="549" t="e">
        <f ca="1">_xll.ciqfunctions.udf.CIQ($X51, "IQ_NI_MARGIN",IQ_LTM)/100</f>
        <v>#NAME?</v>
      </c>
      <c r="AL51" s="549" t="e">
        <f ca="1">_xll.ciqfunctions.udf.CIQ($X51,"IQ_NI_EST",IQ_FY+1)/(_xll.ciqfunctions.udf.CIQ($X51,"IQ_REVENUE_EST",IQ_FY+1))</f>
        <v>#NAME?</v>
      </c>
      <c r="AM51" s="550" t="e">
        <f ca="1">_xll.ciqfunctions.udf.CIQ($X51, "IQ_TEV_EBITDA",IQ_LTM)</f>
        <v>#NAME?</v>
      </c>
      <c r="AN51" s="550" t="e">
        <f ca="1">_xll.ciqfunctions.udf.CIQ($X51, "IQ_TEV",Current_Date)/_xll.ciqfunctions.udf.CIQ($X51, "IQ_EBITDA_EST",IQ_FY+1)</f>
        <v>#NAME?</v>
      </c>
      <c r="AO51" s="550" t="e">
        <f ca="1">_xll.ciqfunctions.udf.CIQ($X51, "IQ_TEV_TOTAL_REV",IQ_LTM)</f>
        <v>#NAME?</v>
      </c>
      <c r="AP51" s="550" t="e">
        <f ca="1">_xll.ciqfunctions.udf.CIQ($X51, "IQ_TEV",Current_Date)/_xll.ciqfunctions.udf.CIQ($X51, "IQ_REVENUE_EST",IQ_FY+1)</f>
        <v>#NAME?</v>
      </c>
      <c r="AQ51" s="550" t="e">
        <f ca="1">_xll.ciqfunctions.udf.CIQ($X51, "IQ_PE_EXCL",IQ_LTM)</f>
        <v>#NAME?</v>
      </c>
      <c r="AR51" s="551" t="e">
        <f ca="1">_xll.ciqfunctions.udf.CIQ($X51, "IQ_MARKETCAP",Current_Date)/_xll.ciqfunctions.udf.CIQ($X51, "IQ_NI_EST",IQ_FY+1)</f>
        <v>#NAME?</v>
      </c>
      <c r="AS51" s="4"/>
      <c r="AT51" s="544" t="str">
        <f>AT70</f>
        <v>IQ180871</v>
      </c>
      <c r="AU51" s="40"/>
      <c r="AV51" s="545" t="str">
        <f>Company_Name</f>
        <v>NETFLIX INC</v>
      </c>
      <c r="AW51" s="546"/>
      <c r="AX51" s="547" t="str">
        <f>Ticker</f>
        <v>NFLX</v>
      </c>
      <c r="AY51" s="548" t="e">
        <f ca="1">_xll.ciqfunctions.udf.CIQ($AT51, "IQ_MARKETCAP",Current_Date)</f>
        <v>#NAME?</v>
      </c>
      <c r="AZ51" s="548" t="e">
        <f ca="1">_xll.ciqfunctions.udf.CIQ($AT51, "IQ_TEV",Current_Date)</f>
        <v>#NAME?</v>
      </c>
      <c r="BA51" s="549" t="e">
        <f ca="1">_xll.ciqfunctions.udf.CIQ($AT51, "IQ_TOTAL_REV_1YR_ANN_GROWTH",IQ_LTM,Current_Date)/100</f>
        <v>#NAME?</v>
      </c>
      <c r="BB51" s="549" t="e">
        <f ca="1">_xll.ciqfunctions.udf.CIQ($AT51,"IQ_REVENUE_EST",IQ_FY+1)/(_xll.ciqfunctions.udf.CIQ($AT51,"IQ_TOTAL_REV",IQ_FY))-1</f>
        <v>#NAME?</v>
      </c>
      <c r="BC51" s="549" t="e">
        <f ca="1">_xll.ciqfunctions.udf.CIQ($AT51, "IQ_EPS_1YR_ANN_GROWTH",IQ_LTM,Current_Date)/100</f>
        <v>#NAME?</v>
      </c>
      <c r="BD51" s="549" t="e">
        <f ca="1">_xll.ciqfunctions.udf.CIQ($AT51,"IQ_EPS_EST",IQ_FY+1)/(_xll.ciqfunctions.udf.CIQ($AT51,"IQ_DILUT_EPS_INCL",IQ_FY))-1</f>
        <v>#NAME?</v>
      </c>
      <c r="BE51" s="549" t="e">
        <f ca="1">_xll.ciqfunctions.udf.CIQ($AT51, "IQ_EBITDA_MARGIN",IQ_LTM)/100</f>
        <v>#NAME?</v>
      </c>
      <c r="BF51" s="549" t="e">
        <f ca="1">_xll.ciqfunctions.udf.CIQ($AT51,"IQ_EBITDA_EST",IQ_FY+1)/(_xll.ciqfunctions.udf.CIQ($AT51,"IQ_REVENUE_EST",IQ_FY+1))</f>
        <v>#NAME?</v>
      </c>
      <c r="BG51" s="549" t="e">
        <f ca="1">_xll.ciqfunctions.udf.CIQ($AT51, "IQ_NI_MARGIN",IQ_LTM)/100</f>
        <v>#NAME?</v>
      </c>
      <c r="BH51" s="549" t="e">
        <f ca="1">_xll.ciqfunctions.udf.CIQ($AT51,"IQ_NI_EST",IQ_FY+1)/(_xll.ciqfunctions.udf.CIQ($AT51,"IQ_REVENUE_EST",IQ_FY+1))</f>
        <v>#NAME?</v>
      </c>
      <c r="BI51" s="550" t="e">
        <f ca="1">_xll.ciqfunctions.udf.CIQ($AT51, "IQ_TEV_EBITDA",IQ_LTM)</f>
        <v>#NAME?</v>
      </c>
      <c r="BJ51" s="550" t="e">
        <f ca="1">_xll.ciqfunctions.udf.CIQ($AT51, "IQ_TEV",Current_Date)/_xll.ciqfunctions.udf.CIQ($AT51, "IQ_EBITDA_EST",IQ_FY+1)</f>
        <v>#NAME?</v>
      </c>
      <c r="BK51" s="550" t="e">
        <f ca="1">_xll.ciqfunctions.udf.CIQ($AT51, "IQ_TEV_TOTAL_REV",IQ_LTM)</f>
        <v>#NAME?</v>
      </c>
      <c r="BL51" s="550" t="e">
        <f ca="1">_xll.ciqfunctions.udf.CIQ($AT51, "IQ_TEV",Current_Date)/_xll.ciqfunctions.udf.CIQ($AT51, "IQ_REVENUE_EST",IQ_FY+1)</f>
        <v>#NAME?</v>
      </c>
      <c r="BM51" s="550" t="e">
        <f ca="1">_xll.ciqfunctions.udf.CIQ($AT51, "IQ_PE_EXCL",IQ_LTM)</f>
        <v>#NAME?</v>
      </c>
      <c r="BN51" s="551" t="e">
        <f ca="1">_xll.ciqfunctions.udf.CIQ($AT51, "IQ_MARKETCAP",Current_Date)/_xll.ciqfunctions.udf.CIQ($AT51, "IQ_NI_EST",IQ_FY+1)</f>
        <v>#NAME?</v>
      </c>
    </row>
    <row r="52" spans="1:66" ht="13.5" customHeight="1" outlineLevel="1" collapsed="1">
      <c r="A52" s="4"/>
      <c r="B52" s="544"/>
      <c r="C52" s="544"/>
      <c r="D52" s="12"/>
      <c r="E52" s="12"/>
      <c r="F52" s="69"/>
      <c r="G52" s="69"/>
      <c r="H52" s="69"/>
      <c r="I52" s="485"/>
      <c r="J52" s="485"/>
      <c r="K52" s="485"/>
      <c r="L52" s="485"/>
      <c r="M52" s="485"/>
      <c r="N52" s="485"/>
      <c r="O52" s="540"/>
      <c r="P52" s="540"/>
      <c r="Q52" s="493"/>
      <c r="R52" s="493"/>
      <c r="S52" s="69"/>
      <c r="T52" s="69"/>
      <c r="U52" s="69"/>
      <c r="V52" s="69"/>
      <c r="W52" s="12"/>
      <c r="X52" s="544"/>
      <c r="Y52" s="40"/>
      <c r="Z52" s="12"/>
      <c r="AA52" s="12"/>
      <c r="AB52" s="69"/>
      <c r="AC52" s="491"/>
      <c r="AD52" s="69"/>
      <c r="AE52" s="485"/>
      <c r="AF52" s="552"/>
      <c r="AG52" s="485"/>
      <c r="AH52" s="485"/>
      <c r="AI52" s="540"/>
      <c r="AJ52" s="540"/>
      <c r="AK52" s="540"/>
      <c r="AL52" s="540"/>
      <c r="AM52" s="493"/>
      <c r="AN52" s="493"/>
      <c r="AO52" s="69"/>
      <c r="AP52" s="69"/>
      <c r="AQ52" s="69"/>
      <c r="AR52" s="69"/>
      <c r="AS52" s="4"/>
      <c r="AT52" s="544"/>
      <c r="AU52" s="40"/>
      <c r="AV52" s="12"/>
      <c r="AW52" s="12"/>
      <c r="AX52" s="69"/>
      <c r="AY52" s="491"/>
      <c r="AZ52" s="69"/>
      <c r="BA52" s="485"/>
      <c r="BB52" s="552"/>
      <c r="BC52" s="485"/>
      <c r="BD52" s="485"/>
      <c r="BE52" s="540"/>
      <c r="BF52" s="540"/>
      <c r="BG52" s="540"/>
      <c r="BH52" s="540"/>
      <c r="BI52" s="493"/>
      <c r="BJ52" s="493"/>
      <c r="BK52" s="69"/>
      <c r="BL52" s="69"/>
      <c r="BM52" s="69"/>
      <c r="BN52" s="69"/>
    </row>
    <row r="53" spans="1:66" ht="13.5" customHeight="1" outlineLevel="1" collapsed="1">
      <c r="A53" s="4"/>
      <c r="B53" s="544" t="str">
        <f t="shared" ref="B53:B57" si="42">B72</f>
        <v>IQ278679</v>
      </c>
      <c r="C53" s="544"/>
      <c r="D53" s="12" t="e">
        <f ca="1">_xll.ciqfunctions.udf.CIQ($B53, "IQ_COMPANY_NAME",Current_Date)</f>
        <v>#NAME?</v>
      </c>
      <c r="E53" s="12"/>
      <c r="F53" s="69" t="str">
        <f t="shared" ref="F53:F57" si="43">F72</f>
        <v>HD</v>
      </c>
      <c r="G53" s="494" t="e">
        <f ca="1">_xll.ciqfunctions.udf.CIQ($B53, "IQ_MARKETCAP",Current_Date)</f>
        <v>#NAME?</v>
      </c>
      <c r="H53" s="494" t="e">
        <f ca="1">_xll.ciqfunctions.udf.CIQ($B53, "IQ_TEV",Current_Date)</f>
        <v>#NAME?</v>
      </c>
      <c r="I53" s="492" t="e">
        <f ca="1">_xll.ciqfunctions.udf.CIQ($B53, "IQ_TOTAL_REV_1YR_ANN_GROWTH",IQ_LTM,Current_Date)/100</f>
        <v>#NAME?</v>
      </c>
      <c r="J53" s="492" t="e">
        <f t="shared" ref="J53:J57" ca="1" si="44">_xll.ciqfunctions.udf.CIQ($B53,"IQ_REVENUE_EST",IQ_FY+1)/(_xll.ciqfunctions.udf.CIQ($B53,"IQ_TOTAL_REV",IQ_FY))-1</f>
        <v>#NAME?</v>
      </c>
      <c r="K53" s="492" t="e">
        <f ca="1">_xll.ciqfunctions.udf.CIQ($B53, "IQ_EPS_1YR_ANN_GROWTH",IQ_LTM,Current_Date)/100</f>
        <v>#NAME?</v>
      </c>
      <c r="L53" s="492" t="e">
        <f t="shared" ref="L53:L57" ca="1" si="45">_xll.ciqfunctions.udf.CIQ($B53,"IQ_EPS_EST",IQ_FY+1)/(_xll.ciqfunctions.udf.CIQ($B53,"IQ_DILUT_EPS_INCL",IQ_FY))-1</f>
        <v>#NAME?</v>
      </c>
      <c r="M53" s="492" t="e">
        <f t="shared" ref="M53:M57" ca="1" si="46">_xll.ciqfunctions.udf.CIQ($B53, "IQ_EBITDA_MARGIN",IQ_LTM)/100</f>
        <v>#NAME?</v>
      </c>
      <c r="N53" s="492" t="e">
        <f t="shared" ref="N53:N57" ca="1" si="47">_xll.ciqfunctions.udf.CIQ($B53,"IQ_EBITDA_EST",IQ_FY+1)/(_xll.ciqfunctions.udf.CIQ($B53,"IQ_REVENUE_EST",IQ_FY+1))</f>
        <v>#NAME?</v>
      </c>
      <c r="O53" s="492" t="e">
        <f t="shared" ref="O53:O57" ca="1" si="48">_xll.ciqfunctions.udf.CIQ($B53, "IQ_NI_MARGIN",IQ_LTM)/100</f>
        <v>#NAME?</v>
      </c>
      <c r="P53" s="492" t="e">
        <f t="shared" ref="P53:P57" ca="1" si="49">_xll.ciqfunctions.udf.CIQ($B53,"IQ_NI_EST",IQ_FY+1)/(_xll.ciqfunctions.udf.CIQ($B53,"IQ_REVENUE_EST",IQ_FY+1))</f>
        <v>#NAME?</v>
      </c>
      <c r="Q53" s="496" t="e">
        <f t="shared" ref="Q53:Q57" ca="1" si="50">_xll.ciqfunctions.udf.CIQ($B53, "IQ_TEV_EBITDA",IQ_LTM)</f>
        <v>#NAME?</v>
      </c>
      <c r="R53" s="496" t="e">
        <f ca="1">_xll.ciqfunctions.udf.CIQ($B53, "IQ_TEV",Current_Date)/_xll.ciqfunctions.udf.CIQ($B53, "IQ_EBITDA_EST",IQ_FY+1)</f>
        <v>#NAME?</v>
      </c>
      <c r="S53" s="496" t="e">
        <f t="shared" ref="S53:S57" ca="1" si="51">_xll.ciqfunctions.udf.CIQ($B53, "IQ_TEV_TOTAL_REV",IQ_LTM)</f>
        <v>#NAME?</v>
      </c>
      <c r="T53" s="496" t="e">
        <f ca="1">_xll.ciqfunctions.udf.CIQ($B53, "IQ_TEV",Current_Date)/_xll.ciqfunctions.udf.CIQ($B53, "IQ_REVENUE_EST",IQ_FY+1)</f>
        <v>#NAME?</v>
      </c>
      <c r="U53" s="496" t="e">
        <f t="shared" ref="U53:U57" ca="1" si="52">_xll.ciqfunctions.udf.CIQ($B53, "IQ_PE_EXCL",IQ_LTM)</f>
        <v>#NAME?</v>
      </c>
      <c r="V53" s="496" t="e">
        <f ca="1">_xll.ciqfunctions.udf.CIQ($B53, "IQ_MARKETCAP",Current_Date)/_xll.ciqfunctions.udf.CIQ($B53, "IQ_NI_EST",IQ_FY+1)</f>
        <v>#NAME?</v>
      </c>
      <c r="W53" s="12"/>
      <c r="X53" s="544" t="str">
        <f t="shared" ref="X53:X57" si="53">X72</f>
        <v>IQ159230</v>
      </c>
      <c r="Y53" s="40"/>
      <c r="Z53" s="12" t="e">
        <f ca="1">_xll.ciqfunctions.udf.CIQ($X53, "IQ_COMPANY_NAME",Current_Date)</f>
        <v>#NAME?</v>
      </c>
      <c r="AA53" s="12"/>
      <c r="AB53" s="69" t="str">
        <f t="shared" ref="AB53:AB57" si="54">AB72</f>
        <v>RTX</v>
      </c>
      <c r="AC53" s="494" t="e">
        <f ca="1">_xll.ciqfunctions.udf.CIQ($X53, "IQ_MARKETCAP",Current_Date)</f>
        <v>#NAME?</v>
      </c>
      <c r="AD53" s="494" t="e">
        <f ca="1">_xll.ciqfunctions.udf.CIQ($X53, "IQ_TEV",Current_Date)</f>
        <v>#NAME?</v>
      </c>
      <c r="AE53" s="492" t="e">
        <f ca="1">_xll.ciqfunctions.udf.CIQ($X53, "IQ_TOTAL_REV_1YR_ANN_GROWTH",IQ_LTM,Current_Date)/100</f>
        <v>#NAME?</v>
      </c>
      <c r="AF53" s="492" t="e">
        <f t="shared" ref="AF53:AF57" ca="1" si="55">_xll.ciqfunctions.udf.CIQ($X53,"IQ_REVENUE_EST",IQ_FY+1)/(_xll.ciqfunctions.udf.CIQ($X53,"IQ_TOTAL_REV",IQ_FY))-1</f>
        <v>#NAME?</v>
      </c>
      <c r="AG53" s="492" t="e">
        <f ca="1">_xll.ciqfunctions.udf.CIQ($X53, "IQ_EPS_1YR_ANN_GROWTH",IQ_LTM,Current_Date)/100</f>
        <v>#NAME?</v>
      </c>
      <c r="AH53" s="492" t="e">
        <f t="shared" ref="AH53:AH57" ca="1" si="56">_xll.ciqfunctions.udf.CIQ($X53,"IQ_EPS_EST",IQ_FY+1)/(_xll.ciqfunctions.udf.CIQ($X53,"IQ_DILUT_EPS_INCL",IQ_FY))-1</f>
        <v>#NAME?</v>
      </c>
      <c r="AI53" s="492" t="e">
        <f t="shared" ref="AI53:AI57" ca="1" si="57">_xll.ciqfunctions.udf.CIQ($X53, "IQ_EBITDA_MARGIN",IQ_LTM)/100</f>
        <v>#NAME?</v>
      </c>
      <c r="AJ53" s="492" t="e">
        <f t="shared" ref="AJ53:AJ57" ca="1" si="58">_xll.ciqfunctions.udf.CIQ($X53,"IQ_EBITDA_EST",IQ_FY+1)/(_xll.ciqfunctions.udf.CIQ($X53,"IQ_REVENUE_EST",IQ_FY+1))</f>
        <v>#NAME?</v>
      </c>
      <c r="AK53" s="492" t="e">
        <f t="shared" ref="AK53:AK57" ca="1" si="59">_xll.ciqfunctions.udf.CIQ($X53, "IQ_NI_MARGIN",IQ_LTM)/100</f>
        <v>#NAME?</v>
      </c>
      <c r="AL53" s="492" t="e">
        <f t="shared" ref="AL53:AL57" ca="1" si="60">_xll.ciqfunctions.udf.CIQ($X53,"IQ_NI_EST",IQ_FY+1)/(_xll.ciqfunctions.udf.CIQ($X53,"IQ_REVENUE_EST",IQ_FY+1))</f>
        <v>#NAME?</v>
      </c>
      <c r="AM53" s="496" t="e">
        <f t="shared" ref="AM53:AM57" ca="1" si="61">_xll.ciqfunctions.udf.CIQ($X53, "IQ_TEV_EBITDA",IQ_LTM)</f>
        <v>#NAME?</v>
      </c>
      <c r="AN53" s="496" t="e">
        <f ca="1">_xll.ciqfunctions.udf.CIQ($X53, "IQ_TEV",Current_Date)/_xll.ciqfunctions.udf.CIQ($X53, "IQ_EBITDA_EST",IQ_FY+1)</f>
        <v>#NAME?</v>
      </c>
      <c r="AO53" s="496" t="e">
        <f t="shared" ref="AO53:AO57" ca="1" si="62">_xll.ciqfunctions.udf.CIQ($X53, "IQ_TEV_TOTAL_REV",IQ_LTM)</f>
        <v>#NAME?</v>
      </c>
      <c r="AP53" s="496" t="e">
        <f ca="1">_xll.ciqfunctions.udf.CIQ($X53, "IQ_TEV",Current_Date)/_xll.ciqfunctions.udf.CIQ($X53, "IQ_REVENUE_EST",IQ_FY+1)</f>
        <v>#NAME?</v>
      </c>
      <c r="AQ53" s="496" t="e">
        <f t="shared" ref="AQ53:AQ57" ca="1" si="63">_xll.ciqfunctions.udf.CIQ($X53, "IQ_PE_EXCL",IQ_LTM)</f>
        <v>#NAME?</v>
      </c>
      <c r="AR53" s="496" t="e">
        <f ca="1">_xll.ciqfunctions.udf.CIQ($X53, "IQ_MARKETCAP",Current_Date)/_xll.ciqfunctions.udf.CIQ($X53, "IQ_NI_EST",IQ_FY+1)</f>
        <v>#NAME?</v>
      </c>
      <c r="AS53" s="4"/>
      <c r="AT53" s="544" t="str">
        <f t="shared" ref="AT53:AT57" si="64">AT72</f>
        <v>IQ289194</v>
      </c>
      <c r="AU53" s="40"/>
      <c r="AV53" s="12" t="e">
        <f ca="1">_xll.ciqfunctions.udf.CIQ($AT53, "IQ_COMPANY_NAME",Current_Date)</f>
        <v>#NAME?</v>
      </c>
      <c r="AW53" s="12"/>
      <c r="AX53" s="69" t="str">
        <f>N93</f>
        <v>MMM</v>
      </c>
      <c r="AY53" s="494" t="e">
        <f ca="1">_xll.ciqfunctions.udf.CIQ($AT53, "IQ_MARKETCAP",Current_Date)</f>
        <v>#NAME?</v>
      </c>
      <c r="AZ53" s="494" t="e">
        <f ca="1">_xll.ciqfunctions.udf.CIQ($AT53, "IQ_TEV",Current_Date)</f>
        <v>#NAME?</v>
      </c>
      <c r="BA53" s="492" t="e">
        <f ca="1">_xll.ciqfunctions.udf.CIQ($AT53, "IQ_TOTAL_REV_1YR_ANN_GROWTH",IQ_LTM,Current_Date)/100</f>
        <v>#NAME?</v>
      </c>
      <c r="BB53" s="492" t="e">
        <f t="shared" ref="BB53:BB57" ca="1" si="65">_xll.ciqfunctions.udf.CIQ($AT53,"IQ_REVENUE_EST",IQ_FY+1)/(_xll.ciqfunctions.udf.CIQ($AT53,"IQ_TOTAL_REV",IQ_FY))-1</f>
        <v>#NAME?</v>
      </c>
      <c r="BC53" s="492" t="e">
        <f ca="1">_xll.ciqfunctions.udf.CIQ($AT53, "IQ_EPS_1YR_ANN_GROWTH",IQ_LTM,Current_Date)/100</f>
        <v>#NAME?</v>
      </c>
      <c r="BD53" s="492" t="e">
        <f t="shared" ref="BD53:BD57" ca="1" si="66">_xll.ciqfunctions.udf.CIQ($AT53,"IQ_EPS_EST",IQ_FY+1)/(_xll.ciqfunctions.udf.CIQ($AT53,"IQ_DILUT_EPS_INCL",IQ_FY))-1</f>
        <v>#NAME?</v>
      </c>
      <c r="BE53" s="492" t="e">
        <f t="shared" ref="BE53:BE57" ca="1" si="67">_xll.ciqfunctions.udf.CIQ($AT53, "IQ_EBITDA_MARGIN",IQ_LTM)/100</f>
        <v>#NAME?</v>
      </c>
      <c r="BF53" s="492" t="e">
        <f t="shared" ref="BF53:BF57" ca="1" si="68">_xll.ciqfunctions.udf.CIQ($AT53,"IQ_EBITDA_EST",IQ_FY+1)/(_xll.ciqfunctions.udf.CIQ($AT53,"IQ_REVENUE_EST",IQ_FY+1))</f>
        <v>#NAME?</v>
      </c>
      <c r="BG53" s="492" t="e">
        <f t="shared" ref="BG53:BG57" ca="1" si="69">_xll.ciqfunctions.udf.CIQ($AT53, "IQ_NI_MARGIN",IQ_LTM)/100</f>
        <v>#NAME?</v>
      </c>
      <c r="BH53" s="492" t="e">
        <f t="shared" ref="BH53:BH57" ca="1" si="70">_xll.ciqfunctions.udf.CIQ($AT53,"IQ_NI_EST",IQ_FY+1)/(_xll.ciqfunctions.udf.CIQ($AT53,"IQ_REVENUE_EST",IQ_FY+1))</f>
        <v>#NAME?</v>
      </c>
      <c r="BI53" s="496" t="e">
        <f t="shared" ref="BI53:BI57" ca="1" si="71">_xll.ciqfunctions.udf.CIQ($AT53, "IQ_TEV_EBITDA",IQ_LTM)</f>
        <v>#NAME?</v>
      </c>
      <c r="BJ53" s="496" t="e">
        <f ca="1">_xll.ciqfunctions.udf.CIQ($AT53, "IQ_TEV",Current_Date)/_xll.ciqfunctions.udf.CIQ($AT53, "IQ_EBITDA_EST",IQ_FY+1)</f>
        <v>#NAME?</v>
      </c>
      <c r="BK53" s="496" t="e">
        <f t="shared" ref="BK53:BK57" ca="1" si="72">_xll.ciqfunctions.udf.CIQ($AT53, "IQ_TEV_TOTAL_REV",IQ_LTM)</f>
        <v>#NAME?</v>
      </c>
      <c r="BL53" s="496" t="e">
        <f ca="1">_xll.ciqfunctions.udf.CIQ($AT53, "IQ_TEV",Current_Date)/_xll.ciqfunctions.udf.CIQ($AT53, "IQ_REVENUE_EST",IQ_FY+1)</f>
        <v>#NAME?</v>
      </c>
      <c r="BM53" s="496" t="e">
        <f t="shared" ref="BM53:BM57" ca="1" si="73">_xll.ciqfunctions.udf.CIQ($AT53, "IQ_PE_EXCL",IQ_LTM)</f>
        <v>#NAME?</v>
      </c>
      <c r="BN53" s="496" t="e">
        <f ca="1">_xll.ciqfunctions.udf.CIQ($AT53, "IQ_MARKETCAP",Current_Date)/_xll.ciqfunctions.udf.CIQ($AT53, "IQ_NI_EST",IQ_FY+1)</f>
        <v>#NAME?</v>
      </c>
    </row>
    <row r="54" spans="1:66" ht="13.5" customHeight="1" outlineLevel="1" collapsed="1">
      <c r="A54" s="4"/>
      <c r="B54" s="544" t="str">
        <f t="shared" si="42"/>
        <v>IQ20765463</v>
      </c>
      <c r="C54" s="544"/>
      <c r="D54" s="12" t="e">
        <f ca="1">_xll.ciqfunctions.udf.CIQ($B54, "IQ_COMPANY_NAME",Current_Date)</f>
        <v>#NAME?</v>
      </c>
      <c r="E54" s="12"/>
      <c r="F54" s="69" t="str">
        <f t="shared" si="43"/>
        <v>""</v>
      </c>
      <c r="G54" s="494" t="e">
        <f ca="1">_xll.ciqfunctions.udf.CIQ($B54, "IQ_MARKETCAP",Current_Date)</f>
        <v>#NAME?</v>
      </c>
      <c r="H54" s="494" t="e">
        <f ca="1">_xll.ciqfunctions.udf.CIQ($B54, "IQ_TEV",Current_Date)</f>
        <v>#NAME?</v>
      </c>
      <c r="I54" s="492" t="e">
        <f ca="1">_xll.ciqfunctions.udf.CIQ($B54, "IQ_TOTAL_REV_1YR_ANN_GROWTH",IQ_LTM,Current_Date)/100</f>
        <v>#NAME?</v>
      </c>
      <c r="J54" s="492" t="e">
        <f t="shared" ca="1" si="44"/>
        <v>#NAME?</v>
      </c>
      <c r="K54" s="492" t="e">
        <f ca="1">_xll.ciqfunctions.udf.CIQ($B54, "IQ_EPS_1YR_ANN_GROWTH",IQ_LTM,Current_Date)/100</f>
        <v>#NAME?</v>
      </c>
      <c r="L54" s="492" t="e">
        <f t="shared" ca="1" si="45"/>
        <v>#NAME?</v>
      </c>
      <c r="M54" s="492" t="e">
        <f t="shared" ca="1" si="46"/>
        <v>#NAME?</v>
      </c>
      <c r="N54" s="492" t="e">
        <f t="shared" ca="1" si="47"/>
        <v>#NAME?</v>
      </c>
      <c r="O54" s="492" t="e">
        <f t="shared" ca="1" si="48"/>
        <v>#NAME?</v>
      </c>
      <c r="P54" s="492" t="e">
        <f t="shared" ca="1" si="49"/>
        <v>#NAME?</v>
      </c>
      <c r="Q54" s="496" t="e">
        <f t="shared" ca="1" si="50"/>
        <v>#NAME?</v>
      </c>
      <c r="R54" s="496" t="e">
        <f ca="1">_xll.ciqfunctions.udf.CIQ($B54, "IQ_TEV",Current_Date)/_xll.ciqfunctions.udf.CIQ($B54, "IQ_EBITDA_EST",IQ_FY+1)</f>
        <v>#NAME?</v>
      </c>
      <c r="S54" s="496" t="e">
        <f t="shared" ca="1" si="51"/>
        <v>#NAME?</v>
      </c>
      <c r="T54" s="496" t="e">
        <f ca="1">_xll.ciqfunctions.udf.CIQ($B54, "IQ_TEV",Current_Date)/_xll.ciqfunctions.udf.CIQ($B54, "IQ_REVENUE_EST",IQ_FY+1)</f>
        <v>#NAME?</v>
      </c>
      <c r="U54" s="496" t="e">
        <f t="shared" ca="1" si="52"/>
        <v>#NAME?</v>
      </c>
      <c r="V54" s="496" t="e">
        <f ca="1">_xll.ciqfunctions.udf.CIQ($B54, "IQ_MARKETCAP",Current_Date)/_xll.ciqfunctions.udf.CIQ($B54, "IQ_NI_EST",IQ_FY+1)</f>
        <v>#NAME?</v>
      </c>
      <c r="W54" s="12"/>
      <c r="X54" s="544" t="str">
        <f t="shared" si="53"/>
        <v>IQ370857</v>
      </c>
      <c r="Y54" s="40"/>
      <c r="Z54" s="12" t="e">
        <f ca="1">_xll.ciqfunctions.udf.CIQ($X54, "IQ_COMPANY_NAME",Current_Date)</f>
        <v>#NAME?</v>
      </c>
      <c r="AA54" s="12"/>
      <c r="AB54" s="69" t="str">
        <f t="shared" si="54"/>
        <v>BA</v>
      </c>
      <c r="AC54" s="494" t="e">
        <f ca="1">_xll.ciqfunctions.udf.CIQ($X54, "IQ_MARKETCAP",Current_Date)</f>
        <v>#NAME?</v>
      </c>
      <c r="AD54" s="494" t="e">
        <f ca="1">_xll.ciqfunctions.udf.CIQ($X54, "IQ_TEV",Current_Date)</f>
        <v>#NAME?</v>
      </c>
      <c r="AE54" s="492" t="e">
        <f ca="1">_xll.ciqfunctions.udf.CIQ($X54, "IQ_TOTAL_REV_1YR_ANN_GROWTH",IQ_LTM,Current_Date)/100</f>
        <v>#NAME?</v>
      </c>
      <c r="AF54" s="492" t="e">
        <f t="shared" ca="1" si="55"/>
        <v>#NAME?</v>
      </c>
      <c r="AG54" s="492" t="e">
        <f ca="1">_xll.ciqfunctions.udf.CIQ($X54, "IQ_EPS_1YR_ANN_GROWTH",IQ_LTM,Current_Date)/100</f>
        <v>#NAME?</v>
      </c>
      <c r="AH54" s="492" t="e">
        <f t="shared" ca="1" si="56"/>
        <v>#NAME?</v>
      </c>
      <c r="AI54" s="492" t="e">
        <f t="shared" ca="1" si="57"/>
        <v>#NAME?</v>
      </c>
      <c r="AJ54" s="492" t="e">
        <f t="shared" ca="1" si="58"/>
        <v>#NAME?</v>
      </c>
      <c r="AK54" s="492" t="e">
        <f t="shared" ca="1" si="59"/>
        <v>#NAME?</v>
      </c>
      <c r="AL54" s="492" t="e">
        <f t="shared" ca="1" si="60"/>
        <v>#NAME?</v>
      </c>
      <c r="AM54" s="496" t="e">
        <f t="shared" ca="1" si="61"/>
        <v>#NAME?</v>
      </c>
      <c r="AN54" s="496" t="e">
        <f ca="1">_xll.ciqfunctions.udf.CIQ($X54, "IQ_TEV",Current_Date)/_xll.ciqfunctions.udf.CIQ($X54, "IQ_EBITDA_EST",IQ_FY+1)</f>
        <v>#NAME?</v>
      </c>
      <c r="AO54" s="496" t="e">
        <f t="shared" ca="1" si="62"/>
        <v>#NAME?</v>
      </c>
      <c r="AP54" s="496" t="e">
        <f ca="1">_xll.ciqfunctions.udf.CIQ($X54, "IQ_TEV",Current_Date)/_xll.ciqfunctions.udf.CIQ($X54, "IQ_REVENUE_EST",IQ_FY+1)</f>
        <v>#NAME?</v>
      </c>
      <c r="AQ54" s="496" t="e">
        <f t="shared" ca="1" si="63"/>
        <v>#NAME?</v>
      </c>
      <c r="AR54" s="496" t="e">
        <f ca="1">_xll.ciqfunctions.udf.CIQ($X54, "IQ_MARKETCAP",Current_Date)/_xll.ciqfunctions.udf.CIQ($X54, "IQ_NI_EST",IQ_FY+1)</f>
        <v>#NAME?</v>
      </c>
      <c r="AS54" s="4"/>
      <c r="AT54" s="544" t="str">
        <f t="shared" si="64"/>
        <v>IQ177031</v>
      </c>
      <c r="AU54" s="40"/>
      <c r="AV54" s="12" t="e">
        <f ca="1">_xll.ciqfunctions.udf.CIQ($AT54, "IQ_COMPANY_NAME",Current_Date)</f>
        <v>#NAME?</v>
      </c>
      <c r="AW54" s="12"/>
      <c r="AX54" s="69" t="str">
        <f>N97</f>
        <v>GE</v>
      </c>
      <c r="AY54" s="494" t="e">
        <f ca="1">_xll.ciqfunctions.udf.CIQ($AT54, "IQ_MARKETCAP",Current_Date)</f>
        <v>#NAME?</v>
      </c>
      <c r="AZ54" s="494" t="e">
        <f ca="1">_xll.ciqfunctions.udf.CIQ($AT54, "IQ_TEV",Current_Date)</f>
        <v>#NAME?</v>
      </c>
      <c r="BA54" s="492" t="e">
        <f ca="1">_xll.ciqfunctions.udf.CIQ($AT54, "IQ_TOTAL_REV_1YR_ANN_GROWTH",IQ_LTM,Current_Date)/100</f>
        <v>#NAME?</v>
      </c>
      <c r="BB54" s="492" t="e">
        <f t="shared" ca="1" si="65"/>
        <v>#NAME?</v>
      </c>
      <c r="BC54" s="492" t="e">
        <f ca="1">_xll.ciqfunctions.udf.CIQ($AT54, "IQ_EPS_1YR_ANN_GROWTH",IQ_LTM,Current_Date)/100</f>
        <v>#NAME?</v>
      </c>
      <c r="BD54" s="492" t="e">
        <f t="shared" ca="1" si="66"/>
        <v>#NAME?</v>
      </c>
      <c r="BE54" s="492" t="e">
        <f t="shared" ca="1" si="67"/>
        <v>#NAME?</v>
      </c>
      <c r="BF54" s="492" t="e">
        <f t="shared" ca="1" si="68"/>
        <v>#NAME?</v>
      </c>
      <c r="BG54" s="492" t="e">
        <f t="shared" ca="1" si="69"/>
        <v>#NAME?</v>
      </c>
      <c r="BH54" s="492" t="e">
        <f t="shared" ca="1" si="70"/>
        <v>#NAME?</v>
      </c>
      <c r="BI54" s="496" t="e">
        <f t="shared" ca="1" si="71"/>
        <v>#NAME?</v>
      </c>
      <c r="BJ54" s="496" t="e">
        <f ca="1">_xll.ciqfunctions.udf.CIQ($AT54, "IQ_TEV",Current_Date)/_xll.ciqfunctions.udf.CIQ($AT54, "IQ_EBITDA_EST",IQ_FY+1)</f>
        <v>#NAME?</v>
      </c>
      <c r="BK54" s="496" t="e">
        <f t="shared" ca="1" si="72"/>
        <v>#NAME?</v>
      </c>
      <c r="BL54" s="496" t="e">
        <f ca="1">_xll.ciqfunctions.udf.CIQ($AT54, "IQ_TEV",Current_Date)/_xll.ciqfunctions.udf.CIQ($AT54, "IQ_REVENUE_EST",IQ_FY+1)</f>
        <v>#NAME?</v>
      </c>
      <c r="BM54" s="496" t="e">
        <f t="shared" ca="1" si="73"/>
        <v>#NAME?</v>
      </c>
      <c r="BN54" s="496" t="e">
        <f ca="1">_xll.ciqfunctions.udf.CIQ($AT54, "IQ_MARKETCAP",Current_Date)/_xll.ciqfunctions.udf.CIQ($AT54, "IQ_NI_EST",IQ_FY+1)</f>
        <v>#NAME?</v>
      </c>
    </row>
    <row r="55" spans="1:66" ht="13.5" customHeight="1" outlineLevel="1" collapsed="1">
      <c r="A55" s="4"/>
      <c r="B55" s="544" t="str">
        <f t="shared" si="42"/>
        <v>IQ21835</v>
      </c>
      <c r="C55" s="544"/>
      <c r="D55" s="12" t="e">
        <f ca="1">_xll.ciqfunctions.udf.CIQ($B55, "IQ_COMPANY_NAME",Current_Date)</f>
        <v>#NAME?</v>
      </c>
      <c r="E55" s="12"/>
      <c r="F55" s="69" t="str">
        <f t="shared" si="43"/>
        <v>""</v>
      </c>
      <c r="G55" s="494" t="e">
        <f ca="1">_xll.ciqfunctions.udf.CIQ($B55, "IQ_MARKETCAP",Current_Date)</f>
        <v>#NAME?</v>
      </c>
      <c r="H55" s="494" t="e">
        <f ca="1">_xll.ciqfunctions.udf.CIQ($B55, "IQ_TEV",Current_Date)</f>
        <v>#NAME?</v>
      </c>
      <c r="I55" s="492" t="e">
        <f ca="1">_xll.ciqfunctions.udf.CIQ($B55, "IQ_TOTAL_REV_1YR_ANN_GROWTH",IQ_LTM,Current_Date)/100</f>
        <v>#NAME?</v>
      </c>
      <c r="J55" s="492" t="e">
        <f t="shared" ca="1" si="44"/>
        <v>#NAME?</v>
      </c>
      <c r="K55" s="492" t="e">
        <f ca="1">_xll.ciqfunctions.udf.CIQ($B55, "IQ_EPS_1YR_ANN_GROWTH",IQ_LTM,Current_Date)/100</f>
        <v>#NAME?</v>
      </c>
      <c r="L55" s="492" t="e">
        <f t="shared" ca="1" si="45"/>
        <v>#NAME?</v>
      </c>
      <c r="M55" s="492" t="e">
        <f t="shared" ca="1" si="46"/>
        <v>#NAME?</v>
      </c>
      <c r="N55" s="492" t="e">
        <f t="shared" ca="1" si="47"/>
        <v>#NAME?</v>
      </c>
      <c r="O55" s="492" t="e">
        <f t="shared" ca="1" si="48"/>
        <v>#NAME?</v>
      </c>
      <c r="P55" s="492" t="e">
        <f t="shared" ca="1" si="49"/>
        <v>#NAME?</v>
      </c>
      <c r="Q55" s="496" t="e">
        <f t="shared" ca="1" si="50"/>
        <v>#NAME?</v>
      </c>
      <c r="R55" s="496" t="e">
        <f ca="1">_xll.ciqfunctions.udf.CIQ($B55, "IQ_TEV",Current_Date)/_xll.ciqfunctions.udf.CIQ($B55, "IQ_EBITDA_EST",IQ_FY+1)</f>
        <v>#NAME?</v>
      </c>
      <c r="S55" s="496" t="e">
        <f t="shared" ca="1" si="51"/>
        <v>#NAME?</v>
      </c>
      <c r="T55" s="496" t="e">
        <f ca="1">_xll.ciqfunctions.udf.CIQ($B55, "IQ_TEV",Current_Date)/_xll.ciqfunctions.udf.CIQ($B55, "IQ_REVENUE_EST",IQ_FY+1)</f>
        <v>#NAME?</v>
      </c>
      <c r="U55" s="496" t="e">
        <f t="shared" ca="1" si="52"/>
        <v>#NAME?</v>
      </c>
      <c r="V55" s="496" t="e">
        <f ca="1">_xll.ciqfunctions.udf.CIQ($B55, "IQ_MARKETCAP",Current_Date)/_xll.ciqfunctions.udf.CIQ($B55, "IQ_NI_EST",IQ_FY+1)</f>
        <v>#NAME?</v>
      </c>
      <c r="W55" s="12"/>
      <c r="X55" s="544" t="str">
        <f t="shared" si="53"/>
        <v>IQ363263</v>
      </c>
      <c r="Y55" s="40"/>
      <c r="Z55" s="12" t="e">
        <f ca="1">_xll.ciqfunctions.udf.CIQ($X55, "IQ_COMPANY_NAME",Current_Date)</f>
        <v>#NAME?</v>
      </c>
      <c r="AA55" s="12"/>
      <c r="AB55" s="69" t="str">
        <f t="shared" si="54"/>
        <v>HII</v>
      </c>
      <c r="AC55" s="494" t="e">
        <f ca="1">_xll.ciqfunctions.udf.CIQ($X55, "IQ_MARKETCAP",Current_Date)</f>
        <v>#NAME?</v>
      </c>
      <c r="AD55" s="494" t="e">
        <f ca="1">_xll.ciqfunctions.udf.CIQ($X55, "IQ_TEV",Current_Date)</f>
        <v>#NAME?</v>
      </c>
      <c r="AE55" s="492" t="e">
        <f ca="1">_xll.ciqfunctions.udf.CIQ($X55, "IQ_TOTAL_REV_1YR_ANN_GROWTH",IQ_LTM,Current_Date)/100</f>
        <v>#NAME?</v>
      </c>
      <c r="AF55" s="492" t="e">
        <f t="shared" ca="1" si="55"/>
        <v>#NAME?</v>
      </c>
      <c r="AG55" s="492" t="e">
        <f ca="1">_xll.ciqfunctions.udf.CIQ($X55, "IQ_EPS_1YR_ANN_GROWTH",IQ_LTM,Current_Date)/100</f>
        <v>#NAME?</v>
      </c>
      <c r="AH55" s="492" t="e">
        <f t="shared" ca="1" si="56"/>
        <v>#NAME?</v>
      </c>
      <c r="AI55" s="492" t="e">
        <f t="shared" ca="1" si="57"/>
        <v>#NAME?</v>
      </c>
      <c r="AJ55" s="492" t="e">
        <f t="shared" ca="1" si="58"/>
        <v>#NAME?</v>
      </c>
      <c r="AK55" s="492" t="e">
        <f t="shared" ca="1" si="59"/>
        <v>#NAME?</v>
      </c>
      <c r="AL55" s="492" t="e">
        <f t="shared" ca="1" si="60"/>
        <v>#NAME?</v>
      </c>
      <c r="AM55" s="496" t="e">
        <f t="shared" ca="1" si="61"/>
        <v>#NAME?</v>
      </c>
      <c r="AN55" s="496" t="e">
        <f ca="1">_xll.ciqfunctions.udf.CIQ($X55, "IQ_TEV",Current_Date)/_xll.ciqfunctions.udf.CIQ($X55, "IQ_EBITDA_EST",IQ_FY+1)</f>
        <v>#NAME?</v>
      </c>
      <c r="AO55" s="496" t="e">
        <f t="shared" ca="1" si="62"/>
        <v>#NAME?</v>
      </c>
      <c r="AP55" s="496" t="e">
        <f ca="1">_xll.ciqfunctions.udf.CIQ($X55, "IQ_TEV",Current_Date)/_xll.ciqfunctions.udf.CIQ($X55, "IQ_REVENUE_EST",IQ_FY+1)</f>
        <v>#NAME?</v>
      </c>
      <c r="AQ55" s="496" t="e">
        <f t="shared" ca="1" si="63"/>
        <v>#NAME?</v>
      </c>
      <c r="AR55" s="496" t="e">
        <f ca="1">_xll.ciqfunctions.udf.CIQ($X55, "IQ_MARKETCAP",Current_Date)/_xll.ciqfunctions.udf.CIQ($X55, "IQ_NI_EST",IQ_FY+1)</f>
        <v>#NAME?</v>
      </c>
      <c r="AS55" s="4"/>
      <c r="AT55" s="544" t="str">
        <f t="shared" si="64"/>
        <v>IQ1340740</v>
      </c>
      <c r="AU55" s="40"/>
      <c r="AV55" s="12" t="e">
        <f ca="1">_xll.ciqfunctions.udf.CIQ($AT55, "IQ_COMPANY_NAME",Current_Date)</f>
        <v>#NAME?</v>
      </c>
      <c r="AW55" s="12"/>
      <c r="AX55" s="69" t="str">
        <f>N101</f>
        <v>HON</v>
      </c>
      <c r="AY55" s="494" t="e">
        <f ca="1">_xll.ciqfunctions.udf.CIQ($AT55, "IQ_MARKETCAP",Current_Date)</f>
        <v>#NAME?</v>
      </c>
      <c r="AZ55" s="494" t="e">
        <f ca="1">_xll.ciqfunctions.udf.CIQ($AT55, "IQ_TEV",Current_Date)</f>
        <v>#NAME?</v>
      </c>
      <c r="BA55" s="492" t="e">
        <f ca="1">_xll.ciqfunctions.udf.CIQ($AT55, "IQ_TOTAL_REV_1YR_ANN_GROWTH",IQ_LTM,Current_Date)/100</f>
        <v>#NAME?</v>
      </c>
      <c r="BB55" s="492" t="e">
        <f t="shared" ca="1" si="65"/>
        <v>#NAME?</v>
      </c>
      <c r="BC55" s="492" t="e">
        <f ca="1">_xll.ciqfunctions.udf.CIQ($AT55, "IQ_EPS_1YR_ANN_GROWTH",IQ_LTM,Current_Date)/100</f>
        <v>#NAME?</v>
      </c>
      <c r="BD55" s="492" t="e">
        <f t="shared" ca="1" si="66"/>
        <v>#NAME?</v>
      </c>
      <c r="BE55" s="492" t="e">
        <f t="shared" ca="1" si="67"/>
        <v>#NAME?</v>
      </c>
      <c r="BF55" s="492" t="e">
        <f t="shared" ca="1" si="68"/>
        <v>#NAME?</v>
      </c>
      <c r="BG55" s="492" t="e">
        <f t="shared" ca="1" si="69"/>
        <v>#NAME?</v>
      </c>
      <c r="BH55" s="492" t="e">
        <f t="shared" ca="1" si="70"/>
        <v>#NAME?</v>
      </c>
      <c r="BI55" s="496" t="e">
        <f t="shared" ca="1" si="71"/>
        <v>#NAME?</v>
      </c>
      <c r="BJ55" s="496" t="e">
        <f ca="1">_xll.ciqfunctions.udf.CIQ($AT55, "IQ_TEV",Current_Date)/_xll.ciqfunctions.udf.CIQ($AT55, "IQ_EBITDA_EST",IQ_FY+1)</f>
        <v>#NAME?</v>
      </c>
      <c r="BK55" s="496" t="e">
        <f t="shared" ca="1" si="72"/>
        <v>#NAME?</v>
      </c>
      <c r="BL55" s="496" t="e">
        <f ca="1">_xll.ciqfunctions.udf.CIQ($AT55, "IQ_TEV",Current_Date)/_xll.ciqfunctions.udf.CIQ($AT55, "IQ_REVENUE_EST",IQ_FY+1)</f>
        <v>#NAME?</v>
      </c>
      <c r="BM55" s="496" t="e">
        <f t="shared" ca="1" si="73"/>
        <v>#NAME?</v>
      </c>
      <c r="BN55" s="496" t="e">
        <f ca="1">_xll.ciqfunctions.udf.CIQ($AT55, "IQ_MARKETCAP",Current_Date)/_xll.ciqfunctions.udf.CIQ($AT55, "IQ_NI_EST",IQ_FY+1)</f>
        <v>#NAME?</v>
      </c>
    </row>
    <row r="56" spans="1:66" ht="13.5" customHeight="1" outlineLevel="1" collapsed="1">
      <c r="A56" s="4"/>
      <c r="B56" s="544" t="str">
        <f t="shared" si="42"/>
        <v>IQ224055283</v>
      </c>
      <c r="C56" s="544"/>
      <c r="D56" s="12" t="e">
        <f ca="1">_xll.ciqfunctions.udf.CIQ($B56, "IQ_COMPANY_NAME",Current_Date)</f>
        <v>#NAME?</v>
      </c>
      <c r="E56" s="12"/>
      <c r="F56" s="69" t="str">
        <f t="shared" si="43"/>
        <v>""</v>
      </c>
      <c r="G56" s="494" t="e">
        <f ca="1">_xll.ciqfunctions.udf.CIQ($B56, "IQ_MARKETCAP",Current_Date)</f>
        <v>#NAME?</v>
      </c>
      <c r="H56" s="494" t="e">
        <f ca="1">_xll.ciqfunctions.udf.CIQ($B56, "IQ_TEV",Current_Date)</f>
        <v>#NAME?</v>
      </c>
      <c r="I56" s="492" t="e">
        <f ca="1">_xll.ciqfunctions.udf.CIQ($B56, "IQ_TOTAL_REV_1YR_ANN_GROWTH",IQ_LTM,Current_Date)/100</f>
        <v>#NAME?</v>
      </c>
      <c r="J56" s="492" t="e">
        <f t="shared" ca="1" si="44"/>
        <v>#NAME?</v>
      </c>
      <c r="K56" s="492" t="e">
        <f ca="1">_xll.ciqfunctions.udf.CIQ($B56, "IQ_EPS_1YR_ANN_GROWTH",IQ_LTM,Current_Date)/100</f>
        <v>#NAME?</v>
      </c>
      <c r="L56" s="492" t="e">
        <f t="shared" ca="1" si="45"/>
        <v>#NAME?</v>
      </c>
      <c r="M56" s="492" t="e">
        <f t="shared" ca="1" si="46"/>
        <v>#NAME?</v>
      </c>
      <c r="N56" s="492" t="e">
        <f t="shared" ca="1" si="47"/>
        <v>#NAME?</v>
      </c>
      <c r="O56" s="492" t="e">
        <f t="shared" ca="1" si="48"/>
        <v>#NAME?</v>
      </c>
      <c r="P56" s="492" t="e">
        <f t="shared" ca="1" si="49"/>
        <v>#NAME?</v>
      </c>
      <c r="Q56" s="496" t="e">
        <f t="shared" ca="1" si="50"/>
        <v>#NAME?</v>
      </c>
      <c r="R56" s="496" t="e">
        <f ca="1">_xll.ciqfunctions.udf.CIQ($B56, "IQ_TEV",Current_Date)/_xll.ciqfunctions.udf.CIQ($B56, "IQ_EBITDA_EST",IQ_FY+1)</f>
        <v>#NAME?</v>
      </c>
      <c r="S56" s="496" t="e">
        <f t="shared" ca="1" si="51"/>
        <v>#NAME?</v>
      </c>
      <c r="T56" s="496" t="e">
        <f ca="1">_xll.ciqfunctions.udf.CIQ($B56, "IQ_TEV",Current_Date)/_xll.ciqfunctions.udf.CIQ($B56, "IQ_REVENUE_EST",IQ_FY+1)</f>
        <v>#NAME?</v>
      </c>
      <c r="U56" s="496" t="e">
        <f t="shared" ca="1" si="52"/>
        <v>#NAME?</v>
      </c>
      <c r="V56" s="496" t="e">
        <f ca="1">_xll.ciqfunctions.udf.CIQ($B56, "IQ_MARKETCAP",Current_Date)/_xll.ciqfunctions.udf.CIQ($B56, "IQ_NI_EST",IQ_FY+1)</f>
        <v>#NAME?</v>
      </c>
      <c r="W56" s="12"/>
      <c r="X56" s="544" t="str">
        <f t="shared" si="53"/>
        <v>IQ285827</v>
      </c>
      <c r="Y56" s="40"/>
      <c r="Z56" s="12" t="e">
        <f ca="1">_xll.ciqfunctions.udf.CIQ($X56, "IQ_COMPANY_NAME",Current_Date)</f>
        <v>#NAME?</v>
      </c>
      <c r="AA56" s="12"/>
      <c r="AB56" s="69" t="str">
        <f t="shared" si="54"/>
        <v>LMT</v>
      </c>
      <c r="AC56" s="494" t="e">
        <f ca="1">_xll.ciqfunctions.udf.CIQ($X56, "IQ_MARKETCAP",Current_Date)</f>
        <v>#NAME?</v>
      </c>
      <c r="AD56" s="494" t="e">
        <f ca="1">_xll.ciqfunctions.udf.CIQ($X56, "IQ_TEV",Current_Date)</f>
        <v>#NAME?</v>
      </c>
      <c r="AE56" s="492" t="e">
        <f ca="1">_xll.ciqfunctions.udf.CIQ($X56, "IQ_TOTAL_REV_1YR_ANN_GROWTH",IQ_LTM,Current_Date)/100</f>
        <v>#NAME?</v>
      </c>
      <c r="AF56" s="492" t="e">
        <f t="shared" ca="1" si="55"/>
        <v>#NAME?</v>
      </c>
      <c r="AG56" s="492" t="e">
        <f ca="1">_xll.ciqfunctions.udf.CIQ($X56, "IQ_EPS_1YR_ANN_GROWTH",IQ_LTM,Current_Date)/100</f>
        <v>#NAME?</v>
      </c>
      <c r="AH56" s="492" t="e">
        <f t="shared" ca="1" si="56"/>
        <v>#NAME?</v>
      </c>
      <c r="AI56" s="492" t="e">
        <f t="shared" ca="1" si="57"/>
        <v>#NAME?</v>
      </c>
      <c r="AJ56" s="492" t="e">
        <f t="shared" ca="1" si="58"/>
        <v>#NAME?</v>
      </c>
      <c r="AK56" s="492" t="e">
        <f t="shared" ca="1" si="59"/>
        <v>#NAME?</v>
      </c>
      <c r="AL56" s="492" t="e">
        <f t="shared" ca="1" si="60"/>
        <v>#NAME?</v>
      </c>
      <c r="AM56" s="496" t="e">
        <f t="shared" ca="1" si="61"/>
        <v>#NAME?</v>
      </c>
      <c r="AN56" s="496" t="e">
        <f ca="1">_xll.ciqfunctions.udf.CIQ($X56, "IQ_TEV",Current_Date)/_xll.ciqfunctions.udf.CIQ($X56, "IQ_EBITDA_EST",IQ_FY+1)</f>
        <v>#NAME?</v>
      </c>
      <c r="AO56" s="496" t="e">
        <f t="shared" ca="1" si="62"/>
        <v>#NAME?</v>
      </c>
      <c r="AP56" s="496" t="e">
        <f ca="1">_xll.ciqfunctions.udf.CIQ($X56, "IQ_TEV",Current_Date)/_xll.ciqfunctions.udf.CIQ($X56, "IQ_REVENUE_EST",IQ_FY+1)</f>
        <v>#NAME?</v>
      </c>
      <c r="AQ56" s="496" t="e">
        <f t="shared" ca="1" si="63"/>
        <v>#NAME?</v>
      </c>
      <c r="AR56" s="496" t="e">
        <f ca="1">_xll.ciqfunctions.udf.CIQ($X56, "IQ_MARKETCAP",Current_Date)/_xll.ciqfunctions.udf.CIQ($X56, "IQ_NI_EST",IQ_FY+1)</f>
        <v>#NAME?</v>
      </c>
      <c r="AS56" s="4"/>
      <c r="AT56" s="544" t="str">
        <f t="shared" si="64"/>
        <v>IQ22751</v>
      </c>
      <c r="AU56" s="40"/>
      <c r="AV56" s="12" t="e">
        <f ca="1">_xll.ciqfunctions.udf.CIQ($AT56, "IQ_COMPANY_NAME",Current_Date)</f>
        <v>#NAME?</v>
      </c>
      <c r="AW56" s="12"/>
      <c r="AX56" s="69" t="str">
        <f>N105</f>
        <v>ROP</v>
      </c>
      <c r="AY56" s="494" t="e">
        <f ca="1">_xll.ciqfunctions.udf.CIQ($AT56, "IQ_MARKETCAP",Current_Date)</f>
        <v>#NAME?</v>
      </c>
      <c r="AZ56" s="494" t="e">
        <f ca="1">_xll.ciqfunctions.udf.CIQ($AT56, "IQ_TEV",Current_Date)</f>
        <v>#NAME?</v>
      </c>
      <c r="BA56" s="492" t="e">
        <f ca="1">_xll.ciqfunctions.udf.CIQ($AT56, "IQ_TOTAL_REV_1YR_ANN_GROWTH",IQ_LTM,Current_Date)/100</f>
        <v>#NAME?</v>
      </c>
      <c r="BB56" s="492" t="e">
        <f t="shared" ca="1" si="65"/>
        <v>#NAME?</v>
      </c>
      <c r="BC56" s="492" t="e">
        <f ca="1">_xll.ciqfunctions.udf.CIQ($AT56, "IQ_EPS_1YR_ANN_GROWTH",IQ_LTM,Current_Date)/100</f>
        <v>#NAME?</v>
      </c>
      <c r="BD56" s="492" t="e">
        <f t="shared" ca="1" si="66"/>
        <v>#NAME?</v>
      </c>
      <c r="BE56" s="492" t="e">
        <f t="shared" ca="1" si="67"/>
        <v>#NAME?</v>
      </c>
      <c r="BF56" s="492" t="e">
        <f t="shared" ca="1" si="68"/>
        <v>#NAME?</v>
      </c>
      <c r="BG56" s="492" t="e">
        <f t="shared" ca="1" si="69"/>
        <v>#NAME?</v>
      </c>
      <c r="BH56" s="492" t="e">
        <f t="shared" ca="1" si="70"/>
        <v>#NAME?</v>
      </c>
      <c r="BI56" s="496" t="e">
        <f t="shared" ca="1" si="71"/>
        <v>#NAME?</v>
      </c>
      <c r="BJ56" s="496" t="e">
        <f ca="1">_xll.ciqfunctions.udf.CIQ($AT56, "IQ_TEV",Current_Date)/_xll.ciqfunctions.udf.CIQ($AT56, "IQ_EBITDA_EST",IQ_FY+1)</f>
        <v>#NAME?</v>
      </c>
      <c r="BK56" s="496" t="e">
        <f t="shared" ca="1" si="72"/>
        <v>#NAME?</v>
      </c>
      <c r="BL56" s="496" t="e">
        <f ca="1">_xll.ciqfunctions.udf.CIQ($AT56, "IQ_TEV",Current_Date)/_xll.ciqfunctions.udf.CIQ($AT56, "IQ_REVENUE_EST",IQ_FY+1)</f>
        <v>#NAME?</v>
      </c>
      <c r="BM56" s="496" t="e">
        <f t="shared" ca="1" si="73"/>
        <v>#NAME?</v>
      </c>
      <c r="BN56" s="496" t="e">
        <f ca="1">_xll.ciqfunctions.udf.CIQ($AT56, "IQ_MARKETCAP",Current_Date)/_xll.ciqfunctions.udf.CIQ($AT56, "IQ_NI_EST",IQ_FY+1)</f>
        <v>#NAME?</v>
      </c>
    </row>
    <row r="57" spans="1:66" ht="13.5" customHeight="1" outlineLevel="1" collapsed="1">
      <c r="A57" s="4"/>
      <c r="B57" s="544" t="str">
        <f t="shared" si="42"/>
        <v>IQ29096</v>
      </c>
      <c r="C57" s="544"/>
      <c r="D57" s="12" t="e">
        <f ca="1">_xll.ciqfunctions.udf.CIQ($B57, "IQ_COMPANY_NAME",Current_Date)</f>
        <v>#NAME?</v>
      </c>
      <c r="E57" s="12"/>
      <c r="F57" s="69" t="str">
        <f t="shared" si="43"/>
        <v>""</v>
      </c>
      <c r="G57" s="494" t="e">
        <f ca="1">_xll.ciqfunctions.udf.CIQ($B57, "IQ_MARKETCAP",Current_Date)</f>
        <v>#NAME?</v>
      </c>
      <c r="H57" s="494" t="e">
        <f ca="1">_xll.ciqfunctions.udf.CIQ($B57, "IQ_TEV",Current_Date)</f>
        <v>#NAME?</v>
      </c>
      <c r="I57" s="492" t="e">
        <f ca="1">_xll.ciqfunctions.udf.CIQ($B57, "IQ_TOTAL_REV_1YR_ANN_GROWTH",IQ_LTM,Current_Date)/100</f>
        <v>#NAME?</v>
      </c>
      <c r="J57" s="492" t="e">
        <f t="shared" ca="1" si="44"/>
        <v>#NAME?</v>
      </c>
      <c r="K57" s="492" t="e">
        <f ca="1">_xll.ciqfunctions.udf.CIQ($B57, "IQ_EPS_1YR_ANN_GROWTH",IQ_LTM,Current_Date)/100</f>
        <v>#NAME?</v>
      </c>
      <c r="L57" s="492" t="e">
        <f t="shared" ca="1" si="45"/>
        <v>#NAME?</v>
      </c>
      <c r="M57" s="492" t="e">
        <f t="shared" ca="1" si="46"/>
        <v>#NAME?</v>
      </c>
      <c r="N57" s="492" t="e">
        <f t="shared" ca="1" si="47"/>
        <v>#NAME?</v>
      </c>
      <c r="O57" s="492" t="e">
        <f t="shared" ca="1" si="48"/>
        <v>#NAME?</v>
      </c>
      <c r="P57" s="492" t="e">
        <f t="shared" ca="1" si="49"/>
        <v>#NAME?</v>
      </c>
      <c r="Q57" s="496" t="e">
        <f t="shared" ca="1" si="50"/>
        <v>#NAME?</v>
      </c>
      <c r="R57" s="496" t="e">
        <f ca="1">_xll.ciqfunctions.udf.CIQ($B57, "IQ_TEV",Current_Date)/_xll.ciqfunctions.udf.CIQ($B57, "IQ_EBITDA_EST",IQ_FY+1)</f>
        <v>#NAME?</v>
      </c>
      <c r="S57" s="496" t="e">
        <f t="shared" ca="1" si="51"/>
        <v>#NAME?</v>
      </c>
      <c r="T57" s="496" t="e">
        <f ca="1">_xll.ciqfunctions.udf.CIQ($B57, "IQ_TEV",Current_Date)/_xll.ciqfunctions.udf.CIQ($B57, "IQ_REVENUE_EST",IQ_FY+1)</f>
        <v>#NAME?</v>
      </c>
      <c r="U57" s="496" t="e">
        <f t="shared" ca="1" si="52"/>
        <v>#NAME?</v>
      </c>
      <c r="V57" s="496" t="e">
        <f ca="1">_xll.ciqfunctions.udf.CIQ($B57, "IQ_MARKETCAP",Current_Date)/_xll.ciqfunctions.udf.CIQ($B57, "IQ_NI_EST",IQ_FY+1)</f>
        <v>#NAME?</v>
      </c>
      <c r="W57" s="12"/>
      <c r="X57" s="544" t="str">
        <f t="shared" si="53"/>
        <v>IQ97199</v>
      </c>
      <c r="Y57" s="40"/>
      <c r="Z57" s="12" t="e">
        <f ca="1">_xll.ciqfunctions.udf.CIQ($X57, "IQ_COMPANY_NAME",Current_Date)</f>
        <v>#NAME?</v>
      </c>
      <c r="AA57" s="12"/>
      <c r="AB57" s="69" t="str">
        <f t="shared" si="54"/>
        <v>NOC</v>
      </c>
      <c r="AC57" s="494" t="e">
        <f ca="1">_xll.ciqfunctions.udf.CIQ($X57, "IQ_MARKETCAP",Current_Date)</f>
        <v>#NAME?</v>
      </c>
      <c r="AD57" s="494" t="e">
        <f ca="1">_xll.ciqfunctions.udf.CIQ($X57, "IQ_TEV",Current_Date)</f>
        <v>#NAME?</v>
      </c>
      <c r="AE57" s="492" t="e">
        <f ca="1">_xll.ciqfunctions.udf.CIQ($X57, "IQ_TOTAL_REV_1YR_ANN_GROWTH",IQ_LTM,Current_Date)/100</f>
        <v>#NAME?</v>
      </c>
      <c r="AF57" s="492" t="e">
        <f t="shared" ca="1" si="55"/>
        <v>#NAME?</v>
      </c>
      <c r="AG57" s="492" t="e">
        <f ca="1">_xll.ciqfunctions.udf.CIQ($X57, "IQ_EPS_1YR_ANN_GROWTH",IQ_LTM,Current_Date)/100</f>
        <v>#NAME?</v>
      </c>
      <c r="AH57" s="492" t="e">
        <f t="shared" ca="1" si="56"/>
        <v>#NAME?</v>
      </c>
      <c r="AI57" s="492" t="e">
        <f t="shared" ca="1" si="57"/>
        <v>#NAME?</v>
      </c>
      <c r="AJ57" s="492" t="e">
        <f t="shared" ca="1" si="58"/>
        <v>#NAME?</v>
      </c>
      <c r="AK57" s="492" t="e">
        <f t="shared" ca="1" si="59"/>
        <v>#NAME?</v>
      </c>
      <c r="AL57" s="492" t="e">
        <f t="shared" ca="1" si="60"/>
        <v>#NAME?</v>
      </c>
      <c r="AM57" s="496" t="e">
        <f t="shared" ca="1" si="61"/>
        <v>#NAME?</v>
      </c>
      <c r="AN57" s="496" t="e">
        <f ca="1">_xll.ciqfunctions.udf.CIQ($X57, "IQ_TEV",Current_Date)/_xll.ciqfunctions.udf.CIQ($X57, "IQ_EBITDA_EST",IQ_FY+1)</f>
        <v>#NAME?</v>
      </c>
      <c r="AO57" s="496" t="e">
        <f t="shared" ca="1" si="62"/>
        <v>#NAME?</v>
      </c>
      <c r="AP57" s="496" t="e">
        <f ca="1">_xll.ciqfunctions.udf.CIQ($X57, "IQ_TEV",Current_Date)/_xll.ciqfunctions.udf.CIQ($X57, "IQ_REVENUE_EST",IQ_FY+1)</f>
        <v>#NAME?</v>
      </c>
      <c r="AQ57" s="496" t="e">
        <f t="shared" ca="1" si="63"/>
        <v>#NAME?</v>
      </c>
      <c r="AR57" s="496" t="e">
        <f ca="1">_xll.ciqfunctions.udf.CIQ($X57, "IQ_MARKETCAP",Current_Date)/_xll.ciqfunctions.udf.CIQ($X57, "IQ_NI_EST",IQ_FY+1)</f>
        <v>#NAME?</v>
      </c>
      <c r="AS57" s="4"/>
      <c r="AT57" s="544" t="str">
        <f t="shared" si="64"/>
        <v>IQ269231</v>
      </c>
      <c r="AU57" s="40"/>
      <c r="AV57" s="12" t="e">
        <f ca="1">_xll.ciqfunctions.udf.CIQ($AT57, "IQ_COMPANY_NAME",Current_Date)</f>
        <v>#NAME?</v>
      </c>
      <c r="AW57" s="12"/>
      <c r="AX57" s="69" t="str">
        <f>N109</f>
        <v>EMR</v>
      </c>
      <c r="AY57" s="494" t="e">
        <f ca="1">_xll.ciqfunctions.udf.CIQ($AT57, "IQ_MARKETCAP",Current_Date)</f>
        <v>#NAME?</v>
      </c>
      <c r="AZ57" s="494" t="e">
        <f ca="1">_xll.ciqfunctions.udf.CIQ($AT57, "IQ_TEV",Current_Date)</f>
        <v>#NAME?</v>
      </c>
      <c r="BA57" s="492" t="e">
        <f ca="1">_xll.ciqfunctions.udf.CIQ($AT57, "IQ_TOTAL_REV_1YR_ANN_GROWTH",IQ_LTM,Current_Date)/100</f>
        <v>#NAME?</v>
      </c>
      <c r="BB57" s="492" t="e">
        <f t="shared" ca="1" si="65"/>
        <v>#NAME?</v>
      </c>
      <c r="BC57" s="492" t="e">
        <f ca="1">_xll.ciqfunctions.udf.CIQ($AT57, "IQ_EPS_1YR_ANN_GROWTH",IQ_LTM,Current_Date)/100</f>
        <v>#NAME?</v>
      </c>
      <c r="BD57" s="492" t="e">
        <f t="shared" ca="1" si="66"/>
        <v>#NAME?</v>
      </c>
      <c r="BE57" s="492" t="e">
        <f t="shared" ca="1" si="67"/>
        <v>#NAME?</v>
      </c>
      <c r="BF57" s="492" t="e">
        <f t="shared" ca="1" si="68"/>
        <v>#NAME?</v>
      </c>
      <c r="BG57" s="492" t="e">
        <f t="shared" ca="1" si="69"/>
        <v>#NAME?</v>
      </c>
      <c r="BH57" s="492" t="e">
        <f t="shared" ca="1" si="70"/>
        <v>#NAME?</v>
      </c>
      <c r="BI57" s="496" t="e">
        <f t="shared" ca="1" si="71"/>
        <v>#NAME?</v>
      </c>
      <c r="BJ57" s="496" t="e">
        <f ca="1">_xll.ciqfunctions.udf.CIQ($AT57, "IQ_TEV",Current_Date)/_xll.ciqfunctions.udf.CIQ($AT57, "IQ_EBITDA_EST",IQ_FY+1)</f>
        <v>#NAME?</v>
      </c>
      <c r="BK57" s="496" t="e">
        <f t="shared" ca="1" si="72"/>
        <v>#NAME?</v>
      </c>
      <c r="BL57" s="496" t="e">
        <f ca="1">_xll.ciqfunctions.udf.CIQ($AT57, "IQ_TEV",Current_Date)/_xll.ciqfunctions.udf.CIQ($AT57, "IQ_REVENUE_EST",IQ_FY+1)</f>
        <v>#NAME?</v>
      </c>
      <c r="BM57" s="496" t="e">
        <f t="shared" ca="1" si="73"/>
        <v>#NAME?</v>
      </c>
      <c r="BN57" s="496" t="e">
        <f ca="1">_xll.ciqfunctions.udf.CIQ($AT57, "IQ_MARKETCAP",Current_Date)/_xll.ciqfunctions.udf.CIQ($AT57, "IQ_NI_EST",IQ_FY+1)</f>
        <v>#NAME?</v>
      </c>
    </row>
    <row r="58" spans="1:66" ht="13.5" customHeight="1" outlineLevel="1" collapsed="1">
      <c r="A58" s="4"/>
      <c r="B58" s="4"/>
      <c r="C58" s="4"/>
      <c r="D58" s="12"/>
      <c r="E58" s="12"/>
      <c r="F58" s="69"/>
      <c r="G58" s="69"/>
      <c r="H58" s="69"/>
      <c r="I58" s="69"/>
      <c r="J58" s="69"/>
      <c r="K58" s="69"/>
      <c r="L58" s="69"/>
      <c r="M58" s="69"/>
      <c r="N58" s="69"/>
      <c r="O58" s="69"/>
      <c r="P58" s="69"/>
      <c r="Q58" s="69"/>
      <c r="R58" s="69"/>
      <c r="S58" s="160"/>
      <c r="T58" s="69"/>
      <c r="U58" s="69"/>
      <c r="V58" s="69"/>
      <c r="W58" s="12"/>
      <c r="X58" s="4"/>
      <c r="Y58" s="40"/>
      <c r="Z58" s="12"/>
      <c r="AA58" s="12"/>
      <c r="AB58" s="69"/>
      <c r="AC58" s="69"/>
      <c r="AD58" s="69"/>
      <c r="AE58" s="69"/>
      <c r="AF58" s="69"/>
      <c r="AG58" s="69"/>
      <c r="AH58" s="69"/>
      <c r="AI58" s="69"/>
      <c r="AJ58" s="69"/>
      <c r="AK58" s="69"/>
      <c r="AL58" s="69"/>
      <c r="AM58" s="69"/>
      <c r="AN58" s="69"/>
      <c r="AO58" s="160"/>
      <c r="AP58" s="69"/>
      <c r="AQ58" s="69"/>
      <c r="AR58" s="69"/>
      <c r="AS58" s="4"/>
      <c r="AT58" s="4"/>
      <c r="AU58" s="40"/>
      <c r="AV58" s="12"/>
      <c r="AW58" s="12"/>
      <c r="AX58" s="69"/>
      <c r="AY58" s="69"/>
      <c r="AZ58" s="69"/>
      <c r="BA58" s="69"/>
      <c r="BB58" s="69"/>
      <c r="BC58" s="69"/>
      <c r="BD58" s="69"/>
      <c r="BE58" s="69"/>
      <c r="BF58" s="69"/>
      <c r="BG58" s="69"/>
      <c r="BH58" s="69"/>
      <c r="BI58" s="69"/>
      <c r="BJ58" s="69"/>
      <c r="BK58" s="160"/>
      <c r="BL58" s="69"/>
      <c r="BM58" s="69"/>
      <c r="BN58" s="69"/>
    </row>
    <row r="59" spans="1:66" ht="13.5" customHeight="1" outlineLevel="1" collapsed="1">
      <c r="A59" s="4"/>
      <c r="B59" s="4"/>
      <c r="C59" s="4"/>
      <c r="D59" s="553" t="str">
        <f t="shared" ref="D59:D62" si="74">D18</f>
        <v>High</v>
      </c>
      <c r="E59" s="554"/>
      <c r="F59" s="555"/>
      <c r="G59" s="556" t="e">
        <f t="shared" ref="G59:V59" ca="1" si="75">MAX(G53:G57)</f>
        <v>#NAME?</v>
      </c>
      <c r="H59" s="556" t="e">
        <f t="shared" ca="1" si="75"/>
        <v>#NAME?</v>
      </c>
      <c r="I59" s="557" t="e">
        <f t="shared" ca="1" si="75"/>
        <v>#NAME?</v>
      </c>
      <c r="J59" s="557" t="e">
        <f t="shared" ca="1" si="75"/>
        <v>#NAME?</v>
      </c>
      <c r="K59" s="557" t="e">
        <f t="shared" ca="1" si="75"/>
        <v>#NAME?</v>
      </c>
      <c r="L59" s="557" t="e">
        <f t="shared" ca="1" si="75"/>
        <v>#NAME?</v>
      </c>
      <c r="M59" s="557" t="e">
        <f t="shared" ca="1" si="75"/>
        <v>#NAME?</v>
      </c>
      <c r="N59" s="557" t="e">
        <f t="shared" ca="1" si="75"/>
        <v>#NAME?</v>
      </c>
      <c r="O59" s="557" t="e">
        <f t="shared" ca="1" si="75"/>
        <v>#NAME?</v>
      </c>
      <c r="P59" s="557" t="e">
        <f t="shared" ca="1" si="75"/>
        <v>#NAME?</v>
      </c>
      <c r="Q59" s="558" t="e">
        <f t="shared" ca="1" si="75"/>
        <v>#NAME?</v>
      </c>
      <c r="R59" s="559" t="e">
        <f t="shared" ca="1" si="75"/>
        <v>#NAME?</v>
      </c>
      <c r="S59" s="559" t="e">
        <f t="shared" ca="1" si="75"/>
        <v>#NAME?</v>
      </c>
      <c r="T59" s="559" t="e">
        <f t="shared" ca="1" si="75"/>
        <v>#NAME?</v>
      </c>
      <c r="U59" s="559" t="e">
        <f t="shared" ca="1" si="75"/>
        <v>#NAME?</v>
      </c>
      <c r="V59" s="560" t="e">
        <f t="shared" ca="1" si="75"/>
        <v>#NAME?</v>
      </c>
      <c r="W59" s="12"/>
      <c r="X59" s="4"/>
      <c r="Y59" s="40"/>
      <c r="Z59" s="553" t="str">
        <f t="shared" ref="Z59:Z62" si="76">Z18</f>
        <v>High</v>
      </c>
      <c r="AA59" s="554"/>
      <c r="AB59" s="555"/>
      <c r="AC59" s="556" t="e">
        <f t="shared" ref="AC59:AR59" ca="1" si="77">MAX(AC53:AC57)</f>
        <v>#NAME?</v>
      </c>
      <c r="AD59" s="556" t="e">
        <f t="shared" ca="1" si="77"/>
        <v>#NAME?</v>
      </c>
      <c r="AE59" s="557" t="e">
        <f t="shared" ca="1" si="77"/>
        <v>#NAME?</v>
      </c>
      <c r="AF59" s="557" t="e">
        <f t="shared" ca="1" si="77"/>
        <v>#NAME?</v>
      </c>
      <c r="AG59" s="557" t="e">
        <f t="shared" ca="1" si="77"/>
        <v>#NAME?</v>
      </c>
      <c r="AH59" s="557" t="e">
        <f t="shared" ca="1" si="77"/>
        <v>#NAME?</v>
      </c>
      <c r="AI59" s="557" t="e">
        <f t="shared" ca="1" si="77"/>
        <v>#NAME?</v>
      </c>
      <c r="AJ59" s="557" t="e">
        <f t="shared" ca="1" si="77"/>
        <v>#NAME?</v>
      </c>
      <c r="AK59" s="557" t="e">
        <f t="shared" ca="1" si="77"/>
        <v>#NAME?</v>
      </c>
      <c r="AL59" s="557" t="e">
        <f t="shared" ca="1" si="77"/>
        <v>#NAME?</v>
      </c>
      <c r="AM59" s="558" t="e">
        <f t="shared" ca="1" si="77"/>
        <v>#NAME?</v>
      </c>
      <c r="AN59" s="559" t="e">
        <f t="shared" ca="1" si="77"/>
        <v>#NAME?</v>
      </c>
      <c r="AO59" s="559" t="e">
        <f t="shared" ca="1" si="77"/>
        <v>#NAME?</v>
      </c>
      <c r="AP59" s="559" t="e">
        <f t="shared" ca="1" si="77"/>
        <v>#NAME?</v>
      </c>
      <c r="AQ59" s="559" t="e">
        <f t="shared" ca="1" si="77"/>
        <v>#NAME?</v>
      </c>
      <c r="AR59" s="560" t="e">
        <f t="shared" ca="1" si="77"/>
        <v>#NAME?</v>
      </c>
      <c r="AS59" s="4"/>
      <c r="AT59" s="4"/>
      <c r="AU59" s="40"/>
      <c r="AV59" s="553" t="str">
        <f t="shared" ref="AV59:AV62" si="78">AV18</f>
        <v>High</v>
      </c>
      <c r="AW59" s="554"/>
      <c r="AX59" s="555"/>
      <c r="AY59" s="556" t="e">
        <f t="shared" ref="AY59:BN59" ca="1" si="79">MAX(AY53:AY57)</f>
        <v>#NAME?</v>
      </c>
      <c r="AZ59" s="556" t="e">
        <f t="shared" ca="1" si="79"/>
        <v>#NAME?</v>
      </c>
      <c r="BA59" s="557" t="e">
        <f t="shared" ca="1" si="79"/>
        <v>#NAME?</v>
      </c>
      <c r="BB59" s="557" t="e">
        <f t="shared" ca="1" si="79"/>
        <v>#NAME?</v>
      </c>
      <c r="BC59" s="557" t="e">
        <f t="shared" ca="1" si="79"/>
        <v>#NAME?</v>
      </c>
      <c r="BD59" s="557" t="e">
        <f t="shared" ca="1" si="79"/>
        <v>#NAME?</v>
      </c>
      <c r="BE59" s="557" t="e">
        <f t="shared" ca="1" si="79"/>
        <v>#NAME?</v>
      </c>
      <c r="BF59" s="557" t="e">
        <f t="shared" ca="1" si="79"/>
        <v>#NAME?</v>
      </c>
      <c r="BG59" s="557" t="e">
        <f t="shared" ca="1" si="79"/>
        <v>#NAME?</v>
      </c>
      <c r="BH59" s="557" t="e">
        <f t="shared" ca="1" si="79"/>
        <v>#NAME?</v>
      </c>
      <c r="BI59" s="558" t="e">
        <f t="shared" ca="1" si="79"/>
        <v>#NAME?</v>
      </c>
      <c r="BJ59" s="559" t="e">
        <f t="shared" ca="1" si="79"/>
        <v>#NAME?</v>
      </c>
      <c r="BK59" s="559" t="e">
        <f t="shared" ca="1" si="79"/>
        <v>#NAME?</v>
      </c>
      <c r="BL59" s="559" t="e">
        <f t="shared" ca="1" si="79"/>
        <v>#NAME?</v>
      </c>
      <c r="BM59" s="559" t="e">
        <f t="shared" ca="1" si="79"/>
        <v>#NAME?</v>
      </c>
      <c r="BN59" s="560" t="e">
        <f t="shared" ca="1" si="79"/>
        <v>#NAME?</v>
      </c>
    </row>
    <row r="60" spans="1:66" ht="13.5" customHeight="1" outlineLevel="1" collapsed="1">
      <c r="A60" s="4"/>
      <c r="B60" s="4"/>
      <c r="C60" s="4"/>
      <c r="D60" s="561" t="str">
        <f t="shared" si="74"/>
        <v>Mean</v>
      </c>
      <c r="E60" s="562"/>
      <c r="F60" s="563"/>
      <c r="G60" s="564" t="e">
        <f t="shared" ref="G60:V60" ca="1" si="80">AVERAGE(G53:G57)</f>
        <v>#NAME?</v>
      </c>
      <c r="H60" s="564" t="e">
        <f t="shared" ca="1" si="80"/>
        <v>#NAME?</v>
      </c>
      <c r="I60" s="565" t="e">
        <f t="shared" ca="1" si="80"/>
        <v>#NAME?</v>
      </c>
      <c r="J60" s="565" t="e">
        <f t="shared" ca="1" si="80"/>
        <v>#NAME?</v>
      </c>
      <c r="K60" s="565" t="e">
        <f t="shared" ca="1" si="80"/>
        <v>#NAME?</v>
      </c>
      <c r="L60" s="565" t="e">
        <f t="shared" ca="1" si="80"/>
        <v>#NAME?</v>
      </c>
      <c r="M60" s="565" t="e">
        <f t="shared" ca="1" si="80"/>
        <v>#NAME?</v>
      </c>
      <c r="N60" s="565" t="e">
        <f t="shared" ca="1" si="80"/>
        <v>#NAME?</v>
      </c>
      <c r="O60" s="565" t="e">
        <f t="shared" ca="1" si="80"/>
        <v>#NAME?</v>
      </c>
      <c r="P60" s="565" t="e">
        <f t="shared" ca="1" si="80"/>
        <v>#NAME?</v>
      </c>
      <c r="Q60" s="566" t="e">
        <f t="shared" ca="1" si="80"/>
        <v>#NAME?</v>
      </c>
      <c r="R60" s="567" t="e">
        <f t="shared" ca="1" si="80"/>
        <v>#NAME?</v>
      </c>
      <c r="S60" s="567" t="e">
        <f t="shared" ca="1" si="80"/>
        <v>#NAME?</v>
      </c>
      <c r="T60" s="567" t="e">
        <f t="shared" ca="1" si="80"/>
        <v>#NAME?</v>
      </c>
      <c r="U60" s="567" t="e">
        <f t="shared" ca="1" si="80"/>
        <v>#NAME?</v>
      </c>
      <c r="V60" s="568" t="e">
        <f t="shared" ca="1" si="80"/>
        <v>#NAME?</v>
      </c>
      <c r="W60" s="12"/>
      <c r="X60" s="4"/>
      <c r="Y60" s="40"/>
      <c r="Z60" s="561" t="str">
        <f t="shared" si="76"/>
        <v>Mean</v>
      </c>
      <c r="AA60" s="562"/>
      <c r="AB60" s="563"/>
      <c r="AC60" s="564" t="e">
        <f t="shared" ref="AC60:AR60" ca="1" si="81">AVERAGE(AC53:AC57)</f>
        <v>#NAME?</v>
      </c>
      <c r="AD60" s="564" t="e">
        <f t="shared" ca="1" si="81"/>
        <v>#NAME?</v>
      </c>
      <c r="AE60" s="565" t="e">
        <f t="shared" ca="1" si="81"/>
        <v>#NAME?</v>
      </c>
      <c r="AF60" s="565" t="e">
        <f t="shared" ca="1" si="81"/>
        <v>#NAME?</v>
      </c>
      <c r="AG60" s="565" t="e">
        <f t="shared" ca="1" si="81"/>
        <v>#NAME?</v>
      </c>
      <c r="AH60" s="565" t="e">
        <f t="shared" ca="1" si="81"/>
        <v>#NAME?</v>
      </c>
      <c r="AI60" s="565" t="e">
        <f t="shared" ca="1" si="81"/>
        <v>#NAME?</v>
      </c>
      <c r="AJ60" s="565" t="e">
        <f t="shared" ca="1" si="81"/>
        <v>#NAME?</v>
      </c>
      <c r="AK60" s="565" t="e">
        <f t="shared" ca="1" si="81"/>
        <v>#NAME?</v>
      </c>
      <c r="AL60" s="565" t="e">
        <f t="shared" ca="1" si="81"/>
        <v>#NAME?</v>
      </c>
      <c r="AM60" s="566" t="e">
        <f t="shared" ca="1" si="81"/>
        <v>#NAME?</v>
      </c>
      <c r="AN60" s="567" t="e">
        <f t="shared" ca="1" si="81"/>
        <v>#NAME?</v>
      </c>
      <c r="AO60" s="567" t="e">
        <f t="shared" ca="1" si="81"/>
        <v>#NAME?</v>
      </c>
      <c r="AP60" s="567" t="e">
        <f t="shared" ca="1" si="81"/>
        <v>#NAME?</v>
      </c>
      <c r="AQ60" s="567" t="e">
        <f t="shared" ca="1" si="81"/>
        <v>#NAME?</v>
      </c>
      <c r="AR60" s="568" t="e">
        <f t="shared" ca="1" si="81"/>
        <v>#NAME?</v>
      </c>
      <c r="AS60" s="4"/>
      <c r="AT60" s="4"/>
      <c r="AU60" s="40"/>
      <c r="AV60" s="561" t="str">
        <f t="shared" si="78"/>
        <v>Mean</v>
      </c>
      <c r="AW60" s="562"/>
      <c r="AX60" s="563"/>
      <c r="AY60" s="564" t="e">
        <f t="shared" ref="AY60:BN60" ca="1" si="82">AVERAGE(AY53:AY57)</f>
        <v>#NAME?</v>
      </c>
      <c r="AZ60" s="564" t="e">
        <f t="shared" ca="1" si="82"/>
        <v>#NAME?</v>
      </c>
      <c r="BA60" s="565" t="e">
        <f t="shared" ca="1" si="82"/>
        <v>#NAME?</v>
      </c>
      <c r="BB60" s="565" t="e">
        <f t="shared" ca="1" si="82"/>
        <v>#NAME?</v>
      </c>
      <c r="BC60" s="565" t="e">
        <f t="shared" ca="1" si="82"/>
        <v>#NAME?</v>
      </c>
      <c r="BD60" s="565" t="e">
        <f t="shared" ca="1" si="82"/>
        <v>#NAME?</v>
      </c>
      <c r="BE60" s="565" t="e">
        <f t="shared" ca="1" si="82"/>
        <v>#NAME?</v>
      </c>
      <c r="BF60" s="565" t="e">
        <f t="shared" ca="1" si="82"/>
        <v>#NAME?</v>
      </c>
      <c r="BG60" s="565" t="e">
        <f t="shared" ca="1" si="82"/>
        <v>#NAME?</v>
      </c>
      <c r="BH60" s="565" t="e">
        <f t="shared" ca="1" si="82"/>
        <v>#NAME?</v>
      </c>
      <c r="BI60" s="566" t="e">
        <f t="shared" ca="1" si="82"/>
        <v>#NAME?</v>
      </c>
      <c r="BJ60" s="567" t="e">
        <f t="shared" ca="1" si="82"/>
        <v>#NAME?</v>
      </c>
      <c r="BK60" s="567" t="e">
        <f t="shared" ca="1" si="82"/>
        <v>#NAME?</v>
      </c>
      <c r="BL60" s="567" t="e">
        <f t="shared" ca="1" si="82"/>
        <v>#NAME?</v>
      </c>
      <c r="BM60" s="567" t="e">
        <f t="shared" ca="1" si="82"/>
        <v>#NAME?</v>
      </c>
      <c r="BN60" s="568" t="e">
        <f t="shared" ca="1" si="82"/>
        <v>#NAME?</v>
      </c>
    </row>
    <row r="61" spans="1:66" ht="13.5" customHeight="1" outlineLevel="1" collapsed="1">
      <c r="A61" s="4"/>
      <c r="B61" s="4"/>
      <c r="C61" s="4"/>
      <c r="D61" s="561" t="str">
        <f t="shared" si="74"/>
        <v>Median</v>
      </c>
      <c r="E61" s="562"/>
      <c r="F61" s="562"/>
      <c r="G61" s="564" t="e">
        <f t="shared" ref="G61:V61" ca="1" si="83">MEDIAN(G53:G57)</f>
        <v>#NAME?</v>
      </c>
      <c r="H61" s="564" t="e">
        <f t="shared" ca="1" si="83"/>
        <v>#NAME?</v>
      </c>
      <c r="I61" s="565" t="e">
        <f t="shared" ca="1" si="83"/>
        <v>#NAME?</v>
      </c>
      <c r="J61" s="565" t="e">
        <f t="shared" ca="1" si="83"/>
        <v>#NAME?</v>
      </c>
      <c r="K61" s="565" t="e">
        <f t="shared" ca="1" si="83"/>
        <v>#NAME?</v>
      </c>
      <c r="L61" s="565" t="e">
        <f t="shared" ca="1" si="83"/>
        <v>#NAME?</v>
      </c>
      <c r="M61" s="565" t="e">
        <f t="shared" ca="1" si="83"/>
        <v>#NAME?</v>
      </c>
      <c r="N61" s="565" t="e">
        <f t="shared" ca="1" si="83"/>
        <v>#NAME?</v>
      </c>
      <c r="O61" s="565" t="e">
        <f t="shared" ca="1" si="83"/>
        <v>#NAME?</v>
      </c>
      <c r="P61" s="565" t="e">
        <f t="shared" ca="1" si="83"/>
        <v>#NAME?</v>
      </c>
      <c r="Q61" s="566" t="e">
        <f t="shared" ca="1" si="83"/>
        <v>#NAME?</v>
      </c>
      <c r="R61" s="567" t="e">
        <f t="shared" ca="1" si="83"/>
        <v>#NAME?</v>
      </c>
      <c r="S61" s="567" t="e">
        <f t="shared" ca="1" si="83"/>
        <v>#NAME?</v>
      </c>
      <c r="T61" s="567" t="e">
        <f t="shared" ca="1" si="83"/>
        <v>#NAME?</v>
      </c>
      <c r="U61" s="567" t="e">
        <f t="shared" ca="1" si="83"/>
        <v>#NAME?</v>
      </c>
      <c r="V61" s="568" t="e">
        <f t="shared" ca="1" si="83"/>
        <v>#NAME?</v>
      </c>
      <c r="W61" s="12"/>
      <c r="X61" s="4"/>
      <c r="Y61" s="40"/>
      <c r="Z61" s="561" t="str">
        <f t="shared" si="76"/>
        <v>Median</v>
      </c>
      <c r="AA61" s="562"/>
      <c r="AB61" s="562"/>
      <c r="AC61" s="564" t="e">
        <f t="shared" ref="AC61:AR61" ca="1" si="84">MEDIAN(AC53:AC57)</f>
        <v>#NAME?</v>
      </c>
      <c r="AD61" s="564" t="e">
        <f t="shared" ca="1" si="84"/>
        <v>#NAME?</v>
      </c>
      <c r="AE61" s="565" t="e">
        <f t="shared" ca="1" si="84"/>
        <v>#NAME?</v>
      </c>
      <c r="AF61" s="565" t="e">
        <f t="shared" ca="1" si="84"/>
        <v>#NAME?</v>
      </c>
      <c r="AG61" s="565" t="e">
        <f t="shared" ca="1" si="84"/>
        <v>#NAME?</v>
      </c>
      <c r="AH61" s="565" t="e">
        <f t="shared" ca="1" si="84"/>
        <v>#NAME?</v>
      </c>
      <c r="AI61" s="565" t="e">
        <f t="shared" ca="1" si="84"/>
        <v>#NAME?</v>
      </c>
      <c r="AJ61" s="565" t="e">
        <f t="shared" ca="1" si="84"/>
        <v>#NAME?</v>
      </c>
      <c r="AK61" s="565" t="e">
        <f t="shared" ca="1" si="84"/>
        <v>#NAME?</v>
      </c>
      <c r="AL61" s="565" t="e">
        <f t="shared" ca="1" si="84"/>
        <v>#NAME?</v>
      </c>
      <c r="AM61" s="566" t="e">
        <f t="shared" ca="1" si="84"/>
        <v>#NAME?</v>
      </c>
      <c r="AN61" s="567" t="e">
        <f t="shared" ca="1" si="84"/>
        <v>#NAME?</v>
      </c>
      <c r="AO61" s="567" t="e">
        <f t="shared" ca="1" si="84"/>
        <v>#NAME?</v>
      </c>
      <c r="AP61" s="567" t="e">
        <f t="shared" ca="1" si="84"/>
        <v>#NAME?</v>
      </c>
      <c r="AQ61" s="567" t="e">
        <f t="shared" ca="1" si="84"/>
        <v>#NAME?</v>
      </c>
      <c r="AR61" s="568" t="e">
        <f t="shared" ca="1" si="84"/>
        <v>#NAME?</v>
      </c>
      <c r="AS61" s="4"/>
      <c r="AT61" s="4"/>
      <c r="AU61" s="40"/>
      <c r="AV61" s="561" t="str">
        <f t="shared" si="78"/>
        <v>Median</v>
      </c>
      <c r="AW61" s="562"/>
      <c r="AX61" s="562"/>
      <c r="AY61" s="564" t="e">
        <f t="shared" ref="AY61:BN61" ca="1" si="85">MEDIAN(AY53:AY57)</f>
        <v>#NAME?</v>
      </c>
      <c r="AZ61" s="564" t="e">
        <f t="shared" ca="1" si="85"/>
        <v>#NAME?</v>
      </c>
      <c r="BA61" s="565" t="e">
        <f t="shared" ca="1" si="85"/>
        <v>#NAME?</v>
      </c>
      <c r="BB61" s="565" t="e">
        <f t="shared" ca="1" si="85"/>
        <v>#NAME?</v>
      </c>
      <c r="BC61" s="565" t="e">
        <f t="shared" ca="1" si="85"/>
        <v>#NAME?</v>
      </c>
      <c r="BD61" s="565" t="e">
        <f t="shared" ca="1" si="85"/>
        <v>#NAME?</v>
      </c>
      <c r="BE61" s="565" t="e">
        <f t="shared" ca="1" si="85"/>
        <v>#NAME?</v>
      </c>
      <c r="BF61" s="565" t="e">
        <f t="shared" ca="1" si="85"/>
        <v>#NAME?</v>
      </c>
      <c r="BG61" s="565" t="e">
        <f t="shared" ca="1" si="85"/>
        <v>#NAME?</v>
      </c>
      <c r="BH61" s="565" t="e">
        <f t="shared" ca="1" si="85"/>
        <v>#NAME?</v>
      </c>
      <c r="BI61" s="566" t="e">
        <f t="shared" ca="1" si="85"/>
        <v>#NAME?</v>
      </c>
      <c r="BJ61" s="567" t="e">
        <f t="shared" ca="1" si="85"/>
        <v>#NAME?</v>
      </c>
      <c r="BK61" s="567" t="e">
        <f t="shared" ca="1" si="85"/>
        <v>#NAME?</v>
      </c>
      <c r="BL61" s="567" t="e">
        <f t="shared" ca="1" si="85"/>
        <v>#NAME?</v>
      </c>
      <c r="BM61" s="567" t="e">
        <f t="shared" ca="1" si="85"/>
        <v>#NAME?</v>
      </c>
      <c r="BN61" s="568" t="e">
        <f t="shared" ca="1" si="85"/>
        <v>#NAME?</v>
      </c>
    </row>
    <row r="62" spans="1:66" ht="13.5" customHeight="1" outlineLevel="1" collapsed="1">
      <c r="A62" s="4"/>
      <c r="B62" s="4"/>
      <c r="C62" s="4"/>
      <c r="D62" s="569" t="str">
        <f t="shared" si="74"/>
        <v>Low</v>
      </c>
      <c r="E62" s="570"/>
      <c r="F62" s="570"/>
      <c r="G62" s="571" t="e">
        <f t="shared" ref="G62:V62" ca="1" si="86">MIN(G53:G57)</f>
        <v>#NAME?</v>
      </c>
      <c r="H62" s="571" t="e">
        <f t="shared" ca="1" si="86"/>
        <v>#NAME?</v>
      </c>
      <c r="I62" s="572" t="e">
        <f t="shared" ca="1" si="86"/>
        <v>#NAME?</v>
      </c>
      <c r="J62" s="572" t="e">
        <f t="shared" ca="1" si="86"/>
        <v>#NAME?</v>
      </c>
      <c r="K62" s="572" t="e">
        <f t="shared" ca="1" si="86"/>
        <v>#NAME?</v>
      </c>
      <c r="L62" s="572" t="e">
        <f t="shared" ca="1" si="86"/>
        <v>#NAME?</v>
      </c>
      <c r="M62" s="572" t="e">
        <f t="shared" ca="1" si="86"/>
        <v>#NAME?</v>
      </c>
      <c r="N62" s="572" t="e">
        <f t="shared" ca="1" si="86"/>
        <v>#NAME?</v>
      </c>
      <c r="O62" s="572" t="e">
        <f t="shared" ca="1" si="86"/>
        <v>#NAME?</v>
      </c>
      <c r="P62" s="572" t="e">
        <f t="shared" ca="1" si="86"/>
        <v>#NAME?</v>
      </c>
      <c r="Q62" s="573" t="e">
        <f t="shared" ca="1" si="86"/>
        <v>#NAME?</v>
      </c>
      <c r="R62" s="574" t="e">
        <f t="shared" ca="1" si="86"/>
        <v>#NAME?</v>
      </c>
      <c r="S62" s="574" t="e">
        <f t="shared" ca="1" si="86"/>
        <v>#NAME?</v>
      </c>
      <c r="T62" s="574" t="e">
        <f t="shared" ca="1" si="86"/>
        <v>#NAME?</v>
      </c>
      <c r="U62" s="574" t="e">
        <f t="shared" ca="1" si="86"/>
        <v>#NAME?</v>
      </c>
      <c r="V62" s="575" t="e">
        <f t="shared" ca="1" si="86"/>
        <v>#NAME?</v>
      </c>
      <c r="W62" s="12"/>
      <c r="X62" s="4"/>
      <c r="Y62" s="40"/>
      <c r="Z62" s="569" t="str">
        <f t="shared" si="76"/>
        <v>Low</v>
      </c>
      <c r="AA62" s="570"/>
      <c r="AB62" s="570"/>
      <c r="AC62" s="571" t="e">
        <f t="shared" ref="AC62:AR62" ca="1" si="87">MIN(AC53:AC57)</f>
        <v>#NAME?</v>
      </c>
      <c r="AD62" s="571" t="e">
        <f t="shared" ca="1" si="87"/>
        <v>#NAME?</v>
      </c>
      <c r="AE62" s="572" t="e">
        <f t="shared" ca="1" si="87"/>
        <v>#NAME?</v>
      </c>
      <c r="AF62" s="572" t="e">
        <f t="shared" ca="1" si="87"/>
        <v>#NAME?</v>
      </c>
      <c r="AG62" s="572" t="e">
        <f t="shared" ca="1" si="87"/>
        <v>#NAME?</v>
      </c>
      <c r="AH62" s="572" t="e">
        <f t="shared" ca="1" si="87"/>
        <v>#NAME?</v>
      </c>
      <c r="AI62" s="572" t="e">
        <f t="shared" ca="1" si="87"/>
        <v>#NAME?</v>
      </c>
      <c r="AJ62" s="572" t="e">
        <f t="shared" ca="1" si="87"/>
        <v>#NAME?</v>
      </c>
      <c r="AK62" s="572" t="e">
        <f t="shared" ca="1" si="87"/>
        <v>#NAME?</v>
      </c>
      <c r="AL62" s="572" t="e">
        <f t="shared" ca="1" si="87"/>
        <v>#NAME?</v>
      </c>
      <c r="AM62" s="573" t="e">
        <f t="shared" ca="1" si="87"/>
        <v>#NAME?</v>
      </c>
      <c r="AN62" s="574" t="e">
        <f t="shared" ca="1" si="87"/>
        <v>#NAME?</v>
      </c>
      <c r="AO62" s="574" t="e">
        <f t="shared" ca="1" si="87"/>
        <v>#NAME?</v>
      </c>
      <c r="AP62" s="574" t="e">
        <f t="shared" ca="1" si="87"/>
        <v>#NAME?</v>
      </c>
      <c r="AQ62" s="574" t="e">
        <f t="shared" ca="1" si="87"/>
        <v>#NAME?</v>
      </c>
      <c r="AR62" s="575" t="e">
        <f t="shared" ca="1" si="87"/>
        <v>#NAME?</v>
      </c>
      <c r="AS62" s="4"/>
      <c r="AT62" s="4"/>
      <c r="AU62" s="40"/>
      <c r="AV62" s="569" t="str">
        <f t="shared" si="78"/>
        <v>Low</v>
      </c>
      <c r="AW62" s="570"/>
      <c r="AX62" s="570"/>
      <c r="AY62" s="571" t="e">
        <f t="shared" ref="AY62:BN62" ca="1" si="88">MIN(AY53:AY57)</f>
        <v>#NAME?</v>
      </c>
      <c r="AZ62" s="571" t="e">
        <f t="shared" ca="1" si="88"/>
        <v>#NAME?</v>
      </c>
      <c r="BA62" s="572" t="e">
        <f t="shared" ca="1" si="88"/>
        <v>#NAME?</v>
      </c>
      <c r="BB62" s="572" t="e">
        <f t="shared" ca="1" si="88"/>
        <v>#NAME?</v>
      </c>
      <c r="BC62" s="572" t="e">
        <f t="shared" ca="1" si="88"/>
        <v>#NAME?</v>
      </c>
      <c r="BD62" s="572" t="e">
        <f t="shared" ca="1" si="88"/>
        <v>#NAME?</v>
      </c>
      <c r="BE62" s="572" t="e">
        <f t="shared" ca="1" si="88"/>
        <v>#NAME?</v>
      </c>
      <c r="BF62" s="572" t="e">
        <f t="shared" ca="1" si="88"/>
        <v>#NAME?</v>
      </c>
      <c r="BG62" s="572" t="e">
        <f t="shared" ca="1" si="88"/>
        <v>#NAME?</v>
      </c>
      <c r="BH62" s="572" t="e">
        <f t="shared" ca="1" si="88"/>
        <v>#NAME?</v>
      </c>
      <c r="BI62" s="573" t="e">
        <f t="shared" ca="1" si="88"/>
        <v>#NAME?</v>
      </c>
      <c r="BJ62" s="574" t="e">
        <f t="shared" ca="1" si="88"/>
        <v>#NAME?</v>
      </c>
      <c r="BK62" s="574" t="e">
        <f t="shared" ca="1" si="88"/>
        <v>#NAME?</v>
      </c>
      <c r="BL62" s="574" t="e">
        <f t="shared" ca="1" si="88"/>
        <v>#NAME?</v>
      </c>
      <c r="BM62" s="574" t="e">
        <f t="shared" ca="1" si="88"/>
        <v>#NAME?</v>
      </c>
      <c r="BN62" s="575" t="e">
        <f t="shared" ca="1" si="88"/>
        <v>#NAME?</v>
      </c>
    </row>
    <row r="63" spans="1:66" ht="13.5" customHeight="1" outlineLevel="1" collapsed="1">
      <c r="A63" s="4"/>
      <c r="B63" s="40"/>
      <c r="C63" s="40"/>
      <c r="D63" s="12"/>
      <c r="E63" s="12"/>
      <c r="F63" s="12"/>
      <c r="G63" s="12"/>
      <c r="H63" s="12"/>
      <c r="I63" s="12"/>
      <c r="J63" s="12"/>
      <c r="K63" s="12"/>
      <c r="L63" s="12"/>
      <c r="M63" s="12"/>
      <c r="N63" s="12"/>
      <c r="O63" s="12"/>
      <c r="P63" s="12"/>
      <c r="Q63" s="12"/>
      <c r="R63" s="12"/>
      <c r="S63" s="12"/>
      <c r="T63" s="12"/>
      <c r="U63" s="12"/>
      <c r="V63" s="12"/>
      <c r="W63" s="12"/>
      <c r="X63" s="4"/>
      <c r="Y63" s="40"/>
      <c r="Z63" s="12"/>
      <c r="AA63" s="12"/>
      <c r="AB63" s="12"/>
      <c r="AC63" s="12"/>
      <c r="AD63" s="12"/>
      <c r="AE63" s="12"/>
      <c r="AF63" s="12"/>
      <c r="AG63" s="12"/>
      <c r="AH63" s="12"/>
      <c r="AI63" s="12"/>
      <c r="AJ63" s="12"/>
      <c r="AK63" s="12"/>
      <c r="AL63" s="12"/>
      <c r="AM63" s="12"/>
      <c r="AN63" s="12"/>
      <c r="AO63" s="12"/>
      <c r="AP63" s="12"/>
      <c r="AQ63" s="12"/>
      <c r="AR63" s="12"/>
      <c r="AS63" s="4"/>
      <c r="AT63" s="4"/>
      <c r="AU63" s="40"/>
      <c r="AV63" s="12"/>
      <c r="AW63" s="12"/>
      <c r="AX63" s="12"/>
      <c r="AY63" s="12"/>
      <c r="AZ63" s="12"/>
      <c r="BA63" s="12"/>
      <c r="BB63" s="12"/>
      <c r="BC63" s="12"/>
      <c r="BD63" s="12"/>
      <c r="BE63" s="12"/>
      <c r="BF63" s="12"/>
      <c r="BG63" s="12"/>
      <c r="BH63" s="12"/>
      <c r="BI63" s="12"/>
      <c r="BJ63" s="12"/>
      <c r="BK63" s="12"/>
      <c r="BL63" s="12"/>
      <c r="BM63" s="12"/>
      <c r="BN63" s="12"/>
    </row>
    <row r="64" spans="1:66" ht="13.5" customHeight="1" outlineLevel="1" collapsed="1">
      <c r="A64" s="4"/>
      <c r="B64" s="40"/>
      <c r="C64" s="40"/>
      <c r="D64" s="543"/>
      <c r="E64" s="543"/>
      <c r="F64" s="40"/>
      <c r="G64" s="149"/>
      <c r="H64" s="149"/>
      <c r="I64" s="149"/>
      <c r="J64" s="149"/>
      <c r="K64" s="149"/>
      <c r="L64" s="149"/>
      <c r="M64" s="149"/>
      <c r="N64" s="149"/>
      <c r="O64" s="149"/>
      <c r="P64" s="149"/>
      <c r="Q64" s="149"/>
      <c r="R64" s="149"/>
      <c r="S64" s="149"/>
      <c r="T64" s="149"/>
      <c r="U64" s="149"/>
      <c r="V64" s="149"/>
      <c r="W64" s="12"/>
      <c r="X64" s="4"/>
      <c r="Y64" s="40"/>
      <c r="Z64" s="543"/>
      <c r="AA64" s="543"/>
      <c r="AB64" s="40"/>
      <c r="AC64" s="149"/>
      <c r="AD64" s="149"/>
      <c r="AE64" s="149"/>
      <c r="AF64" s="149"/>
      <c r="AG64" s="149"/>
      <c r="AH64" s="149"/>
      <c r="AI64" s="149"/>
      <c r="AJ64" s="149"/>
      <c r="AK64" s="149"/>
      <c r="AL64" s="149"/>
      <c r="AM64" s="149"/>
      <c r="AN64" s="149"/>
      <c r="AO64" s="149"/>
      <c r="AP64" s="149"/>
      <c r="AQ64" s="149"/>
      <c r="AR64" s="149"/>
      <c r="AS64" s="4"/>
      <c r="AT64" s="4"/>
      <c r="AU64" s="40"/>
      <c r="AV64" s="543"/>
      <c r="AW64" s="543"/>
      <c r="AX64" s="40"/>
      <c r="AY64" s="149"/>
      <c r="AZ64" s="149"/>
      <c r="BA64" s="149"/>
      <c r="BB64" s="149"/>
      <c r="BC64" s="149"/>
      <c r="BD64" s="149"/>
      <c r="BE64" s="149"/>
      <c r="BF64" s="149"/>
      <c r="BG64" s="149"/>
      <c r="BH64" s="149"/>
      <c r="BI64" s="149"/>
      <c r="BJ64" s="149"/>
      <c r="BK64" s="149"/>
      <c r="BL64" s="149"/>
      <c r="BM64" s="149"/>
      <c r="BN64" s="149"/>
    </row>
    <row r="65" spans="1:66" ht="13.5" customHeight="1" outlineLevel="1" collapsed="1">
      <c r="A65" s="4"/>
      <c r="B65" s="40"/>
      <c r="C65" s="40"/>
      <c r="D65" s="913" t="str">
        <f>D23</f>
        <v>Company</v>
      </c>
      <c r="E65" s="861"/>
      <c r="F65" s="861"/>
      <c r="G65" s="913" t="str">
        <f>G23</f>
        <v>General Statistics</v>
      </c>
      <c r="H65" s="861"/>
      <c r="I65" s="861"/>
      <c r="J65" s="913" t="str">
        <f>J23</f>
        <v>Returns Analysis</v>
      </c>
      <c r="K65" s="861"/>
      <c r="L65" s="861"/>
      <c r="M65" s="913" t="str">
        <f t="shared" ref="M65:M66" si="89">M23</f>
        <v>2025A Leverage Analysis</v>
      </c>
      <c r="N65" s="861"/>
      <c r="O65" s="861"/>
      <c r="P65" s="913" t="str">
        <f>P23</f>
        <v>2025A Coverage Analysis</v>
      </c>
      <c r="Q65" s="861"/>
      <c r="R65" s="861"/>
      <c r="S65" s="913" t="str">
        <f>S23</f>
        <v>Liquidity Profile</v>
      </c>
      <c r="T65" s="861"/>
      <c r="U65" s="913" t="str">
        <f>U23</f>
        <v>Credit Profile</v>
      </c>
      <c r="V65" s="861"/>
      <c r="W65" s="12"/>
      <c r="X65" s="4"/>
      <c r="Y65" s="40"/>
      <c r="Z65" s="913" t="str">
        <f>Z23</f>
        <v>Company</v>
      </c>
      <c r="AA65" s="861"/>
      <c r="AB65" s="861"/>
      <c r="AC65" s="913" t="str">
        <f>AC23</f>
        <v>General Statistics</v>
      </c>
      <c r="AD65" s="861"/>
      <c r="AE65" s="861"/>
      <c r="AF65" s="913" t="str">
        <f>AF23</f>
        <v>Returns Analysis</v>
      </c>
      <c r="AG65" s="861"/>
      <c r="AH65" s="861"/>
      <c r="AI65" s="913" t="str">
        <f t="shared" ref="AI65:AI66" si="90">AI23</f>
        <v>2025A Leverage Analysis</v>
      </c>
      <c r="AJ65" s="861"/>
      <c r="AK65" s="861"/>
      <c r="AL65" s="913" t="str">
        <f>AL23</f>
        <v>2025A Coverage Analysis</v>
      </c>
      <c r="AM65" s="861"/>
      <c r="AN65" s="861"/>
      <c r="AO65" s="913" t="str">
        <f>AO23</f>
        <v>Liquidity Profile</v>
      </c>
      <c r="AP65" s="861"/>
      <c r="AQ65" s="913" t="str">
        <f>AQ23</f>
        <v>Credit Profile</v>
      </c>
      <c r="AR65" s="861"/>
      <c r="AS65" s="4"/>
      <c r="AT65" s="4"/>
      <c r="AU65" s="40"/>
      <c r="AV65" s="913" t="str">
        <f>AV23</f>
        <v>Company</v>
      </c>
      <c r="AW65" s="861"/>
      <c r="AX65" s="861"/>
      <c r="AY65" s="913" t="str">
        <f>AY23</f>
        <v>General Statistics</v>
      </c>
      <c r="AZ65" s="861"/>
      <c r="BA65" s="861"/>
      <c r="BB65" s="913" t="str">
        <f>BB23</f>
        <v>Returns Analysis</v>
      </c>
      <c r="BC65" s="861"/>
      <c r="BD65" s="861"/>
      <c r="BE65" s="913" t="str">
        <f t="shared" ref="BE65:BE66" si="91">BE23</f>
        <v>2025A Leverage Analysis</v>
      </c>
      <c r="BF65" s="861"/>
      <c r="BG65" s="861"/>
      <c r="BH65" s="913" t="str">
        <f>BH23</f>
        <v>2025A Coverage Analysis</v>
      </c>
      <c r="BI65" s="861"/>
      <c r="BJ65" s="861"/>
      <c r="BK65" s="913" t="str">
        <f>BK23</f>
        <v>Liquidity Profile</v>
      </c>
      <c r="BL65" s="861"/>
      <c r="BM65" s="913" t="str">
        <f>BM23</f>
        <v>Credit Profile</v>
      </c>
      <c r="BN65" s="861"/>
    </row>
    <row r="66" spans="1:66" ht="13.5" customHeight="1" outlineLevel="1" collapsed="1">
      <c r="A66" s="4"/>
      <c r="B66" s="40"/>
      <c r="C66" s="40"/>
      <c r="D66" s="12"/>
      <c r="E66" s="12"/>
      <c r="F66" s="12"/>
      <c r="G66" s="12"/>
      <c r="H66" s="12"/>
      <c r="I66" s="12"/>
      <c r="J66" s="12"/>
      <c r="K66" s="12"/>
      <c r="L66" s="12"/>
      <c r="M66" s="913" t="str">
        <f t="shared" si="89"/>
        <v xml:space="preserve">Total Debt / </v>
      </c>
      <c r="N66" s="861"/>
      <c r="O66" s="861"/>
      <c r="P66" s="12"/>
      <c r="Q66" s="12"/>
      <c r="R66" s="12"/>
      <c r="S66" s="12"/>
      <c r="T66" s="12"/>
      <c r="U66" s="12"/>
      <c r="V66" s="12"/>
      <c r="W66" s="12"/>
      <c r="X66" s="4"/>
      <c r="Y66" s="40"/>
      <c r="Z66" s="12"/>
      <c r="AA66" s="12"/>
      <c r="AB66" s="12"/>
      <c r="AC66" s="12"/>
      <c r="AD66" s="12"/>
      <c r="AE66" s="12"/>
      <c r="AF66" s="12"/>
      <c r="AG66" s="12"/>
      <c r="AH66" s="12"/>
      <c r="AI66" s="913" t="str">
        <f t="shared" si="90"/>
        <v xml:space="preserve">Total Debt / </v>
      </c>
      <c r="AJ66" s="861"/>
      <c r="AK66" s="861"/>
      <c r="AL66" s="12"/>
      <c r="AM66" s="12"/>
      <c r="AN66" s="12"/>
      <c r="AO66" s="12"/>
      <c r="AP66" s="12"/>
      <c r="AQ66" s="12"/>
      <c r="AR66" s="12"/>
      <c r="AS66" s="4"/>
      <c r="AT66" s="4"/>
      <c r="AU66" s="40"/>
      <c r="AV66" s="12"/>
      <c r="AW66" s="12"/>
      <c r="AX66" s="12"/>
      <c r="AY66" s="12"/>
      <c r="AZ66" s="12"/>
      <c r="BA66" s="12"/>
      <c r="BB66" s="12"/>
      <c r="BC66" s="12"/>
      <c r="BD66" s="12"/>
      <c r="BE66" s="913" t="str">
        <f t="shared" si="91"/>
        <v xml:space="preserve">Total Debt / </v>
      </c>
      <c r="BF66" s="861"/>
      <c r="BG66" s="861"/>
      <c r="BH66" s="12"/>
      <c r="BI66" s="12"/>
      <c r="BJ66" s="12"/>
      <c r="BK66" s="12"/>
      <c r="BL66" s="12"/>
      <c r="BM66" s="12"/>
      <c r="BN66" s="12"/>
    </row>
    <row r="67" spans="1:66" ht="13.5" customHeight="1" outlineLevel="1" collapsed="1">
      <c r="A67" s="4"/>
      <c r="B67" s="40"/>
      <c r="C67" s="40"/>
      <c r="D67" s="69"/>
      <c r="E67" s="69"/>
      <c r="F67" s="69"/>
      <c r="G67" s="69"/>
      <c r="H67" s="69"/>
      <c r="I67" s="69" t="str">
        <f>I25</f>
        <v>Dividend</v>
      </c>
      <c r="J67" s="69"/>
      <c r="K67" s="69"/>
      <c r="L67" s="69"/>
      <c r="M67" s="69"/>
      <c r="N67" s="69"/>
      <c r="O67" s="69"/>
      <c r="P67" s="69" t="str">
        <f t="shared" ref="P67:T67" si="92">P25</f>
        <v xml:space="preserve">EBITDA / </v>
      </c>
      <c r="Q67" s="69" t="str">
        <f t="shared" si="92"/>
        <v>(EBITDA -</v>
      </c>
      <c r="R67" s="69" t="str">
        <f t="shared" si="92"/>
        <v xml:space="preserve">EBIT / </v>
      </c>
      <c r="S67" s="69" t="str">
        <f t="shared" si="92"/>
        <v>Quick</v>
      </c>
      <c r="T67" s="69" t="str">
        <f t="shared" si="92"/>
        <v>Current</v>
      </c>
      <c r="U67" s="69"/>
      <c r="V67" s="69"/>
      <c r="W67" s="12"/>
      <c r="X67" s="4"/>
      <c r="Y67" s="40"/>
      <c r="Z67" s="69"/>
      <c r="AA67" s="69"/>
      <c r="AB67" s="69"/>
      <c r="AC67" s="69"/>
      <c r="AD67" s="69"/>
      <c r="AE67" s="69" t="str">
        <f>AE25</f>
        <v>Dividend</v>
      </c>
      <c r="AF67" s="69"/>
      <c r="AG67" s="69"/>
      <c r="AH67" s="69"/>
      <c r="AI67" s="69"/>
      <c r="AJ67" s="69"/>
      <c r="AK67" s="69"/>
      <c r="AL67" s="69" t="str">
        <f t="shared" ref="AL67:AP67" si="93">AL25</f>
        <v xml:space="preserve">EBITDA / </v>
      </c>
      <c r="AM67" s="69" t="str">
        <f t="shared" si="93"/>
        <v>(EBITDA -</v>
      </c>
      <c r="AN67" s="69" t="str">
        <f t="shared" si="93"/>
        <v xml:space="preserve">EBIT / </v>
      </c>
      <c r="AO67" s="69" t="str">
        <f t="shared" si="93"/>
        <v>Quick</v>
      </c>
      <c r="AP67" s="69" t="str">
        <f t="shared" si="93"/>
        <v>Current</v>
      </c>
      <c r="AQ67" s="69"/>
      <c r="AR67" s="69"/>
      <c r="AS67" s="4"/>
      <c r="AT67" s="4"/>
      <c r="AU67" s="40"/>
      <c r="AV67" s="69"/>
      <c r="AW67" s="69"/>
      <c r="AX67" s="69"/>
      <c r="AY67" s="69"/>
      <c r="AZ67" s="69"/>
      <c r="BA67" s="69" t="str">
        <f>BA25</f>
        <v>Dividend</v>
      </c>
      <c r="BB67" s="69"/>
      <c r="BC67" s="69"/>
      <c r="BD67" s="69"/>
      <c r="BE67" s="69"/>
      <c r="BF67" s="69"/>
      <c r="BG67" s="69"/>
      <c r="BH67" s="69" t="str">
        <f t="shared" ref="BH67:BL67" si="94">BH25</f>
        <v xml:space="preserve">EBITDA / </v>
      </c>
      <c r="BI67" s="69" t="str">
        <f t="shared" si="94"/>
        <v>(EBITDA -</v>
      </c>
      <c r="BJ67" s="69" t="str">
        <f t="shared" si="94"/>
        <v xml:space="preserve">EBIT / </v>
      </c>
      <c r="BK67" s="69" t="str">
        <f t="shared" si="94"/>
        <v>Quick</v>
      </c>
      <c r="BL67" s="69" t="str">
        <f t="shared" si="94"/>
        <v>Current</v>
      </c>
      <c r="BM67" s="69"/>
      <c r="BN67" s="69"/>
    </row>
    <row r="68" spans="1:66" ht="13.5" customHeight="1" outlineLevel="1" collapsed="1">
      <c r="A68" s="4"/>
      <c r="B68" s="40"/>
      <c r="C68" s="40"/>
      <c r="D68" s="108"/>
      <c r="E68" s="69"/>
      <c r="F68" s="483" t="str">
        <f t="shared" ref="F68:T68" si="95">F26</f>
        <v>Ticker</v>
      </c>
      <c r="G68" s="483" t="str">
        <f t="shared" si="95"/>
        <v>Tax Rate</v>
      </c>
      <c r="H68" s="483" t="str">
        <f t="shared" si="95"/>
        <v>Beta</v>
      </c>
      <c r="I68" s="483" t="str">
        <f t="shared" si="95"/>
        <v>Yield</v>
      </c>
      <c r="J68" s="483" t="str">
        <f t="shared" si="95"/>
        <v>ROIC</v>
      </c>
      <c r="K68" s="483" t="str">
        <f t="shared" si="95"/>
        <v xml:space="preserve">ROE </v>
      </c>
      <c r="L68" s="483" t="str">
        <f t="shared" si="95"/>
        <v>ROA</v>
      </c>
      <c r="M68" s="483" t="str">
        <f t="shared" si="95"/>
        <v>Cap</v>
      </c>
      <c r="N68" s="483" t="str">
        <f t="shared" si="95"/>
        <v>EBITDA</v>
      </c>
      <c r="O68" s="483" t="str">
        <f t="shared" si="95"/>
        <v>Equity</v>
      </c>
      <c r="P68" s="483" t="str">
        <f t="shared" si="95"/>
        <v>Int. Exp.</v>
      </c>
      <c r="Q68" s="483" t="str">
        <f t="shared" si="95"/>
        <v>Capex)/Int.</v>
      </c>
      <c r="R68" s="483" t="str">
        <f t="shared" si="95"/>
        <v>Int. Exp.</v>
      </c>
      <c r="S68" s="483" t="str">
        <f t="shared" si="95"/>
        <v>Ratio</v>
      </c>
      <c r="T68" s="483" t="str">
        <f t="shared" si="95"/>
        <v>Ratio</v>
      </c>
      <c r="U68" s="483" t="s">
        <v>538</v>
      </c>
      <c r="V68" s="483" t="s">
        <v>539</v>
      </c>
      <c r="W68" s="12"/>
      <c r="X68" s="4"/>
      <c r="Y68" s="40"/>
      <c r="Z68" s="108"/>
      <c r="AA68" s="69"/>
      <c r="AB68" s="483" t="str">
        <f t="shared" ref="AB68:AR68" si="96">AB26</f>
        <v>Ticker</v>
      </c>
      <c r="AC68" s="483" t="str">
        <f t="shared" si="96"/>
        <v>Tax Rate</v>
      </c>
      <c r="AD68" s="483" t="str">
        <f t="shared" si="96"/>
        <v>Beta</v>
      </c>
      <c r="AE68" s="483" t="str">
        <f t="shared" si="96"/>
        <v>Yield</v>
      </c>
      <c r="AF68" s="483" t="str">
        <f t="shared" si="96"/>
        <v>ROIC</v>
      </c>
      <c r="AG68" s="483" t="str">
        <f t="shared" si="96"/>
        <v xml:space="preserve">ROE </v>
      </c>
      <c r="AH68" s="483" t="str">
        <f t="shared" si="96"/>
        <v>ROA</v>
      </c>
      <c r="AI68" s="483" t="str">
        <f t="shared" si="96"/>
        <v>Cap</v>
      </c>
      <c r="AJ68" s="483" t="str">
        <f t="shared" si="96"/>
        <v>EBITDA</v>
      </c>
      <c r="AK68" s="483" t="str">
        <f t="shared" si="96"/>
        <v>Equity</v>
      </c>
      <c r="AL68" s="483" t="str">
        <f t="shared" si="96"/>
        <v>Int. Exp.</v>
      </c>
      <c r="AM68" s="483" t="str">
        <f t="shared" si="96"/>
        <v>Capex)/Int.</v>
      </c>
      <c r="AN68" s="483" t="str">
        <f t="shared" si="96"/>
        <v>Int. Exp.</v>
      </c>
      <c r="AO68" s="483" t="str">
        <f t="shared" si="96"/>
        <v>Ratio</v>
      </c>
      <c r="AP68" s="483" t="str">
        <f t="shared" si="96"/>
        <v>Ratio</v>
      </c>
      <c r="AQ68" s="483" t="str">
        <f t="shared" si="96"/>
        <v>S&amp;P</v>
      </c>
      <c r="AR68" s="483" t="str">
        <f t="shared" si="96"/>
        <v>Outlook</v>
      </c>
      <c r="AS68" s="4"/>
      <c r="AT68" s="4"/>
      <c r="AU68" s="40"/>
      <c r="AV68" s="108"/>
      <c r="AW68" s="69"/>
      <c r="AX68" s="483" t="str">
        <f t="shared" ref="AX68:BN68" si="97">AX26</f>
        <v>Ticker</v>
      </c>
      <c r="AY68" s="483" t="str">
        <f t="shared" si="97"/>
        <v>Tax Rate</v>
      </c>
      <c r="AZ68" s="483" t="str">
        <f t="shared" si="97"/>
        <v>Beta</v>
      </c>
      <c r="BA68" s="483" t="str">
        <f t="shared" si="97"/>
        <v>Yield</v>
      </c>
      <c r="BB68" s="483" t="str">
        <f t="shared" si="97"/>
        <v>ROIC</v>
      </c>
      <c r="BC68" s="483" t="str">
        <f t="shared" si="97"/>
        <v xml:space="preserve">ROE </v>
      </c>
      <c r="BD68" s="483" t="str">
        <f t="shared" si="97"/>
        <v>ROA</v>
      </c>
      <c r="BE68" s="483" t="str">
        <f t="shared" si="97"/>
        <v>Cap</v>
      </c>
      <c r="BF68" s="483" t="str">
        <f t="shared" si="97"/>
        <v>EBITDA</v>
      </c>
      <c r="BG68" s="483" t="str">
        <f t="shared" si="97"/>
        <v>Equity</v>
      </c>
      <c r="BH68" s="483" t="str">
        <f t="shared" si="97"/>
        <v>Int. Exp.</v>
      </c>
      <c r="BI68" s="483" t="str">
        <f t="shared" si="97"/>
        <v>Capex)/Int.</v>
      </c>
      <c r="BJ68" s="483" t="str">
        <f t="shared" si="97"/>
        <v>Int. Exp.</v>
      </c>
      <c r="BK68" s="483" t="str">
        <f t="shared" si="97"/>
        <v>Ratio</v>
      </c>
      <c r="BL68" s="483" t="str">
        <f t="shared" si="97"/>
        <v>Ratio</v>
      </c>
      <c r="BM68" s="483" t="str">
        <f t="shared" si="97"/>
        <v>S&amp;P</v>
      </c>
      <c r="BN68" s="483" t="str">
        <f t="shared" si="97"/>
        <v>Outlook</v>
      </c>
    </row>
    <row r="69" spans="1:66" ht="4.5" customHeight="1" outlineLevel="1" collapsed="1">
      <c r="A69" s="4"/>
      <c r="B69" s="40"/>
      <c r="C69" s="40"/>
      <c r="D69" s="69"/>
      <c r="E69" s="69"/>
      <c r="F69" s="69"/>
      <c r="G69" s="69"/>
      <c r="H69" s="69"/>
      <c r="I69" s="485"/>
      <c r="J69" s="69"/>
      <c r="K69" s="69"/>
      <c r="L69" s="69"/>
      <c r="M69" s="69"/>
      <c r="N69" s="69"/>
      <c r="O69" s="69"/>
      <c r="P69" s="69"/>
      <c r="Q69" s="69"/>
      <c r="R69" s="69"/>
      <c r="S69" s="69"/>
      <c r="T69" s="69"/>
      <c r="U69" s="69"/>
      <c r="V69" s="69"/>
      <c r="W69" s="12"/>
      <c r="X69" s="4"/>
      <c r="Y69" s="40"/>
      <c r="Z69" s="69"/>
      <c r="AA69" s="69"/>
      <c r="AB69" s="69"/>
      <c r="AC69" s="69"/>
      <c r="AD69" s="69"/>
      <c r="AE69" s="485"/>
      <c r="AF69" s="69"/>
      <c r="AG69" s="69"/>
      <c r="AH69" s="69"/>
      <c r="AI69" s="69"/>
      <c r="AJ69" s="69"/>
      <c r="AK69" s="69"/>
      <c r="AL69" s="69"/>
      <c r="AM69" s="69"/>
      <c r="AN69" s="69"/>
      <c r="AO69" s="69"/>
      <c r="AP69" s="69"/>
      <c r="AQ69" s="69"/>
      <c r="AR69" s="69"/>
      <c r="AS69" s="4"/>
      <c r="AT69" s="4"/>
      <c r="AU69" s="40"/>
      <c r="AV69" s="69"/>
      <c r="AW69" s="69"/>
      <c r="AX69" s="69"/>
      <c r="AY69" s="69"/>
      <c r="AZ69" s="69"/>
      <c r="BA69" s="485"/>
      <c r="BB69" s="69"/>
      <c r="BC69" s="69"/>
      <c r="BD69" s="69"/>
      <c r="BE69" s="69"/>
      <c r="BF69" s="69"/>
      <c r="BG69" s="69"/>
      <c r="BH69" s="69"/>
      <c r="BI69" s="69"/>
      <c r="BJ69" s="69"/>
      <c r="BK69" s="69"/>
      <c r="BL69" s="69"/>
      <c r="BM69" s="69"/>
      <c r="BN69" s="69"/>
    </row>
    <row r="70" spans="1:66" ht="13.5" customHeight="1" outlineLevel="1" collapsed="1">
      <c r="A70" s="4"/>
      <c r="B70" s="544" t="str">
        <f>E90</f>
        <v>IQ180871</v>
      </c>
      <c r="C70" s="544"/>
      <c r="D70" s="545" t="e">
        <f ca="1">D51</f>
        <v>#NAME?</v>
      </c>
      <c r="E70" s="546"/>
      <c r="F70" s="547" t="str">
        <f>F51</f>
        <v>NFLX</v>
      </c>
      <c r="G70" s="549" t="e">
        <f ca="1">_xll.ciqfunctions.udf.CIQ($B70, "IQ_EFFECT_TAX_RATE",IQ_FY)/100</f>
        <v>#NAME?</v>
      </c>
      <c r="H70" s="576" t="e">
        <f ca="1">_xll.ciqfunctions.udf.CIQ($B70, "IQ_BETA_5YR",Current_Date)</f>
        <v>#NAME?</v>
      </c>
      <c r="I70" s="549" t="e">
        <f ca="1">_xll.ciqfunctions.udf.CIQ($B70, "IQ_DIVIDEND_YIELD",Current_Date)/100</f>
        <v>#NAME?</v>
      </c>
      <c r="J70" s="549" t="e">
        <f ca="1">(_xll.ciqfunctions.udf.CIQ($B70,"IQ_OPER_INC",IQ_LTM)*(1-G70))/(((_xll.ciqfunctions.udf.CIQ($B70,"IQ_TOTAL_DEBT",IQ_LTM))+_xll.ciqfunctions.udf.CIQ($B70,"IQ_TOTAL_EQUITY",IQ_LTM))-_xll.ciqfunctions.udf.CIQ($B70,"IQ_CASH_EQUIV",IQ_LTM))</f>
        <v>#NAME?</v>
      </c>
      <c r="K70" s="549" t="e">
        <f ca="1">_xll.ciqfunctions.udf.CIQ($B70, "IQ_RETURN_EQUITY",IQ_LTM)/100</f>
        <v>#NAME?</v>
      </c>
      <c r="L70" s="549" t="e">
        <f ca="1">_xll.ciqfunctions.udf.CIQ($B70, "IQ_RETURN_ASSETS",IQ_LTM)/100</f>
        <v>#NAME?</v>
      </c>
      <c r="M70" s="550" t="e">
        <f ca="1">_xll.ciqfunctions.udf.CIQ($B70, "IQ_TOTAL_DEBT_CAPITAL",IQ_FY)/100</f>
        <v>#NAME?</v>
      </c>
      <c r="N70" s="550" t="e">
        <f ca="1">_xll.ciqfunctions.udf.CIQ($B70, "IQ_TOTAL_DEBT_EBITDA",IQ_FY)</f>
        <v>#NAME?</v>
      </c>
      <c r="O70" s="550" t="e">
        <f ca="1">_xll.ciqfunctions.udf.CIQ($B70, "IQ_TOTAL_DEBT_EQUITY",IQ_FY)/100</f>
        <v>#NAME?</v>
      </c>
      <c r="P70" s="550" t="e">
        <f ca="1">_xll.ciqfunctions.udf.CIQ($B70, "IQ_EBITDA_INT",IQ_FY)</f>
        <v>#NAME?</v>
      </c>
      <c r="Q70" s="550" t="e">
        <f ca="1">_xll.ciqfunctions.udf.CIQ($B70, "IQ_EBITDA_CAPEX_INT",IQ_FY)</f>
        <v>#NAME?</v>
      </c>
      <c r="R70" s="550" t="e">
        <f ca="1">_xll.ciqfunctions.udf.CIQ($B70, "IQ_EBIT_INT",IQ_FY)</f>
        <v>#NAME?</v>
      </c>
      <c r="S70" s="550" t="e">
        <f ca="1">_xll.ciqfunctions.udf.CIQ($B70, "IQ_QUICK_RATIO",IQ_FY)</f>
        <v>#NAME?</v>
      </c>
      <c r="T70" s="550" t="e">
        <f ca="1">_xll.ciqfunctions.udf.CIQ($B70, "IQ_CURRENT_RATIO",IQ_FY)</f>
        <v>#NAME?</v>
      </c>
      <c r="U70" s="547" t="e">
        <f ca="1">_xll.ciqfunctions.udf.CIQ($B70, "IQ_SP_LC_LT",Current)</f>
        <v>#NAME?</v>
      </c>
      <c r="V70" s="577" t="e">
        <f ca="1">_xll.ciqfunctions.udf.CIQ($B70, "IQ_SP_OUTLOOK_WATCH",Current)</f>
        <v>#NAME?</v>
      </c>
      <c r="W70" s="12"/>
      <c r="X70" s="544" t="str">
        <f>I90</f>
        <v>IQ180871</v>
      </c>
      <c r="Y70" s="40"/>
      <c r="Z70" s="545" t="str">
        <f>Z51</f>
        <v>NETFLIX INC</v>
      </c>
      <c r="AA70" s="546"/>
      <c r="AB70" s="547" t="str">
        <f>AB51</f>
        <v>NFLX</v>
      </c>
      <c r="AC70" s="549" t="e">
        <f ca="1">_xll.ciqfunctions.udf.CIQ($X70, "IQ_EFFECT_TAX_RATE",IQ_FY)/100</f>
        <v>#NAME?</v>
      </c>
      <c r="AD70" s="576" t="e">
        <f ca="1">_xll.ciqfunctions.udf.CIQ($X70, "IQ_BETA_5YR",Current_Date)</f>
        <v>#NAME?</v>
      </c>
      <c r="AE70" s="549" t="e">
        <f ca="1">_xll.ciqfunctions.udf.CIQ($X70, "IQ_DIVIDEND_YIELD",Current_Date)/100</f>
        <v>#NAME?</v>
      </c>
      <c r="AF70" s="549" t="e">
        <f ca="1">(_xll.ciqfunctions.udf.CIQ($X70,"IQ_OPER_INC",IQ_LTM)*(1-AC70))/(((_xll.ciqfunctions.udf.CIQ($X70,"IQ_TOTAL_DEBT",IQ_LTM))+_xll.ciqfunctions.udf.CIQ($X70,"IQ_TOTAL_EQUITY",IQ_LTM))-_xll.ciqfunctions.udf.CIQ($X70,"IQ_CASH_EQUIV",IQ_LTM))</f>
        <v>#NAME?</v>
      </c>
      <c r="AG70" s="549" t="e">
        <f ca="1">_xll.ciqfunctions.udf.CIQ($X70, "IQ_RETURN_EQUITY",IQ_LTM)/100</f>
        <v>#NAME?</v>
      </c>
      <c r="AH70" s="549" t="e">
        <f ca="1">_xll.ciqfunctions.udf.CIQ($X70, "IQ_RETURN_ASSETS",IQ_LTM)/100</f>
        <v>#NAME?</v>
      </c>
      <c r="AI70" s="550" t="e">
        <f ca="1">_xll.ciqfunctions.udf.CIQ($X70, "IQ_TOTAL_DEBT_CAPITAL",IQ_FY)/100</f>
        <v>#NAME?</v>
      </c>
      <c r="AJ70" s="550" t="e">
        <f ca="1">_xll.ciqfunctions.udf.CIQ($X70, "IQ_TOTAL_DEBT_EBITDA",IQ_FY)</f>
        <v>#NAME?</v>
      </c>
      <c r="AK70" s="550" t="e">
        <f ca="1">_xll.ciqfunctions.udf.CIQ($X70, "IQ_TOTAL_DEBT_EQUITY",IQ_FY)/100</f>
        <v>#NAME?</v>
      </c>
      <c r="AL70" s="550" t="e">
        <f ca="1">_xll.ciqfunctions.udf.CIQ($X70, "IQ_EBITDA_INT",IQ_FY)</f>
        <v>#NAME?</v>
      </c>
      <c r="AM70" s="550" t="e">
        <f ca="1">_xll.ciqfunctions.udf.CIQ($X70, "IQ_EBITDA_CAPEX_INT",IQ_FY)</f>
        <v>#NAME?</v>
      </c>
      <c r="AN70" s="550" t="e">
        <f ca="1">_xll.ciqfunctions.udf.CIQ($X70, "IQ_EBIT_INT",IQ_FY)</f>
        <v>#NAME?</v>
      </c>
      <c r="AO70" s="576" t="e">
        <f ca="1">_xll.ciqfunctions.udf.CIQ($X70, "IQ_QUICK_RATIO",IQ_FY)</f>
        <v>#NAME?</v>
      </c>
      <c r="AP70" s="576" t="e">
        <f ca="1">_xll.ciqfunctions.udf.CIQ($X70, "IQ_CURRENT_RATIO",IQ_FY)</f>
        <v>#NAME?</v>
      </c>
      <c r="AQ70" s="547" t="e">
        <f ca="1">_xll.ciqfunctions.udf.CIQ($X70, "IQ_SP_LC_LT",Current)</f>
        <v>#NAME?</v>
      </c>
      <c r="AR70" s="577" t="e">
        <f ca="1">_xll.ciqfunctions.udf.CIQ($X70, "IQ_SP_OUTLOOK_WATCH",Current)</f>
        <v>#NAME?</v>
      </c>
      <c r="AS70" s="4"/>
      <c r="AT70" s="544" t="str">
        <f>N90</f>
        <v>IQ180871</v>
      </c>
      <c r="AU70" s="40">
        <f t="shared" ref="AU70:AV70" si="98">AU51</f>
        <v>0</v>
      </c>
      <c r="AV70" s="545" t="str">
        <f t="shared" si="98"/>
        <v>NETFLIX INC</v>
      </c>
      <c r="AW70" s="546"/>
      <c r="AX70" s="547" t="str">
        <f>AX51</f>
        <v>NFLX</v>
      </c>
      <c r="AY70" s="549" t="e">
        <f ca="1">_xll.ciqfunctions.udf.CIQ($AT70, "IQ_EFFECT_TAX_RATE",IQ_FY)/100</f>
        <v>#NAME?</v>
      </c>
      <c r="AZ70" s="576" t="e">
        <f ca="1">_xll.ciqfunctions.udf.CIQ($AT70, "IQ_BETA_5YR",Current_Date)</f>
        <v>#NAME?</v>
      </c>
      <c r="BA70" s="549" t="e">
        <f ca="1">_xll.ciqfunctions.udf.CIQ($AT70, "IQ_DIVIDEND_YIELD",Current_Date)/100</f>
        <v>#NAME?</v>
      </c>
      <c r="BB70" s="549" t="e">
        <f ca="1">(_xll.ciqfunctions.udf.CIQ($AT70,"IQ_OPER_INC",IQ_LTM)*(1-AY70))/(((_xll.ciqfunctions.udf.CIQ($AT70,"IQ_TOTAL_DEBT",IQ_LTM))+_xll.ciqfunctions.udf.CIQ($AT70,"IQ_TOTAL_EQUITY",IQ_LTM))-_xll.ciqfunctions.udf.CIQ($AT70,"IQ_CASH_EQUIV",IQ_LTM))</f>
        <v>#NAME?</v>
      </c>
      <c r="BC70" s="549" t="e">
        <f ca="1">_xll.ciqfunctions.udf.CIQ($AT70, "IQ_RETURN_EQUITY",IQ_LTM)/100</f>
        <v>#NAME?</v>
      </c>
      <c r="BD70" s="549" t="e">
        <f ca="1">_xll.ciqfunctions.udf.CIQ($AT70, "IQ_RETURN_ASSETS",IQ_LTM)/100</f>
        <v>#NAME?</v>
      </c>
      <c r="BE70" s="550" t="e">
        <f ca="1">_xll.ciqfunctions.udf.CIQ($AT70, "IQ_TOTAL_DEBT_CAPITAL",IQ_FY)/100</f>
        <v>#NAME?</v>
      </c>
      <c r="BF70" s="550" t="e">
        <f ca="1">_xll.ciqfunctions.udf.CIQ($AT70, "IQ_TOTAL_DEBT_EBITDA",IQ_FY)</f>
        <v>#NAME?</v>
      </c>
      <c r="BG70" s="550" t="e">
        <f ca="1">_xll.ciqfunctions.udf.CIQ($AT70, "IQ_TOTAL_DEBT_EQUITY",IQ_FY)/100</f>
        <v>#NAME?</v>
      </c>
      <c r="BH70" s="550" t="e">
        <f ca="1">_xll.ciqfunctions.udf.CIQ($AT70, "IQ_EBITDA_INT",IQ_FY)</f>
        <v>#NAME?</v>
      </c>
      <c r="BI70" s="550" t="e">
        <f ca="1">_xll.ciqfunctions.udf.CIQ($AT70, "IQ_EBITDA_CAPEX_INT",IQ_FY)</f>
        <v>#NAME?</v>
      </c>
      <c r="BJ70" s="550" t="e">
        <f ca="1">_xll.ciqfunctions.udf.CIQ($AT70, "IQ_EBIT_INT",IQ_FY)</f>
        <v>#NAME?</v>
      </c>
      <c r="BK70" s="576" t="e">
        <f ca="1">_xll.ciqfunctions.udf.CIQ($AT70, "IQ_QUICK_RATIO",IQ_FY)</f>
        <v>#NAME?</v>
      </c>
      <c r="BL70" s="576" t="e">
        <f ca="1">_xll.ciqfunctions.udf.CIQ($AT70, "IQ_CURRENT_RATIO",IQ_FY)</f>
        <v>#NAME?</v>
      </c>
      <c r="BM70" s="547" t="e">
        <f ca="1">_xll.ciqfunctions.udf.CIQ($AT70, "IQ_SP_LC_LT",Current)</f>
        <v>#NAME?</v>
      </c>
      <c r="BN70" s="577" t="e">
        <f ca="1">_xll.ciqfunctions.udf.CIQ($AT70, "IQ_SP_OUTLOOK_WATCH",Current)</f>
        <v>#NAME?</v>
      </c>
    </row>
    <row r="71" spans="1:66" ht="13.5" customHeight="1" outlineLevel="1" collapsed="1">
      <c r="A71" s="4"/>
      <c r="B71" s="544"/>
      <c r="C71" s="544"/>
      <c r="D71" s="12"/>
      <c r="E71" s="12"/>
      <c r="F71" s="69"/>
      <c r="G71" s="485"/>
      <c r="H71" s="69"/>
      <c r="I71" s="552"/>
      <c r="J71" s="540"/>
      <c r="K71" s="540"/>
      <c r="L71" s="540"/>
      <c r="M71" s="540"/>
      <c r="N71" s="496"/>
      <c r="O71" s="540"/>
      <c r="P71" s="496"/>
      <c r="Q71" s="493"/>
      <c r="R71" s="493"/>
      <c r="S71" s="540"/>
      <c r="T71" s="540"/>
      <c r="U71" s="35"/>
      <c r="V71" s="35"/>
      <c r="W71" s="12"/>
      <c r="X71" s="544"/>
      <c r="Y71" s="40"/>
      <c r="Z71" s="12"/>
      <c r="AA71" s="12"/>
      <c r="AB71" s="69"/>
      <c r="AC71" s="552"/>
      <c r="AD71" s="69"/>
      <c r="AE71" s="552"/>
      <c r="AF71" s="540"/>
      <c r="AG71" s="540"/>
      <c r="AH71" s="540"/>
      <c r="AI71" s="540"/>
      <c r="AJ71" s="496"/>
      <c r="AK71" s="540"/>
      <c r="AL71" s="496"/>
      <c r="AM71" s="493"/>
      <c r="AN71" s="493"/>
      <c r="AO71" s="69"/>
      <c r="AP71" s="69"/>
      <c r="AQ71" s="35"/>
      <c r="AR71" s="35"/>
      <c r="AS71" s="4"/>
      <c r="AT71" s="544"/>
      <c r="AU71" s="40"/>
      <c r="AV71" s="12"/>
      <c r="AW71" s="12"/>
      <c r="AX71" s="69"/>
      <c r="AY71" s="552"/>
      <c r="AZ71" s="69"/>
      <c r="BA71" s="552"/>
      <c r="BB71" s="540"/>
      <c r="BC71" s="540"/>
      <c r="BD71" s="540"/>
      <c r="BE71" s="540"/>
      <c r="BF71" s="496"/>
      <c r="BG71" s="540"/>
      <c r="BH71" s="496"/>
      <c r="BI71" s="493"/>
      <c r="BJ71" s="493"/>
      <c r="BK71" s="69"/>
      <c r="BL71" s="69"/>
      <c r="BM71" s="35"/>
      <c r="BN71" s="35"/>
    </row>
    <row r="72" spans="1:66" ht="13.5" customHeight="1" outlineLevel="1" collapsed="1">
      <c r="A72" s="4"/>
      <c r="B72" s="544" t="str">
        <f>E94</f>
        <v>IQ278679</v>
      </c>
      <c r="C72" s="544"/>
      <c r="D72" s="12" t="e">
        <f t="shared" ref="D72:D76" ca="1" si="99">D53</f>
        <v>#NAME?</v>
      </c>
      <c r="E72" s="12"/>
      <c r="F72" s="69" t="str">
        <f>E93</f>
        <v>HD</v>
      </c>
      <c r="G72" s="492" t="e">
        <f t="shared" ref="G72:G76" ca="1" si="100">_xll.ciqfunctions.udf.CIQ($B72, "IQ_EFFECT_TAX_RATE",IQ_FY)/100</f>
        <v>#NAME?</v>
      </c>
      <c r="H72" s="526" t="e">
        <f ca="1">_xll.ciqfunctions.udf.CIQ($B72, "IQ_BETA_5YR",Current_Date)</f>
        <v>#NAME?</v>
      </c>
      <c r="I72" s="492" t="e">
        <f ca="1">_xll.ciqfunctions.udf.CIQ($B72, "IQ_DIVIDEND_YIELD",Current_Date)/100</f>
        <v>#NAME?</v>
      </c>
      <c r="J72" s="492" t="e">
        <f t="shared" ref="J72:J76" ca="1" si="101">(_xll.ciqfunctions.udf.CIQ($B72,"IQ_OPER_INC",IQ_LTM)*(1-G72))/(((_xll.ciqfunctions.udf.CIQ($B72,"IQ_TOTAL_DEBT",IQ_LTM))+_xll.ciqfunctions.udf.CIQ($B72,"IQ_TOTAL_EQUITY",IQ_LTM))-_xll.ciqfunctions.udf.CIQ($B72,"IQ_CASH_EQUIV",IQ_LTM))</f>
        <v>#NAME?</v>
      </c>
      <c r="K72" s="492" t="e">
        <f t="shared" ref="K72:K76" ca="1" si="102">_xll.ciqfunctions.udf.CIQ($B72, "IQ_RETURN_EQUITY",IQ_LTM)/100</f>
        <v>#NAME?</v>
      </c>
      <c r="L72" s="492" t="e">
        <f t="shared" ref="L72:L76" ca="1" si="103">_xll.ciqfunctions.udf.CIQ($B72, "IQ_RETURN_ASSETS",IQ_LTM)/100</f>
        <v>#NAME?</v>
      </c>
      <c r="M72" s="496" t="e">
        <f t="shared" ref="M72:M76" ca="1" si="104">_xll.ciqfunctions.udf.CIQ($B72, "IQ_TOTAL_DEBT_CAPITAL",IQ_FY)/100</f>
        <v>#NAME?</v>
      </c>
      <c r="N72" s="496" t="e">
        <f t="shared" ref="N72:N76" ca="1" si="105">_xll.ciqfunctions.udf.CIQ($B72, "IQ_TOTAL_DEBT_EBITDA",IQ_FY)</f>
        <v>#NAME?</v>
      </c>
      <c r="O72" s="496" t="e">
        <f t="shared" ref="O72:O76" ca="1" si="106">_xll.ciqfunctions.udf.CIQ($B72, "IQ_TOTAL_DEBT_EQUITY",IQ_FY)/100</f>
        <v>#NAME?</v>
      </c>
      <c r="P72" s="496" t="e">
        <f t="shared" ref="P72:P76" ca="1" si="107">_xll.ciqfunctions.udf.CIQ($B72, "IQ_EBITDA_INT",IQ_FY)</f>
        <v>#NAME?</v>
      </c>
      <c r="Q72" s="496" t="e">
        <f t="shared" ref="Q72:Q76" ca="1" si="108">_xll.ciqfunctions.udf.CIQ($B72, "IQ_EBITDA_CAPEX_INT",IQ_FY)</f>
        <v>#NAME?</v>
      </c>
      <c r="R72" s="496" t="e">
        <f t="shared" ref="R72:R76" ca="1" si="109">_xll.ciqfunctions.udf.CIQ($B72, "IQ_EBIT_INT",IQ_FY)</f>
        <v>#NAME?</v>
      </c>
      <c r="S72" s="496" t="e">
        <f t="shared" ref="S72:S76" ca="1" si="110">_xll.ciqfunctions.udf.CIQ($B72, "IQ_QUICK_RATIO",IQ_FY)</f>
        <v>#NAME?</v>
      </c>
      <c r="T72" s="496" t="e">
        <f t="shared" ref="T72:T76" ca="1" si="111">_xll.ciqfunctions.udf.CIQ($B72, "IQ_CURRENT_RATIO",IQ_FY)</f>
        <v>#NAME?</v>
      </c>
      <c r="U72" s="69" t="e">
        <f t="shared" ref="U72:U76" ca="1" si="112">_xll.ciqfunctions.udf.CIQ($B72, "IQ_SP_LC_LT",Current)</f>
        <v>#NAME?</v>
      </c>
      <c r="V72" s="69" t="e">
        <f t="shared" ref="V72:V76" ca="1" si="113">_xll.ciqfunctions.udf.CIQ($B72, "IQ_SP_OUTLOOK_WATCH",Current)</f>
        <v>#NAME?</v>
      </c>
      <c r="W72" s="12"/>
      <c r="X72" s="544" t="str">
        <f>I94</f>
        <v>IQ159230</v>
      </c>
      <c r="Y72" s="40"/>
      <c r="Z72" s="12" t="e">
        <f t="shared" ref="Z72:Z76" ca="1" si="114">Z53</f>
        <v>#NAME?</v>
      </c>
      <c r="AA72" s="12"/>
      <c r="AB72" s="69" t="str">
        <f>I93</f>
        <v>RTX</v>
      </c>
      <c r="AC72" s="492" t="e">
        <f t="shared" ref="AC72:AC76" ca="1" si="115">_xll.ciqfunctions.udf.CIQ($X72, "IQ_EFFECT_TAX_RATE",IQ_FY)/100</f>
        <v>#NAME?</v>
      </c>
      <c r="AD72" s="526" t="e">
        <f ca="1">_xll.ciqfunctions.udf.CIQ($X72, "IQ_BETA_5YR",Current_Date)</f>
        <v>#NAME?</v>
      </c>
      <c r="AE72" s="492" t="e">
        <f ca="1">_xll.ciqfunctions.udf.CIQ($X72, "IQ_DIVIDEND_YIELD",Current_Date)/100</f>
        <v>#NAME?</v>
      </c>
      <c r="AF72" s="492" t="e">
        <f t="shared" ref="AF72:AF76" ca="1" si="116">(_xll.ciqfunctions.udf.CIQ($X72,"IQ_OPER_INC",IQ_LTM)*(1-AC72))/(((_xll.ciqfunctions.udf.CIQ($X72,"IQ_TOTAL_DEBT",IQ_LTM))+_xll.ciqfunctions.udf.CIQ($X72,"IQ_TOTAL_EQUITY",IQ_LTM))-_xll.ciqfunctions.udf.CIQ($X72,"IQ_CASH_EQUIV",IQ_LTM))</f>
        <v>#NAME?</v>
      </c>
      <c r="AG72" s="492" t="e">
        <f t="shared" ref="AG72:AG76" ca="1" si="117">_xll.ciqfunctions.udf.CIQ($X72, "IQ_RETURN_EQUITY",IQ_LTM)/100</f>
        <v>#NAME?</v>
      </c>
      <c r="AH72" s="492" t="e">
        <f t="shared" ref="AH72:AH76" ca="1" si="118">_xll.ciqfunctions.udf.CIQ($X72, "IQ_RETURN_ASSETS",IQ_LTM)/100</f>
        <v>#NAME?</v>
      </c>
      <c r="AI72" s="496" t="e">
        <f t="shared" ref="AI72:AI76" ca="1" si="119">_xll.ciqfunctions.udf.CIQ($X72, "IQ_TOTAL_DEBT_CAPITAL",IQ_FY)/100</f>
        <v>#NAME?</v>
      </c>
      <c r="AJ72" s="496" t="e">
        <f t="shared" ref="AJ72:AJ76" ca="1" si="120">_xll.ciqfunctions.udf.CIQ($X72, "IQ_TOTAL_DEBT_EBITDA",IQ_FY)</f>
        <v>#NAME?</v>
      </c>
      <c r="AK72" s="496" t="e">
        <f t="shared" ref="AK72:AK76" ca="1" si="121">_xll.ciqfunctions.udf.CIQ($X72, "IQ_TOTAL_DEBT_EQUITY",IQ_FY)/100</f>
        <v>#NAME?</v>
      </c>
      <c r="AL72" s="496" t="e">
        <f t="shared" ref="AL72:AL76" ca="1" si="122">_xll.ciqfunctions.udf.CIQ($X72, "IQ_EBITDA_INT",IQ_FY)</f>
        <v>#NAME?</v>
      </c>
      <c r="AM72" s="496" t="e">
        <f t="shared" ref="AM72:AM76" ca="1" si="123">_xll.ciqfunctions.udf.CIQ($X72, "IQ_EBITDA_CAPEX_INT",IQ_FY)</f>
        <v>#NAME?</v>
      </c>
      <c r="AN72" s="496" t="e">
        <f t="shared" ref="AN72:AN76" ca="1" si="124">_xll.ciqfunctions.udf.CIQ($X72, "IQ_EBIT_INT",IQ_FY)</f>
        <v>#NAME?</v>
      </c>
      <c r="AO72" s="526" t="e">
        <f t="shared" ref="AO72:AO76" ca="1" si="125">_xll.ciqfunctions.udf.CIQ($X72, "IQ_QUICK_RATIO",IQ_FY)</f>
        <v>#NAME?</v>
      </c>
      <c r="AP72" s="526" t="e">
        <f t="shared" ref="AP72:AP76" ca="1" si="126">_xll.ciqfunctions.udf.CIQ($X72, "IQ_CURRENT_RATIO",IQ_FY)</f>
        <v>#NAME?</v>
      </c>
      <c r="AQ72" s="69" t="e">
        <f t="shared" ref="AQ72:AQ76" ca="1" si="127">_xll.ciqfunctions.udf.CIQ($X72, "IQ_SP_LC_LT",Current)</f>
        <v>#NAME?</v>
      </c>
      <c r="AR72" s="69" t="e">
        <f t="shared" ref="AR72:AR76" ca="1" si="128">_xll.ciqfunctions.udf.CIQ($X72, "IQ_SP_OUTLOOK_WATCH",Current)</f>
        <v>#NAME?</v>
      </c>
      <c r="AS72" s="4"/>
      <c r="AT72" s="544" t="str">
        <f>N94</f>
        <v>IQ289194</v>
      </c>
      <c r="AU72" s="40">
        <f t="shared" ref="AU72:AV72" si="129">AU53</f>
        <v>0</v>
      </c>
      <c r="AV72" s="12" t="e">
        <f t="shared" ca="1" si="129"/>
        <v>#NAME?</v>
      </c>
      <c r="AW72" s="12"/>
      <c r="AX72" s="69" t="str">
        <f t="shared" ref="AX72:AX76" si="130">AX53</f>
        <v>MMM</v>
      </c>
      <c r="AY72" s="492" t="e">
        <f t="shared" ref="AY72:AY76" ca="1" si="131">_xll.ciqfunctions.udf.CIQ($AT72, "IQ_EFFECT_TAX_RATE",IQ_FY)/100</f>
        <v>#NAME?</v>
      </c>
      <c r="AZ72" s="526" t="e">
        <f ca="1">_xll.ciqfunctions.udf.CIQ($AT72, "IQ_BETA_5YR",Current_Date)</f>
        <v>#NAME?</v>
      </c>
      <c r="BA72" s="492" t="e">
        <f ca="1">_xll.ciqfunctions.udf.CIQ($AT72, "IQ_DIVIDEND_YIELD",Current_Date)/100</f>
        <v>#NAME?</v>
      </c>
      <c r="BB72" s="492" t="e">
        <f t="shared" ref="BB72:BB76" ca="1" si="132">(_xll.ciqfunctions.udf.CIQ($AT72,"IQ_OPER_INC",IQ_LTM)*(1-AY72))/(((_xll.ciqfunctions.udf.CIQ($AT72,"IQ_TOTAL_DEBT",IQ_LTM))+_xll.ciqfunctions.udf.CIQ($AT72,"IQ_TOTAL_EQUITY",IQ_LTM))-_xll.ciqfunctions.udf.CIQ($AT72,"IQ_CASH_EQUIV",IQ_LTM))</f>
        <v>#NAME?</v>
      </c>
      <c r="BC72" s="492" t="e">
        <f t="shared" ref="BC72:BC76" ca="1" si="133">_xll.ciqfunctions.udf.CIQ($AT72, "IQ_RETURN_EQUITY",IQ_LTM)/100</f>
        <v>#NAME?</v>
      </c>
      <c r="BD72" s="492" t="e">
        <f t="shared" ref="BD72:BD76" ca="1" si="134">_xll.ciqfunctions.udf.CIQ($AT72, "IQ_RETURN_ASSETS",IQ_LTM)/100</f>
        <v>#NAME?</v>
      </c>
      <c r="BE72" s="496" t="e">
        <f t="shared" ref="BE72:BE76" ca="1" si="135">_xll.ciqfunctions.udf.CIQ($AT72, "IQ_TOTAL_DEBT_CAPITAL",IQ_FY)/100</f>
        <v>#NAME?</v>
      </c>
      <c r="BF72" s="496" t="e">
        <f t="shared" ref="BF72:BF76" ca="1" si="136">_xll.ciqfunctions.udf.CIQ($AT72, "IQ_TOTAL_DEBT_EBITDA",IQ_FY)</f>
        <v>#NAME?</v>
      </c>
      <c r="BG72" s="496" t="e">
        <f t="shared" ref="BG72:BG76" ca="1" si="137">_xll.ciqfunctions.udf.CIQ($AT72, "IQ_TOTAL_DEBT_EQUITY",IQ_FY)/100</f>
        <v>#NAME?</v>
      </c>
      <c r="BH72" s="496" t="e">
        <f t="shared" ref="BH72:BH76" ca="1" si="138">_xll.ciqfunctions.udf.CIQ($AT72, "IQ_EBITDA_INT",IQ_FY)</f>
        <v>#NAME?</v>
      </c>
      <c r="BI72" s="496" t="e">
        <f t="shared" ref="BI72:BI76" ca="1" si="139">_xll.ciqfunctions.udf.CIQ($AT72, "IQ_EBITDA_CAPEX_INT",IQ_FY)</f>
        <v>#NAME?</v>
      </c>
      <c r="BJ72" s="496" t="e">
        <f t="shared" ref="BJ72:BJ76" ca="1" si="140">_xll.ciqfunctions.udf.CIQ($AT72, "IQ_EBIT_INT",IQ_FY)</f>
        <v>#NAME?</v>
      </c>
      <c r="BK72" s="526" t="e">
        <f t="shared" ref="BK72:BK76" ca="1" si="141">_xll.ciqfunctions.udf.CIQ($AT72, "IQ_QUICK_RATIO",IQ_FY)</f>
        <v>#NAME?</v>
      </c>
      <c r="BL72" s="526" t="e">
        <f t="shared" ref="BL72:BL76" ca="1" si="142">_xll.ciqfunctions.udf.CIQ($AT72, "IQ_CURRENT_RATIO",IQ_FY)</f>
        <v>#NAME?</v>
      </c>
      <c r="BM72" s="69" t="e">
        <f t="shared" ref="BM72:BM76" ca="1" si="143">_xll.ciqfunctions.udf.CIQ($AT72, "IQ_SP_LC_LT",Current)</f>
        <v>#NAME?</v>
      </c>
      <c r="BN72" s="69" t="e">
        <f t="shared" ref="BN72:BN76" ca="1" si="144">_xll.ciqfunctions.udf.CIQ($AT72, "IQ_SP_OUTLOOK_WATCH",Current)</f>
        <v>#NAME?</v>
      </c>
    </row>
    <row r="73" spans="1:66" ht="13.5" customHeight="1" outlineLevel="1" collapsed="1">
      <c r="A73" s="4"/>
      <c r="B73" s="544" t="str">
        <f>E98</f>
        <v>IQ20765463</v>
      </c>
      <c r="C73" s="544"/>
      <c r="D73" s="12" t="e">
        <f t="shared" ca="1" si="99"/>
        <v>#NAME?</v>
      </c>
      <c r="E73" s="12"/>
      <c r="F73" s="69" t="str">
        <f>E97</f>
        <v>""</v>
      </c>
      <c r="G73" s="492" t="e">
        <f t="shared" ca="1" si="100"/>
        <v>#NAME?</v>
      </c>
      <c r="H73" s="526" t="e">
        <f ca="1">_xll.ciqfunctions.udf.CIQ($B73, "IQ_BETA_5YR",Current_Date)</f>
        <v>#NAME?</v>
      </c>
      <c r="I73" s="492" t="e">
        <f ca="1">_xll.ciqfunctions.udf.CIQ($B73, "IQ_DIVIDEND_YIELD",Current_Date)/100</f>
        <v>#NAME?</v>
      </c>
      <c r="J73" s="492" t="e">
        <f t="shared" ca="1" si="101"/>
        <v>#NAME?</v>
      </c>
      <c r="K73" s="492" t="e">
        <f t="shared" ca="1" si="102"/>
        <v>#NAME?</v>
      </c>
      <c r="L73" s="492" t="e">
        <f t="shared" ca="1" si="103"/>
        <v>#NAME?</v>
      </c>
      <c r="M73" s="496" t="e">
        <f t="shared" ca="1" si="104"/>
        <v>#NAME?</v>
      </c>
      <c r="N73" s="496" t="e">
        <f t="shared" ca="1" si="105"/>
        <v>#NAME?</v>
      </c>
      <c r="O73" s="496" t="e">
        <f t="shared" ca="1" si="106"/>
        <v>#NAME?</v>
      </c>
      <c r="P73" s="496" t="e">
        <f t="shared" ca="1" si="107"/>
        <v>#NAME?</v>
      </c>
      <c r="Q73" s="496" t="e">
        <f t="shared" ca="1" si="108"/>
        <v>#NAME?</v>
      </c>
      <c r="R73" s="496" t="e">
        <f t="shared" ca="1" si="109"/>
        <v>#NAME?</v>
      </c>
      <c r="S73" s="496" t="e">
        <f t="shared" ca="1" si="110"/>
        <v>#NAME?</v>
      </c>
      <c r="T73" s="496" t="e">
        <f t="shared" ca="1" si="111"/>
        <v>#NAME?</v>
      </c>
      <c r="U73" s="69" t="e">
        <f t="shared" ca="1" si="112"/>
        <v>#NAME?</v>
      </c>
      <c r="V73" s="69" t="e">
        <f t="shared" ca="1" si="113"/>
        <v>#NAME?</v>
      </c>
      <c r="W73" s="12"/>
      <c r="X73" s="544" t="str">
        <f>I98</f>
        <v>IQ370857</v>
      </c>
      <c r="Y73" s="40"/>
      <c r="Z73" s="12" t="e">
        <f t="shared" ca="1" si="114"/>
        <v>#NAME?</v>
      </c>
      <c r="AA73" s="12"/>
      <c r="AB73" s="69" t="str">
        <f>I97</f>
        <v>BA</v>
      </c>
      <c r="AC73" s="492" t="e">
        <f t="shared" ca="1" si="115"/>
        <v>#NAME?</v>
      </c>
      <c r="AD73" s="526" t="e">
        <f ca="1">_xll.ciqfunctions.udf.CIQ($X73, "IQ_BETA_5YR",Current_Date)</f>
        <v>#NAME?</v>
      </c>
      <c r="AE73" s="492" t="e">
        <f ca="1">_xll.ciqfunctions.udf.CIQ($X73, "IQ_DIVIDEND_YIELD",Current_Date)/100</f>
        <v>#NAME?</v>
      </c>
      <c r="AF73" s="492" t="e">
        <f t="shared" ca="1" si="116"/>
        <v>#NAME?</v>
      </c>
      <c r="AG73" s="492" t="e">
        <f t="shared" ca="1" si="117"/>
        <v>#NAME?</v>
      </c>
      <c r="AH73" s="492" t="e">
        <f t="shared" ca="1" si="118"/>
        <v>#NAME?</v>
      </c>
      <c r="AI73" s="496" t="e">
        <f t="shared" ca="1" si="119"/>
        <v>#NAME?</v>
      </c>
      <c r="AJ73" s="496" t="e">
        <f t="shared" ca="1" si="120"/>
        <v>#NAME?</v>
      </c>
      <c r="AK73" s="496" t="e">
        <f t="shared" ca="1" si="121"/>
        <v>#NAME?</v>
      </c>
      <c r="AL73" s="496" t="e">
        <f t="shared" ca="1" si="122"/>
        <v>#NAME?</v>
      </c>
      <c r="AM73" s="496" t="e">
        <f t="shared" ca="1" si="123"/>
        <v>#NAME?</v>
      </c>
      <c r="AN73" s="496" t="e">
        <f t="shared" ca="1" si="124"/>
        <v>#NAME?</v>
      </c>
      <c r="AO73" s="526" t="e">
        <f t="shared" ca="1" si="125"/>
        <v>#NAME?</v>
      </c>
      <c r="AP73" s="526" t="e">
        <f t="shared" ca="1" si="126"/>
        <v>#NAME?</v>
      </c>
      <c r="AQ73" s="69" t="e">
        <f t="shared" ca="1" si="127"/>
        <v>#NAME?</v>
      </c>
      <c r="AR73" s="69" t="e">
        <f t="shared" ca="1" si="128"/>
        <v>#NAME?</v>
      </c>
      <c r="AS73" s="4"/>
      <c r="AT73" s="544" t="str">
        <f>N98</f>
        <v>IQ177031</v>
      </c>
      <c r="AU73" s="40">
        <f>AU96</f>
        <v>0</v>
      </c>
      <c r="AV73" s="12" t="e">
        <f t="shared" ref="AV73:AV76" ca="1" si="145">AV54</f>
        <v>#NAME?</v>
      </c>
      <c r="AW73" s="12"/>
      <c r="AX73" s="69" t="str">
        <f t="shared" si="130"/>
        <v>GE</v>
      </c>
      <c r="AY73" s="492" t="e">
        <f t="shared" ca="1" si="131"/>
        <v>#NAME?</v>
      </c>
      <c r="AZ73" s="526" t="e">
        <f ca="1">_xll.ciqfunctions.udf.CIQ($AT73, "IQ_BETA_5YR",Current_Date)</f>
        <v>#NAME?</v>
      </c>
      <c r="BA73" s="492" t="e">
        <f ca="1">_xll.ciqfunctions.udf.CIQ($AT73, "IQ_DIVIDEND_YIELD",Current_Date)/100</f>
        <v>#NAME?</v>
      </c>
      <c r="BB73" s="492" t="e">
        <f t="shared" ca="1" si="132"/>
        <v>#NAME?</v>
      </c>
      <c r="BC73" s="492" t="e">
        <f t="shared" ca="1" si="133"/>
        <v>#NAME?</v>
      </c>
      <c r="BD73" s="492" t="e">
        <f t="shared" ca="1" si="134"/>
        <v>#NAME?</v>
      </c>
      <c r="BE73" s="496" t="e">
        <f t="shared" ca="1" si="135"/>
        <v>#NAME?</v>
      </c>
      <c r="BF73" s="496" t="e">
        <f t="shared" ca="1" si="136"/>
        <v>#NAME?</v>
      </c>
      <c r="BG73" s="496" t="e">
        <f t="shared" ca="1" si="137"/>
        <v>#NAME?</v>
      </c>
      <c r="BH73" s="496" t="e">
        <f t="shared" ca="1" si="138"/>
        <v>#NAME?</v>
      </c>
      <c r="BI73" s="496" t="e">
        <f t="shared" ca="1" si="139"/>
        <v>#NAME?</v>
      </c>
      <c r="BJ73" s="496" t="e">
        <f t="shared" ca="1" si="140"/>
        <v>#NAME?</v>
      </c>
      <c r="BK73" s="526" t="e">
        <f t="shared" ca="1" si="141"/>
        <v>#NAME?</v>
      </c>
      <c r="BL73" s="526" t="e">
        <f t="shared" ca="1" si="142"/>
        <v>#NAME?</v>
      </c>
      <c r="BM73" s="69" t="e">
        <f t="shared" ca="1" si="143"/>
        <v>#NAME?</v>
      </c>
      <c r="BN73" s="69" t="e">
        <f t="shared" ca="1" si="144"/>
        <v>#NAME?</v>
      </c>
    </row>
    <row r="74" spans="1:66" ht="13.5" customHeight="1" outlineLevel="1" collapsed="1">
      <c r="A74" s="4"/>
      <c r="B74" s="544" t="str">
        <f>E102</f>
        <v>IQ21835</v>
      </c>
      <c r="C74" s="544"/>
      <c r="D74" s="12" t="e">
        <f t="shared" ca="1" si="99"/>
        <v>#NAME?</v>
      </c>
      <c r="E74" s="12"/>
      <c r="F74" s="69" t="str">
        <f>E101</f>
        <v>""</v>
      </c>
      <c r="G74" s="492" t="e">
        <f t="shared" ca="1" si="100"/>
        <v>#NAME?</v>
      </c>
      <c r="H74" s="526" t="e">
        <f ca="1">_xll.ciqfunctions.udf.CIQ($B74, "IQ_BETA_5YR",Current_Date)</f>
        <v>#NAME?</v>
      </c>
      <c r="I74" s="492" t="e">
        <f ca="1">_xll.ciqfunctions.udf.CIQ($B74, "IQ_DIVIDEND_YIELD",Current_Date)/100</f>
        <v>#NAME?</v>
      </c>
      <c r="J74" s="492" t="e">
        <f t="shared" ca="1" si="101"/>
        <v>#NAME?</v>
      </c>
      <c r="K74" s="492" t="e">
        <f t="shared" ca="1" si="102"/>
        <v>#NAME?</v>
      </c>
      <c r="L74" s="492" t="e">
        <f t="shared" ca="1" si="103"/>
        <v>#NAME?</v>
      </c>
      <c r="M74" s="496" t="e">
        <f t="shared" ca="1" si="104"/>
        <v>#NAME?</v>
      </c>
      <c r="N74" s="496" t="e">
        <f t="shared" ca="1" si="105"/>
        <v>#NAME?</v>
      </c>
      <c r="O74" s="496" t="e">
        <f t="shared" ca="1" si="106"/>
        <v>#NAME?</v>
      </c>
      <c r="P74" s="496" t="e">
        <f t="shared" ca="1" si="107"/>
        <v>#NAME?</v>
      </c>
      <c r="Q74" s="496" t="e">
        <f t="shared" ca="1" si="108"/>
        <v>#NAME?</v>
      </c>
      <c r="R74" s="496" t="e">
        <f t="shared" ca="1" si="109"/>
        <v>#NAME?</v>
      </c>
      <c r="S74" s="496" t="e">
        <f t="shared" ca="1" si="110"/>
        <v>#NAME?</v>
      </c>
      <c r="T74" s="496" t="e">
        <f t="shared" ca="1" si="111"/>
        <v>#NAME?</v>
      </c>
      <c r="U74" s="69" t="e">
        <f t="shared" ca="1" si="112"/>
        <v>#NAME?</v>
      </c>
      <c r="V74" s="69" t="e">
        <f t="shared" ca="1" si="113"/>
        <v>#NAME?</v>
      </c>
      <c r="W74" s="12"/>
      <c r="X74" s="544" t="str">
        <f>I102</f>
        <v>IQ363263</v>
      </c>
      <c r="Y74" s="40"/>
      <c r="Z74" s="12" t="e">
        <f t="shared" ca="1" si="114"/>
        <v>#NAME?</v>
      </c>
      <c r="AA74" s="12"/>
      <c r="AB74" s="69" t="str">
        <f>I101</f>
        <v>HII</v>
      </c>
      <c r="AC74" s="492" t="e">
        <f t="shared" ca="1" si="115"/>
        <v>#NAME?</v>
      </c>
      <c r="AD74" s="526" t="e">
        <f ca="1">_xll.ciqfunctions.udf.CIQ($X74, "IQ_BETA_5YR",Current_Date)</f>
        <v>#NAME?</v>
      </c>
      <c r="AE74" s="492" t="e">
        <f ca="1">_xll.ciqfunctions.udf.CIQ($X74, "IQ_DIVIDEND_YIELD",Current_Date)/100</f>
        <v>#NAME?</v>
      </c>
      <c r="AF74" s="492" t="e">
        <f t="shared" ca="1" si="116"/>
        <v>#NAME?</v>
      </c>
      <c r="AG74" s="492" t="e">
        <f t="shared" ca="1" si="117"/>
        <v>#NAME?</v>
      </c>
      <c r="AH74" s="492" t="e">
        <f t="shared" ca="1" si="118"/>
        <v>#NAME?</v>
      </c>
      <c r="AI74" s="496" t="e">
        <f t="shared" ca="1" si="119"/>
        <v>#NAME?</v>
      </c>
      <c r="AJ74" s="496" t="e">
        <f t="shared" ca="1" si="120"/>
        <v>#NAME?</v>
      </c>
      <c r="AK74" s="496" t="e">
        <f t="shared" ca="1" si="121"/>
        <v>#NAME?</v>
      </c>
      <c r="AL74" s="496" t="e">
        <f t="shared" ca="1" si="122"/>
        <v>#NAME?</v>
      </c>
      <c r="AM74" s="496" t="e">
        <f t="shared" ca="1" si="123"/>
        <v>#NAME?</v>
      </c>
      <c r="AN74" s="496" t="e">
        <f t="shared" ca="1" si="124"/>
        <v>#NAME?</v>
      </c>
      <c r="AO74" s="526" t="e">
        <f t="shared" ca="1" si="125"/>
        <v>#NAME?</v>
      </c>
      <c r="AP74" s="526" t="e">
        <f t="shared" ca="1" si="126"/>
        <v>#NAME?</v>
      </c>
      <c r="AQ74" s="69" t="e">
        <f t="shared" ca="1" si="127"/>
        <v>#NAME?</v>
      </c>
      <c r="AR74" s="69" t="e">
        <f t="shared" ca="1" si="128"/>
        <v>#NAME?</v>
      </c>
      <c r="AS74" s="4"/>
      <c r="AT74" s="544" t="str">
        <f>N102</f>
        <v>IQ1340740</v>
      </c>
      <c r="AU74" s="40">
        <f>AU100</f>
        <v>0</v>
      </c>
      <c r="AV74" s="12" t="e">
        <f t="shared" ca="1" si="145"/>
        <v>#NAME?</v>
      </c>
      <c r="AW74" s="12"/>
      <c r="AX74" s="69" t="str">
        <f t="shared" si="130"/>
        <v>HON</v>
      </c>
      <c r="AY74" s="492" t="e">
        <f t="shared" ca="1" si="131"/>
        <v>#NAME?</v>
      </c>
      <c r="AZ74" s="526" t="e">
        <f ca="1">_xll.ciqfunctions.udf.CIQ($AT74, "IQ_BETA_5YR",Current_Date)</f>
        <v>#NAME?</v>
      </c>
      <c r="BA74" s="492" t="e">
        <f ca="1">_xll.ciqfunctions.udf.CIQ($AT74, "IQ_DIVIDEND_YIELD",Current_Date)/100</f>
        <v>#NAME?</v>
      </c>
      <c r="BB74" s="492" t="e">
        <f t="shared" ca="1" si="132"/>
        <v>#NAME?</v>
      </c>
      <c r="BC74" s="492" t="e">
        <f t="shared" ca="1" si="133"/>
        <v>#NAME?</v>
      </c>
      <c r="BD74" s="492" t="e">
        <f t="shared" ca="1" si="134"/>
        <v>#NAME?</v>
      </c>
      <c r="BE74" s="496" t="e">
        <f t="shared" ca="1" si="135"/>
        <v>#NAME?</v>
      </c>
      <c r="BF74" s="496" t="e">
        <f t="shared" ca="1" si="136"/>
        <v>#NAME?</v>
      </c>
      <c r="BG74" s="496" t="e">
        <f t="shared" ca="1" si="137"/>
        <v>#NAME?</v>
      </c>
      <c r="BH74" s="496" t="e">
        <f t="shared" ca="1" si="138"/>
        <v>#NAME?</v>
      </c>
      <c r="BI74" s="496" t="e">
        <f t="shared" ca="1" si="139"/>
        <v>#NAME?</v>
      </c>
      <c r="BJ74" s="496" t="e">
        <f t="shared" ca="1" si="140"/>
        <v>#NAME?</v>
      </c>
      <c r="BK74" s="526" t="e">
        <f t="shared" ca="1" si="141"/>
        <v>#NAME?</v>
      </c>
      <c r="BL74" s="526" t="e">
        <f t="shared" ca="1" si="142"/>
        <v>#NAME?</v>
      </c>
      <c r="BM74" s="69" t="e">
        <f t="shared" ca="1" si="143"/>
        <v>#NAME?</v>
      </c>
      <c r="BN74" s="69" t="e">
        <f t="shared" ca="1" si="144"/>
        <v>#NAME?</v>
      </c>
    </row>
    <row r="75" spans="1:66" ht="13.5" customHeight="1" outlineLevel="1" collapsed="1">
      <c r="A75" s="4"/>
      <c r="B75" s="544" t="str">
        <f>E106</f>
        <v>IQ224055283</v>
      </c>
      <c r="C75" s="544"/>
      <c r="D75" s="12" t="e">
        <f t="shared" ca="1" si="99"/>
        <v>#NAME?</v>
      </c>
      <c r="E75" s="12"/>
      <c r="F75" s="69" t="str">
        <f>E105</f>
        <v>""</v>
      </c>
      <c r="G75" s="492" t="e">
        <f t="shared" ca="1" si="100"/>
        <v>#NAME?</v>
      </c>
      <c r="H75" s="526" t="e">
        <f ca="1">_xll.ciqfunctions.udf.CIQ($B75, "IQ_BETA_5YR",Current_Date)</f>
        <v>#NAME?</v>
      </c>
      <c r="I75" s="492" t="e">
        <f ca="1">_xll.ciqfunctions.udf.CIQ($B75, "IQ_DIVIDEND_YIELD",Current_Date)/100</f>
        <v>#NAME?</v>
      </c>
      <c r="J75" s="492" t="e">
        <f t="shared" ca="1" si="101"/>
        <v>#NAME?</v>
      </c>
      <c r="K75" s="492" t="e">
        <f t="shared" ca="1" si="102"/>
        <v>#NAME?</v>
      </c>
      <c r="L75" s="492" t="e">
        <f t="shared" ca="1" si="103"/>
        <v>#NAME?</v>
      </c>
      <c r="M75" s="496" t="e">
        <f t="shared" ca="1" si="104"/>
        <v>#NAME?</v>
      </c>
      <c r="N75" s="496" t="e">
        <f t="shared" ca="1" si="105"/>
        <v>#NAME?</v>
      </c>
      <c r="O75" s="496" t="e">
        <f t="shared" ca="1" si="106"/>
        <v>#NAME?</v>
      </c>
      <c r="P75" s="496" t="e">
        <f t="shared" ca="1" si="107"/>
        <v>#NAME?</v>
      </c>
      <c r="Q75" s="496" t="e">
        <f t="shared" ca="1" si="108"/>
        <v>#NAME?</v>
      </c>
      <c r="R75" s="496" t="e">
        <f t="shared" ca="1" si="109"/>
        <v>#NAME?</v>
      </c>
      <c r="S75" s="496" t="e">
        <f t="shared" ca="1" si="110"/>
        <v>#NAME?</v>
      </c>
      <c r="T75" s="496" t="e">
        <f t="shared" ca="1" si="111"/>
        <v>#NAME?</v>
      </c>
      <c r="U75" s="69" t="e">
        <f t="shared" ca="1" si="112"/>
        <v>#NAME?</v>
      </c>
      <c r="V75" s="69" t="e">
        <f t="shared" ca="1" si="113"/>
        <v>#NAME?</v>
      </c>
      <c r="W75" s="12"/>
      <c r="X75" s="544" t="str">
        <f>I106</f>
        <v>IQ285827</v>
      </c>
      <c r="Y75" s="40"/>
      <c r="Z75" s="12" t="e">
        <f t="shared" ca="1" si="114"/>
        <v>#NAME?</v>
      </c>
      <c r="AA75" s="12"/>
      <c r="AB75" s="69" t="str">
        <f>I105</f>
        <v>LMT</v>
      </c>
      <c r="AC75" s="492" t="e">
        <f t="shared" ca="1" si="115"/>
        <v>#NAME?</v>
      </c>
      <c r="AD75" s="526" t="e">
        <f ca="1">_xll.ciqfunctions.udf.CIQ($X75, "IQ_BETA_5YR",Current_Date)</f>
        <v>#NAME?</v>
      </c>
      <c r="AE75" s="492" t="e">
        <f ca="1">_xll.ciqfunctions.udf.CIQ($X75, "IQ_DIVIDEND_YIELD",Current_Date)/100</f>
        <v>#NAME?</v>
      </c>
      <c r="AF75" s="492" t="e">
        <f t="shared" ca="1" si="116"/>
        <v>#NAME?</v>
      </c>
      <c r="AG75" s="492" t="e">
        <f t="shared" ca="1" si="117"/>
        <v>#NAME?</v>
      </c>
      <c r="AH75" s="492" t="e">
        <f t="shared" ca="1" si="118"/>
        <v>#NAME?</v>
      </c>
      <c r="AI75" s="496" t="e">
        <f t="shared" ca="1" si="119"/>
        <v>#NAME?</v>
      </c>
      <c r="AJ75" s="496" t="e">
        <f t="shared" ca="1" si="120"/>
        <v>#NAME?</v>
      </c>
      <c r="AK75" s="496" t="e">
        <f t="shared" ca="1" si="121"/>
        <v>#NAME?</v>
      </c>
      <c r="AL75" s="496" t="e">
        <f t="shared" ca="1" si="122"/>
        <v>#NAME?</v>
      </c>
      <c r="AM75" s="496" t="e">
        <f t="shared" ca="1" si="123"/>
        <v>#NAME?</v>
      </c>
      <c r="AN75" s="496" t="e">
        <f t="shared" ca="1" si="124"/>
        <v>#NAME?</v>
      </c>
      <c r="AO75" s="526" t="e">
        <f t="shared" ca="1" si="125"/>
        <v>#NAME?</v>
      </c>
      <c r="AP75" s="526" t="e">
        <f t="shared" ca="1" si="126"/>
        <v>#NAME?</v>
      </c>
      <c r="AQ75" s="69" t="e">
        <f t="shared" ca="1" si="127"/>
        <v>#NAME?</v>
      </c>
      <c r="AR75" s="69" t="e">
        <f t="shared" ca="1" si="128"/>
        <v>#NAME?</v>
      </c>
      <c r="AS75" s="4"/>
      <c r="AT75" s="544" t="str">
        <f>N106</f>
        <v>IQ22751</v>
      </c>
      <c r="AU75" s="40">
        <f>AU104</f>
        <v>0</v>
      </c>
      <c r="AV75" s="12" t="e">
        <f t="shared" ca="1" si="145"/>
        <v>#NAME?</v>
      </c>
      <c r="AW75" s="12"/>
      <c r="AX75" s="69" t="str">
        <f t="shared" si="130"/>
        <v>ROP</v>
      </c>
      <c r="AY75" s="492" t="e">
        <f t="shared" ca="1" si="131"/>
        <v>#NAME?</v>
      </c>
      <c r="AZ75" s="526" t="e">
        <f ca="1">_xll.ciqfunctions.udf.CIQ($AT75, "IQ_BETA_5YR",Current_Date)</f>
        <v>#NAME?</v>
      </c>
      <c r="BA75" s="492" t="e">
        <f ca="1">_xll.ciqfunctions.udf.CIQ($AT75, "IQ_DIVIDEND_YIELD",Current_Date)/100</f>
        <v>#NAME?</v>
      </c>
      <c r="BB75" s="492" t="e">
        <f t="shared" ca="1" si="132"/>
        <v>#NAME?</v>
      </c>
      <c r="BC75" s="492" t="e">
        <f t="shared" ca="1" si="133"/>
        <v>#NAME?</v>
      </c>
      <c r="BD75" s="492" t="e">
        <f t="shared" ca="1" si="134"/>
        <v>#NAME?</v>
      </c>
      <c r="BE75" s="496" t="e">
        <f t="shared" ca="1" si="135"/>
        <v>#NAME?</v>
      </c>
      <c r="BF75" s="496" t="e">
        <f t="shared" ca="1" si="136"/>
        <v>#NAME?</v>
      </c>
      <c r="BG75" s="496" t="e">
        <f t="shared" ca="1" si="137"/>
        <v>#NAME?</v>
      </c>
      <c r="BH75" s="496" t="e">
        <f t="shared" ca="1" si="138"/>
        <v>#NAME?</v>
      </c>
      <c r="BI75" s="496" t="e">
        <f t="shared" ca="1" si="139"/>
        <v>#NAME?</v>
      </c>
      <c r="BJ75" s="496" t="e">
        <f t="shared" ca="1" si="140"/>
        <v>#NAME?</v>
      </c>
      <c r="BK75" s="526" t="e">
        <f t="shared" ca="1" si="141"/>
        <v>#NAME?</v>
      </c>
      <c r="BL75" s="526" t="e">
        <f t="shared" ca="1" si="142"/>
        <v>#NAME?</v>
      </c>
      <c r="BM75" s="69" t="e">
        <f t="shared" ca="1" si="143"/>
        <v>#NAME?</v>
      </c>
      <c r="BN75" s="69" t="e">
        <f t="shared" ca="1" si="144"/>
        <v>#NAME?</v>
      </c>
    </row>
    <row r="76" spans="1:66" ht="13.5" customHeight="1" outlineLevel="1" collapsed="1">
      <c r="A76" s="4"/>
      <c r="B76" s="544" t="str">
        <f>E110</f>
        <v>IQ29096</v>
      </c>
      <c r="C76" s="544"/>
      <c r="D76" s="12" t="e">
        <f t="shared" ca="1" si="99"/>
        <v>#NAME?</v>
      </c>
      <c r="E76" s="12"/>
      <c r="F76" s="69" t="str">
        <f>E109</f>
        <v>""</v>
      </c>
      <c r="G76" s="492" t="e">
        <f t="shared" ca="1" si="100"/>
        <v>#NAME?</v>
      </c>
      <c r="H76" s="526" t="e">
        <f ca="1">_xll.ciqfunctions.udf.CIQ($B76, "IQ_BETA_5YR",Current_Date)</f>
        <v>#NAME?</v>
      </c>
      <c r="I76" s="492" t="e">
        <f ca="1">_xll.ciqfunctions.udf.CIQ($B76, "IQ_DIVIDEND_YIELD",Current_Date)/100</f>
        <v>#NAME?</v>
      </c>
      <c r="J76" s="492" t="e">
        <f t="shared" ca="1" si="101"/>
        <v>#NAME?</v>
      </c>
      <c r="K76" s="492" t="e">
        <f t="shared" ca="1" si="102"/>
        <v>#NAME?</v>
      </c>
      <c r="L76" s="492" t="e">
        <f t="shared" ca="1" si="103"/>
        <v>#NAME?</v>
      </c>
      <c r="M76" s="496" t="e">
        <f t="shared" ca="1" si="104"/>
        <v>#NAME?</v>
      </c>
      <c r="N76" s="496" t="e">
        <f t="shared" ca="1" si="105"/>
        <v>#NAME?</v>
      </c>
      <c r="O76" s="496" t="e">
        <f t="shared" ca="1" si="106"/>
        <v>#NAME?</v>
      </c>
      <c r="P76" s="496" t="e">
        <f t="shared" ca="1" si="107"/>
        <v>#NAME?</v>
      </c>
      <c r="Q76" s="496" t="e">
        <f t="shared" ca="1" si="108"/>
        <v>#NAME?</v>
      </c>
      <c r="R76" s="496" t="e">
        <f t="shared" ca="1" si="109"/>
        <v>#NAME?</v>
      </c>
      <c r="S76" s="496" t="e">
        <f t="shared" ca="1" si="110"/>
        <v>#NAME?</v>
      </c>
      <c r="T76" s="496" t="e">
        <f t="shared" ca="1" si="111"/>
        <v>#NAME?</v>
      </c>
      <c r="U76" s="69" t="e">
        <f t="shared" ca="1" si="112"/>
        <v>#NAME?</v>
      </c>
      <c r="V76" s="69" t="e">
        <f t="shared" ca="1" si="113"/>
        <v>#NAME?</v>
      </c>
      <c r="W76" s="12"/>
      <c r="X76" s="544" t="str">
        <f>I110</f>
        <v>IQ97199</v>
      </c>
      <c r="Y76" s="40"/>
      <c r="Z76" s="12" t="e">
        <f t="shared" ca="1" si="114"/>
        <v>#NAME?</v>
      </c>
      <c r="AA76" s="12"/>
      <c r="AB76" s="69" t="str">
        <f>I109</f>
        <v>NOC</v>
      </c>
      <c r="AC76" s="492" t="e">
        <f t="shared" ca="1" si="115"/>
        <v>#NAME?</v>
      </c>
      <c r="AD76" s="526" t="e">
        <f ca="1">_xll.ciqfunctions.udf.CIQ($X76, "IQ_BETA_5YR",Current_Date)</f>
        <v>#NAME?</v>
      </c>
      <c r="AE76" s="492" t="e">
        <f ca="1">_xll.ciqfunctions.udf.CIQ($X76, "IQ_DIVIDEND_YIELD",Current_Date)/100</f>
        <v>#NAME?</v>
      </c>
      <c r="AF76" s="492" t="e">
        <f t="shared" ca="1" si="116"/>
        <v>#NAME?</v>
      </c>
      <c r="AG76" s="492" t="e">
        <f t="shared" ca="1" si="117"/>
        <v>#NAME?</v>
      </c>
      <c r="AH76" s="492" t="e">
        <f t="shared" ca="1" si="118"/>
        <v>#NAME?</v>
      </c>
      <c r="AI76" s="496" t="e">
        <f t="shared" ca="1" si="119"/>
        <v>#NAME?</v>
      </c>
      <c r="AJ76" s="496" t="e">
        <f t="shared" ca="1" si="120"/>
        <v>#NAME?</v>
      </c>
      <c r="AK76" s="496" t="e">
        <f t="shared" ca="1" si="121"/>
        <v>#NAME?</v>
      </c>
      <c r="AL76" s="496" t="e">
        <f t="shared" ca="1" si="122"/>
        <v>#NAME?</v>
      </c>
      <c r="AM76" s="496" t="e">
        <f t="shared" ca="1" si="123"/>
        <v>#NAME?</v>
      </c>
      <c r="AN76" s="496" t="e">
        <f t="shared" ca="1" si="124"/>
        <v>#NAME?</v>
      </c>
      <c r="AO76" s="526" t="e">
        <f t="shared" ca="1" si="125"/>
        <v>#NAME?</v>
      </c>
      <c r="AP76" s="526" t="e">
        <f t="shared" ca="1" si="126"/>
        <v>#NAME?</v>
      </c>
      <c r="AQ76" s="69" t="e">
        <f t="shared" ca="1" si="127"/>
        <v>#NAME?</v>
      </c>
      <c r="AR76" s="69" t="e">
        <f t="shared" ca="1" si="128"/>
        <v>#NAME?</v>
      </c>
      <c r="AS76" s="4"/>
      <c r="AT76" s="544" t="str">
        <f>N110</f>
        <v>IQ269231</v>
      </c>
      <c r="AU76" s="40">
        <f>AU108</f>
        <v>0</v>
      </c>
      <c r="AV76" s="12" t="e">
        <f t="shared" ca="1" si="145"/>
        <v>#NAME?</v>
      </c>
      <c r="AW76" s="12"/>
      <c r="AX76" s="69" t="str">
        <f t="shared" si="130"/>
        <v>EMR</v>
      </c>
      <c r="AY76" s="492" t="e">
        <f t="shared" ca="1" si="131"/>
        <v>#NAME?</v>
      </c>
      <c r="AZ76" s="526" t="e">
        <f ca="1">_xll.ciqfunctions.udf.CIQ($AT76, "IQ_BETA_5YR",Current_Date)</f>
        <v>#NAME?</v>
      </c>
      <c r="BA76" s="492" t="e">
        <f ca="1">_xll.ciqfunctions.udf.CIQ($AT76, "IQ_DIVIDEND_YIELD",Current_Date)/100</f>
        <v>#NAME?</v>
      </c>
      <c r="BB76" s="492" t="e">
        <f t="shared" ca="1" si="132"/>
        <v>#NAME?</v>
      </c>
      <c r="BC76" s="492" t="e">
        <f t="shared" ca="1" si="133"/>
        <v>#NAME?</v>
      </c>
      <c r="BD76" s="492" t="e">
        <f t="shared" ca="1" si="134"/>
        <v>#NAME?</v>
      </c>
      <c r="BE76" s="496" t="e">
        <f t="shared" ca="1" si="135"/>
        <v>#NAME?</v>
      </c>
      <c r="BF76" s="496" t="e">
        <f t="shared" ca="1" si="136"/>
        <v>#NAME?</v>
      </c>
      <c r="BG76" s="496" t="e">
        <f t="shared" ca="1" si="137"/>
        <v>#NAME?</v>
      </c>
      <c r="BH76" s="496" t="e">
        <f t="shared" ca="1" si="138"/>
        <v>#NAME?</v>
      </c>
      <c r="BI76" s="496" t="e">
        <f t="shared" ca="1" si="139"/>
        <v>#NAME?</v>
      </c>
      <c r="BJ76" s="496" t="e">
        <f t="shared" ca="1" si="140"/>
        <v>#NAME?</v>
      </c>
      <c r="BK76" s="526" t="e">
        <f t="shared" ca="1" si="141"/>
        <v>#NAME?</v>
      </c>
      <c r="BL76" s="526" t="e">
        <f t="shared" ca="1" si="142"/>
        <v>#NAME?</v>
      </c>
      <c r="BM76" s="69" t="e">
        <f t="shared" ca="1" si="143"/>
        <v>#NAME?</v>
      </c>
      <c r="BN76" s="69" t="e">
        <f t="shared" ca="1" si="144"/>
        <v>#NAME?</v>
      </c>
    </row>
    <row r="77" spans="1:66" ht="13.5" customHeight="1" outlineLevel="1" collapsed="1">
      <c r="A77" s="4"/>
      <c r="B77" s="4"/>
      <c r="C77" s="4"/>
      <c r="D77" s="100"/>
      <c r="E77" s="12"/>
      <c r="F77" s="69"/>
      <c r="G77" s="552"/>
      <c r="H77" s="69"/>
      <c r="I77" s="552"/>
      <c r="J77" s="69"/>
      <c r="K77" s="69"/>
      <c r="L77" s="69"/>
      <c r="M77" s="69"/>
      <c r="N77" s="69"/>
      <c r="O77" s="485"/>
      <c r="P77" s="496"/>
      <c r="Q77" s="496"/>
      <c r="R77" s="496"/>
      <c r="S77" s="160"/>
      <c r="T77" s="69"/>
      <c r="U77" s="578"/>
      <c r="V77" s="578"/>
      <c r="W77" s="12"/>
      <c r="X77" s="4"/>
      <c r="Y77" s="40"/>
      <c r="Z77" s="100"/>
      <c r="AA77" s="12"/>
      <c r="AB77" s="69"/>
      <c r="AC77" s="552"/>
      <c r="AD77" s="69"/>
      <c r="AE77" s="552"/>
      <c r="AF77" s="69"/>
      <c r="AG77" s="69"/>
      <c r="AH77" s="69"/>
      <c r="AI77" s="69"/>
      <c r="AJ77" s="69"/>
      <c r="AK77" s="485"/>
      <c r="AL77" s="496"/>
      <c r="AM77" s="496"/>
      <c r="AN77" s="496"/>
      <c r="AO77" s="160"/>
      <c r="AP77" s="69"/>
      <c r="AQ77" s="578"/>
      <c r="AR77" s="578"/>
      <c r="AS77" s="4"/>
      <c r="AT77" s="4"/>
      <c r="AU77" s="40"/>
      <c r="AV77" s="100"/>
      <c r="AW77" s="12"/>
      <c r="AX77" s="69"/>
      <c r="AY77" s="552"/>
      <c r="AZ77" s="69"/>
      <c r="BA77" s="552"/>
      <c r="BB77" s="69"/>
      <c r="BC77" s="69"/>
      <c r="BD77" s="69"/>
      <c r="BE77" s="69"/>
      <c r="BF77" s="69"/>
      <c r="BG77" s="485"/>
      <c r="BH77" s="496"/>
      <c r="BI77" s="496"/>
      <c r="BJ77" s="496"/>
      <c r="BK77" s="160"/>
      <c r="BL77" s="69"/>
      <c r="BM77" s="578"/>
      <c r="BN77" s="578"/>
    </row>
    <row r="78" spans="1:66" ht="13.5" customHeight="1" outlineLevel="1" collapsed="1">
      <c r="A78" s="4"/>
      <c r="B78" s="40"/>
      <c r="C78" s="40"/>
      <c r="D78" s="553" t="str">
        <f t="shared" ref="D78:D81" si="146">D36</f>
        <v>High</v>
      </c>
      <c r="E78" s="554"/>
      <c r="F78" s="555"/>
      <c r="G78" s="556" t="e">
        <f t="shared" ref="G78:T78" ca="1" si="147">MAX(G72:G76)</f>
        <v>#NAME?</v>
      </c>
      <c r="H78" s="579" t="e">
        <f t="shared" ca="1" si="147"/>
        <v>#NAME?</v>
      </c>
      <c r="I78" s="557" t="e">
        <f t="shared" ca="1" si="147"/>
        <v>#NAME?</v>
      </c>
      <c r="J78" s="557" t="e">
        <f t="shared" ca="1" si="147"/>
        <v>#NAME?</v>
      </c>
      <c r="K78" s="557" t="e">
        <f t="shared" ca="1" si="147"/>
        <v>#NAME?</v>
      </c>
      <c r="L78" s="557" t="e">
        <f t="shared" ca="1" si="147"/>
        <v>#NAME?</v>
      </c>
      <c r="M78" s="558" t="e">
        <f t="shared" ca="1" si="147"/>
        <v>#NAME?</v>
      </c>
      <c r="N78" s="557" t="e">
        <f t="shared" ca="1" si="147"/>
        <v>#NAME?</v>
      </c>
      <c r="O78" s="557" t="e">
        <f t="shared" ca="1" si="147"/>
        <v>#NAME?</v>
      </c>
      <c r="P78" s="558" t="e">
        <f t="shared" ca="1" si="147"/>
        <v>#NAME?</v>
      </c>
      <c r="Q78" s="558" t="e">
        <f t="shared" ca="1" si="147"/>
        <v>#NAME?</v>
      </c>
      <c r="R78" s="558" t="e">
        <f t="shared" ca="1" si="147"/>
        <v>#NAME?</v>
      </c>
      <c r="S78" s="558" t="e">
        <f t="shared" ca="1" si="147"/>
        <v>#NAME?</v>
      </c>
      <c r="T78" s="558" t="e">
        <f t="shared" ca="1" si="147"/>
        <v>#NAME?</v>
      </c>
      <c r="U78" s="559"/>
      <c r="V78" s="560"/>
      <c r="W78" s="12"/>
      <c r="X78" s="4"/>
      <c r="Y78" s="40"/>
      <c r="Z78" s="553" t="str">
        <f t="shared" ref="Z78:Z81" si="148">Z36</f>
        <v>High</v>
      </c>
      <c r="AA78" s="554"/>
      <c r="AB78" s="555"/>
      <c r="AC78" s="556" t="e">
        <f t="shared" ref="AC78:AP78" ca="1" si="149">MAX(AC72:AC76)</f>
        <v>#NAME?</v>
      </c>
      <c r="AD78" s="579" t="e">
        <f t="shared" ca="1" si="149"/>
        <v>#NAME?</v>
      </c>
      <c r="AE78" s="557" t="e">
        <f t="shared" ca="1" si="149"/>
        <v>#NAME?</v>
      </c>
      <c r="AF78" s="557" t="e">
        <f t="shared" ca="1" si="149"/>
        <v>#NAME?</v>
      </c>
      <c r="AG78" s="557" t="e">
        <f t="shared" ca="1" si="149"/>
        <v>#NAME?</v>
      </c>
      <c r="AH78" s="557" t="e">
        <f t="shared" ca="1" si="149"/>
        <v>#NAME?</v>
      </c>
      <c r="AI78" s="558" t="e">
        <f t="shared" ca="1" si="149"/>
        <v>#NAME?</v>
      </c>
      <c r="AJ78" s="557" t="e">
        <f t="shared" ca="1" si="149"/>
        <v>#NAME?</v>
      </c>
      <c r="AK78" s="559" t="e">
        <f t="shared" ca="1" si="149"/>
        <v>#NAME?</v>
      </c>
      <c r="AL78" s="559" t="e">
        <f t="shared" ca="1" si="149"/>
        <v>#NAME?</v>
      </c>
      <c r="AM78" s="559" t="e">
        <f t="shared" ca="1" si="149"/>
        <v>#NAME?</v>
      </c>
      <c r="AN78" s="559" t="e">
        <f t="shared" ca="1" si="149"/>
        <v>#NAME?</v>
      </c>
      <c r="AO78" s="559" t="e">
        <f t="shared" ca="1" si="149"/>
        <v>#NAME?</v>
      </c>
      <c r="AP78" s="559" t="e">
        <f t="shared" ca="1" si="149"/>
        <v>#NAME?</v>
      </c>
      <c r="AQ78" s="559"/>
      <c r="AR78" s="560"/>
      <c r="AS78" s="4"/>
      <c r="AT78" s="4"/>
      <c r="AU78" s="40"/>
      <c r="AV78" s="553" t="str">
        <f t="shared" ref="AV78:AV81" si="150">AV36</f>
        <v>High</v>
      </c>
      <c r="AW78" s="554"/>
      <c r="AX78" s="555"/>
      <c r="AY78" s="556" t="e">
        <f t="shared" ref="AY78:BL78" ca="1" si="151">MAX(AY72:AY76)</f>
        <v>#NAME?</v>
      </c>
      <c r="AZ78" s="556" t="e">
        <f t="shared" ca="1" si="151"/>
        <v>#NAME?</v>
      </c>
      <c r="BA78" s="557" t="e">
        <f t="shared" ca="1" si="151"/>
        <v>#NAME?</v>
      </c>
      <c r="BB78" s="557" t="e">
        <f t="shared" ca="1" si="151"/>
        <v>#NAME?</v>
      </c>
      <c r="BC78" s="557" t="e">
        <f t="shared" ca="1" si="151"/>
        <v>#NAME?</v>
      </c>
      <c r="BD78" s="557" t="e">
        <f t="shared" ca="1" si="151"/>
        <v>#NAME?</v>
      </c>
      <c r="BE78" s="557" t="e">
        <f t="shared" ca="1" si="151"/>
        <v>#NAME?</v>
      </c>
      <c r="BF78" s="557" t="e">
        <f t="shared" ca="1" si="151"/>
        <v>#NAME?</v>
      </c>
      <c r="BG78" s="557" t="e">
        <f t="shared" ca="1" si="151"/>
        <v>#NAME?</v>
      </c>
      <c r="BH78" s="557" t="e">
        <f t="shared" ca="1" si="151"/>
        <v>#NAME?</v>
      </c>
      <c r="BI78" s="558" t="e">
        <f t="shared" ca="1" si="151"/>
        <v>#NAME?</v>
      </c>
      <c r="BJ78" s="559" t="e">
        <f t="shared" ca="1" si="151"/>
        <v>#NAME?</v>
      </c>
      <c r="BK78" s="559" t="e">
        <f t="shared" ca="1" si="151"/>
        <v>#NAME?</v>
      </c>
      <c r="BL78" s="559" t="e">
        <f t="shared" ca="1" si="151"/>
        <v>#NAME?</v>
      </c>
      <c r="BM78" s="559"/>
      <c r="BN78" s="560"/>
    </row>
    <row r="79" spans="1:66" ht="13.5" customHeight="1" outlineLevel="1" collapsed="1">
      <c r="A79" s="4"/>
      <c r="B79" s="40"/>
      <c r="C79" s="40"/>
      <c r="D79" s="561" t="str">
        <f t="shared" si="146"/>
        <v>Mean</v>
      </c>
      <c r="E79" s="562"/>
      <c r="F79" s="563"/>
      <c r="G79" s="564" t="e">
        <f t="shared" ref="G79:T79" ca="1" si="152">AVERAGE(G72:G76)</f>
        <v>#NAME?</v>
      </c>
      <c r="H79" s="580" t="e">
        <f t="shared" ca="1" si="152"/>
        <v>#NAME?</v>
      </c>
      <c r="I79" s="565" t="e">
        <f t="shared" ca="1" si="152"/>
        <v>#NAME?</v>
      </c>
      <c r="J79" s="565" t="e">
        <f t="shared" ca="1" si="152"/>
        <v>#NAME?</v>
      </c>
      <c r="K79" s="565" t="e">
        <f t="shared" ca="1" si="152"/>
        <v>#NAME?</v>
      </c>
      <c r="L79" s="565" t="e">
        <f t="shared" ca="1" si="152"/>
        <v>#NAME?</v>
      </c>
      <c r="M79" s="581" t="e">
        <f t="shared" ca="1" si="152"/>
        <v>#NAME?</v>
      </c>
      <c r="N79" s="565" t="e">
        <f t="shared" ca="1" si="152"/>
        <v>#NAME?</v>
      </c>
      <c r="O79" s="565" t="e">
        <f t="shared" ca="1" si="152"/>
        <v>#NAME?</v>
      </c>
      <c r="P79" s="581" t="e">
        <f t="shared" ca="1" si="152"/>
        <v>#NAME?</v>
      </c>
      <c r="Q79" s="581" t="e">
        <f t="shared" ca="1" si="152"/>
        <v>#NAME?</v>
      </c>
      <c r="R79" s="581" t="e">
        <f t="shared" ca="1" si="152"/>
        <v>#NAME?</v>
      </c>
      <c r="S79" s="581" t="e">
        <f t="shared" ca="1" si="152"/>
        <v>#NAME?</v>
      </c>
      <c r="T79" s="581" t="e">
        <f t="shared" ca="1" si="152"/>
        <v>#NAME?</v>
      </c>
      <c r="U79" s="567"/>
      <c r="V79" s="568"/>
      <c r="W79" s="12"/>
      <c r="X79" s="4"/>
      <c r="Y79" s="40"/>
      <c r="Z79" s="561" t="str">
        <f t="shared" si="148"/>
        <v>Mean</v>
      </c>
      <c r="AA79" s="562"/>
      <c r="AB79" s="563"/>
      <c r="AC79" s="564" t="e">
        <f t="shared" ref="AC79:AP79" ca="1" si="153">AVERAGE(AC72:AC76)</f>
        <v>#NAME?</v>
      </c>
      <c r="AD79" s="580" t="e">
        <f t="shared" ca="1" si="153"/>
        <v>#NAME?</v>
      </c>
      <c r="AE79" s="565" t="e">
        <f t="shared" ca="1" si="153"/>
        <v>#NAME?</v>
      </c>
      <c r="AF79" s="565" t="e">
        <f t="shared" ca="1" si="153"/>
        <v>#NAME?</v>
      </c>
      <c r="AG79" s="565" t="e">
        <f t="shared" ca="1" si="153"/>
        <v>#NAME?</v>
      </c>
      <c r="AH79" s="565" t="e">
        <f t="shared" ca="1" si="153"/>
        <v>#NAME?</v>
      </c>
      <c r="AI79" s="566" t="e">
        <f t="shared" ca="1" si="153"/>
        <v>#NAME?</v>
      </c>
      <c r="AJ79" s="565" t="e">
        <f t="shared" ca="1" si="153"/>
        <v>#NAME?</v>
      </c>
      <c r="AK79" s="567" t="e">
        <f t="shared" ca="1" si="153"/>
        <v>#NAME?</v>
      </c>
      <c r="AL79" s="567" t="e">
        <f t="shared" ca="1" si="153"/>
        <v>#NAME?</v>
      </c>
      <c r="AM79" s="567" t="e">
        <f t="shared" ca="1" si="153"/>
        <v>#NAME?</v>
      </c>
      <c r="AN79" s="567" t="e">
        <f t="shared" ca="1" si="153"/>
        <v>#NAME?</v>
      </c>
      <c r="AO79" s="567" t="e">
        <f t="shared" ca="1" si="153"/>
        <v>#NAME?</v>
      </c>
      <c r="AP79" s="567" t="e">
        <f t="shared" ca="1" si="153"/>
        <v>#NAME?</v>
      </c>
      <c r="AQ79" s="567"/>
      <c r="AR79" s="568"/>
      <c r="AS79" s="4"/>
      <c r="AT79" s="4"/>
      <c r="AU79" s="40"/>
      <c r="AV79" s="561" t="str">
        <f t="shared" si="150"/>
        <v>Mean</v>
      </c>
      <c r="AW79" s="562"/>
      <c r="AX79" s="563"/>
      <c r="AY79" s="564" t="e">
        <f t="shared" ref="AY79:BL79" ca="1" si="154">AVERAGE(AY72:AY76)</f>
        <v>#NAME?</v>
      </c>
      <c r="AZ79" s="564" t="e">
        <f t="shared" ca="1" si="154"/>
        <v>#NAME?</v>
      </c>
      <c r="BA79" s="565" t="e">
        <f t="shared" ca="1" si="154"/>
        <v>#NAME?</v>
      </c>
      <c r="BB79" s="565" t="e">
        <f t="shared" ca="1" si="154"/>
        <v>#NAME?</v>
      </c>
      <c r="BC79" s="565" t="e">
        <f t="shared" ca="1" si="154"/>
        <v>#NAME?</v>
      </c>
      <c r="BD79" s="565" t="e">
        <f t="shared" ca="1" si="154"/>
        <v>#NAME?</v>
      </c>
      <c r="BE79" s="565" t="e">
        <f t="shared" ca="1" si="154"/>
        <v>#NAME?</v>
      </c>
      <c r="BF79" s="565" t="e">
        <f t="shared" ca="1" si="154"/>
        <v>#NAME?</v>
      </c>
      <c r="BG79" s="565" t="e">
        <f t="shared" ca="1" si="154"/>
        <v>#NAME?</v>
      </c>
      <c r="BH79" s="565" t="e">
        <f t="shared" ca="1" si="154"/>
        <v>#NAME?</v>
      </c>
      <c r="BI79" s="566" t="e">
        <f t="shared" ca="1" si="154"/>
        <v>#NAME?</v>
      </c>
      <c r="BJ79" s="567" t="e">
        <f t="shared" ca="1" si="154"/>
        <v>#NAME?</v>
      </c>
      <c r="BK79" s="567" t="e">
        <f t="shared" ca="1" si="154"/>
        <v>#NAME?</v>
      </c>
      <c r="BL79" s="567" t="e">
        <f t="shared" ca="1" si="154"/>
        <v>#NAME?</v>
      </c>
      <c r="BM79" s="567"/>
      <c r="BN79" s="568"/>
    </row>
    <row r="80" spans="1:66" ht="13.5" customHeight="1" outlineLevel="1" collapsed="1">
      <c r="A80" s="4"/>
      <c r="B80" s="40"/>
      <c r="C80" s="40"/>
      <c r="D80" s="561" t="str">
        <f t="shared" si="146"/>
        <v>Median</v>
      </c>
      <c r="E80" s="562"/>
      <c r="F80" s="562"/>
      <c r="G80" s="564" t="e">
        <f t="shared" ref="G80:T80" ca="1" si="155">MEDIAN(G72:G76)</f>
        <v>#NAME?</v>
      </c>
      <c r="H80" s="580" t="e">
        <f t="shared" ca="1" si="155"/>
        <v>#NAME?</v>
      </c>
      <c r="I80" s="565" t="e">
        <f t="shared" ca="1" si="155"/>
        <v>#NAME?</v>
      </c>
      <c r="J80" s="565" t="e">
        <f t="shared" ca="1" si="155"/>
        <v>#NAME?</v>
      </c>
      <c r="K80" s="565" t="e">
        <f t="shared" ca="1" si="155"/>
        <v>#NAME?</v>
      </c>
      <c r="L80" s="565" t="e">
        <f t="shared" ca="1" si="155"/>
        <v>#NAME?</v>
      </c>
      <c r="M80" s="581" t="e">
        <f t="shared" ca="1" si="155"/>
        <v>#NAME?</v>
      </c>
      <c r="N80" s="565" t="e">
        <f t="shared" ca="1" si="155"/>
        <v>#NAME?</v>
      </c>
      <c r="O80" s="565" t="e">
        <f t="shared" ca="1" si="155"/>
        <v>#NAME?</v>
      </c>
      <c r="P80" s="581" t="e">
        <f t="shared" ca="1" si="155"/>
        <v>#NAME?</v>
      </c>
      <c r="Q80" s="581" t="e">
        <f t="shared" ca="1" si="155"/>
        <v>#NAME?</v>
      </c>
      <c r="R80" s="581" t="e">
        <f t="shared" ca="1" si="155"/>
        <v>#NAME?</v>
      </c>
      <c r="S80" s="581" t="e">
        <f t="shared" ca="1" si="155"/>
        <v>#NAME?</v>
      </c>
      <c r="T80" s="581" t="e">
        <f t="shared" ca="1" si="155"/>
        <v>#NAME?</v>
      </c>
      <c r="U80" s="567"/>
      <c r="V80" s="568"/>
      <c r="W80" s="12"/>
      <c r="X80" s="4"/>
      <c r="Y80" s="40"/>
      <c r="Z80" s="561" t="str">
        <f t="shared" si="148"/>
        <v>Median</v>
      </c>
      <c r="AA80" s="562"/>
      <c r="AB80" s="562"/>
      <c r="AC80" s="564" t="e">
        <f t="shared" ref="AC80:AP80" ca="1" si="156">MEDIAN(AC72:AC76)</f>
        <v>#NAME?</v>
      </c>
      <c r="AD80" s="580" t="e">
        <f t="shared" ca="1" si="156"/>
        <v>#NAME?</v>
      </c>
      <c r="AE80" s="565" t="e">
        <f t="shared" ca="1" si="156"/>
        <v>#NAME?</v>
      </c>
      <c r="AF80" s="565" t="e">
        <f t="shared" ca="1" si="156"/>
        <v>#NAME?</v>
      </c>
      <c r="AG80" s="565" t="e">
        <f t="shared" ca="1" si="156"/>
        <v>#NAME?</v>
      </c>
      <c r="AH80" s="565" t="e">
        <f t="shared" ca="1" si="156"/>
        <v>#NAME?</v>
      </c>
      <c r="AI80" s="566" t="e">
        <f t="shared" ca="1" si="156"/>
        <v>#NAME?</v>
      </c>
      <c r="AJ80" s="565" t="e">
        <f t="shared" ca="1" si="156"/>
        <v>#NAME?</v>
      </c>
      <c r="AK80" s="567" t="e">
        <f t="shared" ca="1" si="156"/>
        <v>#NAME?</v>
      </c>
      <c r="AL80" s="567" t="e">
        <f t="shared" ca="1" si="156"/>
        <v>#NAME?</v>
      </c>
      <c r="AM80" s="567" t="e">
        <f t="shared" ca="1" si="156"/>
        <v>#NAME?</v>
      </c>
      <c r="AN80" s="567" t="e">
        <f t="shared" ca="1" si="156"/>
        <v>#NAME?</v>
      </c>
      <c r="AO80" s="567" t="e">
        <f t="shared" ca="1" si="156"/>
        <v>#NAME?</v>
      </c>
      <c r="AP80" s="567" t="e">
        <f t="shared" ca="1" si="156"/>
        <v>#NAME?</v>
      </c>
      <c r="AQ80" s="567"/>
      <c r="AR80" s="568"/>
      <c r="AS80" s="4"/>
      <c r="AT80" s="4"/>
      <c r="AU80" s="40"/>
      <c r="AV80" s="561" t="str">
        <f t="shared" si="150"/>
        <v>Median</v>
      </c>
      <c r="AW80" s="562"/>
      <c r="AX80" s="562"/>
      <c r="AY80" s="564" t="e">
        <f t="shared" ref="AY80:BL80" ca="1" si="157">MEDIAN(AY72:AY76)</f>
        <v>#NAME?</v>
      </c>
      <c r="AZ80" s="564" t="e">
        <f t="shared" ca="1" si="157"/>
        <v>#NAME?</v>
      </c>
      <c r="BA80" s="565" t="e">
        <f t="shared" ca="1" si="157"/>
        <v>#NAME?</v>
      </c>
      <c r="BB80" s="565" t="e">
        <f t="shared" ca="1" si="157"/>
        <v>#NAME?</v>
      </c>
      <c r="BC80" s="565" t="e">
        <f t="shared" ca="1" si="157"/>
        <v>#NAME?</v>
      </c>
      <c r="BD80" s="565" t="e">
        <f t="shared" ca="1" si="157"/>
        <v>#NAME?</v>
      </c>
      <c r="BE80" s="565" t="e">
        <f t="shared" ca="1" si="157"/>
        <v>#NAME?</v>
      </c>
      <c r="BF80" s="565" t="e">
        <f t="shared" ca="1" si="157"/>
        <v>#NAME?</v>
      </c>
      <c r="BG80" s="565" t="e">
        <f t="shared" ca="1" si="157"/>
        <v>#NAME?</v>
      </c>
      <c r="BH80" s="565" t="e">
        <f t="shared" ca="1" si="157"/>
        <v>#NAME?</v>
      </c>
      <c r="BI80" s="566" t="e">
        <f t="shared" ca="1" si="157"/>
        <v>#NAME?</v>
      </c>
      <c r="BJ80" s="567" t="e">
        <f t="shared" ca="1" si="157"/>
        <v>#NAME?</v>
      </c>
      <c r="BK80" s="567" t="e">
        <f t="shared" ca="1" si="157"/>
        <v>#NAME?</v>
      </c>
      <c r="BL80" s="567" t="e">
        <f t="shared" ca="1" si="157"/>
        <v>#NAME?</v>
      </c>
      <c r="BM80" s="567"/>
      <c r="BN80" s="568"/>
    </row>
    <row r="81" spans="1:66" ht="13.5" customHeight="1" outlineLevel="1" collapsed="1">
      <c r="A81" s="4"/>
      <c r="B81" s="40"/>
      <c r="C81" s="40"/>
      <c r="D81" s="569" t="str">
        <f t="shared" si="146"/>
        <v>Low</v>
      </c>
      <c r="E81" s="570"/>
      <c r="F81" s="570"/>
      <c r="G81" s="571" t="e">
        <f t="shared" ref="G81:T81" ca="1" si="158">MIN(G72:G76)</f>
        <v>#NAME?</v>
      </c>
      <c r="H81" s="582" t="e">
        <f t="shared" ca="1" si="158"/>
        <v>#NAME?</v>
      </c>
      <c r="I81" s="572" t="e">
        <f t="shared" ca="1" si="158"/>
        <v>#NAME?</v>
      </c>
      <c r="J81" s="572" t="e">
        <f t="shared" ca="1" si="158"/>
        <v>#NAME?</v>
      </c>
      <c r="K81" s="572" t="e">
        <f t="shared" ca="1" si="158"/>
        <v>#NAME?</v>
      </c>
      <c r="L81" s="572" t="e">
        <f t="shared" ca="1" si="158"/>
        <v>#NAME?</v>
      </c>
      <c r="M81" s="583" t="e">
        <f t="shared" ca="1" si="158"/>
        <v>#NAME?</v>
      </c>
      <c r="N81" s="572" t="e">
        <f t="shared" ca="1" si="158"/>
        <v>#NAME?</v>
      </c>
      <c r="O81" s="572" t="e">
        <f t="shared" ca="1" si="158"/>
        <v>#NAME?</v>
      </c>
      <c r="P81" s="583" t="e">
        <f t="shared" ca="1" si="158"/>
        <v>#NAME?</v>
      </c>
      <c r="Q81" s="583" t="e">
        <f t="shared" ca="1" si="158"/>
        <v>#NAME?</v>
      </c>
      <c r="R81" s="583" t="e">
        <f t="shared" ca="1" si="158"/>
        <v>#NAME?</v>
      </c>
      <c r="S81" s="583" t="e">
        <f t="shared" ca="1" si="158"/>
        <v>#NAME?</v>
      </c>
      <c r="T81" s="583" t="e">
        <f t="shared" ca="1" si="158"/>
        <v>#NAME?</v>
      </c>
      <c r="U81" s="574"/>
      <c r="V81" s="575"/>
      <c r="W81" s="12"/>
      <c r="X81" s="4"/>
      <c r="Y81" s="40"/>
      <c r="Z81" s="569" t="str">
        <f t="shared" si="148"/>
        <v>Low</v>
      </c>
      <c r="AA81" s="570"/>
      <c r="AB81" s="570"/>
      <c r="AC81" s="571" t="e">
        <f t="shared" ref="AC81:AP81" ca="1" si="159">MIN(AC72:AC76)</f>
        <v>#NAME?</v>
      </c>
      <c r="AD81" s="582" t="e">
        <f t="shared" ca="1" si="159"/>
        <v>#NAME?</v>
      </c>
      <c r="AE81" s="572" t="e">
        <f t="shared" ca="1" si="159"/>
        <v>#NAME?</v>
      </c>
      <c r="AF81" s="572" t="e">
        <f t="shared" ca="1" si="159"/>
        <v>#NAME?</v>
      </c>
      <c r="AG81" s="572" t="e">
        <f t="shared" ca="1" si="159"/>
        <v>#NAME?</v>
      </c>
      <c r="AH81" s="572" t="e">
        <f t="shared" ca="1" si="159"/>
        <v>#NAME?</v>
      </c>
      <c r="AI81" s="573" t="e">
        <f t="shared" ca="1" si="159"/>
        <v>#NAME?</v>
      </c>
      <c r="AJ81" s="572" t="e">
        <f t="shared" ca="1" si="159"/>
        <v>#NAME?</v>
      </c>
      <c r="AK81" s="574" t="e">
        <f t="shared" ca="1" si="159"/>
        <v>#NAME?</v>
      </c>
      <c r="AL81" s="574" t="e">
        <f t="shared" ca="1" si="159"/>
        <v>#NAME?</v>
      </c>
      <c r="AM81" s="574" t="e">
        <f t="shared" ca="1" si="159"/>
        <v>#NAME?</v>
      </c>
      <c r="AN81" s="574" t="e">
        <f t="shared" ca="1" si="159"/>
        <v>#NAME?</v>
      </c>
      <c r="AO81" s="574" t="e">
        <f t="shared" ca="1" si="159"/>
        <v>#NAME?</v>
      </c>
      <c r="AP81" s="574" t="e">
        <f t="shared" ca="1" si="159"/>
        <v>#NAME?</v>
      </c>
      <c r="AQ81" s="574"/>
      <c r="AR81" s="575"/>
      <c r="AS81" s="4"/>
      <c r="AT81" s="4"/>
      <c r="AU81" s="40"/>
      <c r="AV81" s="569" t="str">
        <f t="shared" si="150"/>
        <v>Low</v>
      </c>
      <c r="AW81" s="570"/>
      <c r="AX81" s="570"/>
      <c r="AY81" s="571" t="e">
        <f t="shared" ref="AY81:BL81" ca="1" si="160">MIN(AY72:AY76)</f>
        <v>#NAME?</v>
      </c>
      <c r="AZ81" s="571" t="e">
        <f t="shared" ca="1" si="160"/>
        <v>#NAME?</v>
      </c>
      <c r="BA81" s="572" t="e">
        <f t="shared" ca="1" si="160"/>
        <v>#NAME?</v>
      </c>
      <c r="BB81" s="572" t="e">
        <f t="shared" ca="1" si="160"/>
        <v>#NAME?</v>
      </c>
      <c r="BC81" s="572" t="e">
        <f t="shared" ca="1" si="160"/>
        <v>#NAME?</v>
      </c>
      <c r="BD81" s="572" t="e">
        <f t="shared" ca="1" si="160"/>
        <v>#NAME?</v>
      </c>
      <c r="BE81" s="572" t="e">
        <f t="shared" ca="1" si="160"/>
        <v>#NAME?</v>
      </c>
      <c r="BF81" s="572" t="e">
        <f t="shared" ca="1" si="160"/>
        <v>#NAME?</v>
      </c>
      <c r="BG81" s="572" t="e">
        <f t="shared" ca="1" si="160"/>
        <v>#NAME?</v>
      </c>
      <c r="BH81" s="572" t="e">
        <f t="shared" ca="1" si="160"/>
        <v>#NAME?</v>
      </c>
      <c r="BI81" s="573" t="e">
        <f t="shared" ca="1" si="160"/>
        <v>#NAME?</v>
      </c>
      <c r="BJ81" s="574" t="e">
        <f t="shared" ca="1" si="160"/>
        <v>#NAME?</v>
      </c>
      <c r="BK81" s="574" t="e">
        <f t="shared" ca="1" si="160"/>
        <v>#NAME?</v>
      </c>
      <c r="BL81" s="574" t="e">
        <f t="shared" ca="1" si="160"/>
        <v>#NAME?</v>
      </c>
      <c r="BM81" s="574"/>
      <c r="BN81" s="575"/>
    </row>
    <row r="82" spans="1:66" ht="13.5" customHeight="1" outlineLevel="1" collapsed="1">
      <c r="A82" s="4"/>
      <c r="B82" s="40"/>
      <c r="C82" s="40"/>
      <c r="D82" s="12"/>
      <c r="E82" s="12"/>
      <c r="F82" s="12"/>
      <c r="G82" s="540"/>
      <c r="H82" s="69"/>
      <c r="I82" s="540"/>
      <c r="J82" s="540"/>
      <c r="K82" s="540"/>
      <c r="L82" s="540"/>
      <c r="M82" s="540"/>
      <c r="N82" s="496"/>
      <c r="O82" s="540"/>
      <c r="P82" s="496"/>
      <c r="Q82" s="493"/>
      <c r="R82" s="496"/>
      <c r="S82" s="12"/>
      <c r="T82" s="540"/>
      <c r="U82" s="69"/>
      <c r="V82" s="69"/>
      <c r="W82" s="12"/>
      <c r="X82" s="4"/>
      <c r="Y82" s="40"/>
      <c r="Z82" s="12"/>
      <c r="AA82" s="12"/>
      <c r="AB82" s="12"/>
      <c r="AC82" s="540"/>
      <c r="AD82" s="69"/>
      <c r="AE82" s="540"/>
      <c r="AF82" s="540"/>
      <c r="AG82" s="540"/>
      <c r="AH82" s="540"/>
      <c r="AI82" s="540"/>
      <c r="AJ82" s="496"/>
      <c r="AK82" s="540"/>
      <c r="AL82" s="496"/>
      <c r="AM82" s="493"/>
      <c r="AN82" s="496"/>
      <c r="AO82" s="12"/>
      <c r="AP82" s="540"/>
      <c r="AQ82" s="69"/>
      <c r="AR82" s="69"/>
      <c r="AS82" s="4"/>
      <c r="AT82" s="4"/>
      <c r="AU82" s="40"/>
      <c r="AV82" s="12"/>
      <c r="AW82" s="12"/>
      <c r="AX82" s="12"/>
      <c r="AY82" s="540"/>
      <c r="AZ82" s="69"/>
      <c r="BA82" s="540"/>
      <c r="BB82" s="540"/>
      <c r="BC82" s="540"/>
      <c r="BD82" s="540"/>
      <c r="BE82" s="540"/>
      <c r="BF82" s="496"/>
      <c r="BG82" s="540"/>
      <c r="BH82" s="496"/>
      <c r="BI82" s="493"/>
      <c r="BJ82" s="496"/>
      <c r="BK82" s="12"/>
      <c r="BL82" s="540"/>
      <c r="BM82" s="69"/>
      <c r="BN82" s="69"/>
    </row>
    <row r="83" spans="1:66" ht="13.5" customHeight="1" outlineLevel="1" collapsed="1">
      <c r="A83" s="4"/>
      <c r="B83" s="40"/>
      <c r="C83" s="40"/>
      <c r="D83" s="12"/>
      <c r="E83" s="12"/>
      <c r="F83" s="12"/>
      <c r="G83" s="12"/>
      <c r="H83" s="12"/>
      <c r="I83" s="12"/>
      <c r="J83" s="12"/>
      <c r="K83" s="12"/>
      <c r="L83" s="12"/>
      <c r="M83" s="12"/>
      <c r="N83" s="12"/>
      <c r="O83" s="12"/>
      <c r="P83" s="12"/>
      <c r="Q83" s="12"/>
      <c r="R83" s="12"/>
      <c r="S83" s="12"/>
      <c r="T83" s="12"/>
      <c r="U83" s="12"/>
      <c r="V83" s="12"/>
      <c r="W83" s="12"/>
      <c r="X83" s="4"/>
      <c r="Y83" s="40"/>
      <c r="Z83" s="12"/>
      <c r="AA83" s="12"/>
      <c r="AB83" s="12"/>
      <c r="AC83" s="12"/>
      <c r="AD83" s="12"/>
      <c r="AE83" s="12"/>
      <c r="AF83" s="12"/>
      <c r="AG83" s="12"/>
      <c r="AH83" s="12"/>
      <c r="AI83" s="12"/>
      <c r="AJ83" s="12"/>
      <c r="AK83" s="12"/>
      <c r="AL83" s="12"/>
      <c r="AM83" s="12"/>
      <c r="AN83" s="12"/>
      <c r="AO83" s="12"/>
      <c r="AP83" s="12"/>
      <c r="AQ83" s="12"/>
      <c r="AR83" s="12"/>
      <c r="AS83" s="4"/>
      <c r="AT83" s="4"/>
      <c r="AU83" s="4"/>
      <c r="AV83" s="4"/>
      <c r="AW83" s="4"/>
      <c r="AX83" s="4"/>
      <c r="AY83" s="4"/>
      <c r="AZ83" s="4"/>
      <c r="BA83" s="4"/>
      <c r="BB83" s="4"/>
      <c r="BC83" s="4"/>
      <c r="BD83" s="4"/>
      <c r="BE83" s="4"/>
      <c r="BF83" s="4"/>
      <c r="BG83" s="4"/>
      <c r="BH83" s="4"/>
      <c r="BI83" s="4"/>
      <c r="BJ83" s="4"/>
      <c r="BK83" s="4"/>
      <c r="BL83" s="4"/>
      <c r="BM83" s="4"/>
      <c r="BN83" s="4"/>
    </row>
    <row r="84" spans="1:66" ht="13.5" customHeight="1" outlineLevel="1" collapsed="1">
      <c r="A84" s="4"/>
      <c r="B84" s="40" t="s">
        <v>1</v>
      </c>
      <c r="C84" s="40"/>
      <c r="D84" s="584" t="s">
        <v>552</v>
      </c>
      <c r="E84" s="584"/>
      <c r="F84" s="584"/>
      <c r="G84" s="584"/>
      <c r="H84" s="584"/>
      <c r="I84" s="584"/>
      <c r="J84" s="584"/>
      <c r="K84" s="584"/>
      <c r="L84" s="584"/>
      <c r="M84" s="584"/>
      <c r="N84" s="584"/>
      <c r="O84" s="584"/>
      <c r="P84" s="584"/>
      <c r="Q84" s="584"/>
      <c r="R84" s="584"/>
      <c r="S84" s="584"/>
      <c r="T84" s="584"/>
      <c r="U84" s="584"/>
      <c r="V84" s="584"/>
      <c r="W84" s="12"/>
      <c r="X84" s="12"/>
      <c r="Y84" s="12"/>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ht="13.5" customHeight="1" outlineLevel="1" collapsed="1">
      <c r="A85" s="4"/>
      <c r="B85" s="40"/>
      <c r="C85" s="40"/>
      <c r="D85" s="12"/>
      <c r="E85" s="12"/>
      <c r="F85" s="12"/>
      <c r="G85" s="12"/>
      <c r="H85" s="12"/>
      <c r="I85" s="12"/>
      <c r="J85" s="12"/>
      <c r="K85" s="12"/>
      <c r="L85" s="12"/>
      <c r="M85" s="12"/>
      <c r="N85" s="12"/>
      <c r="O85" s="12"/>
      <c r="P85" s="12"/>
      <c r="Q85" s="12"/>
      <c r="R85" s="12"/>
      <c r="S85" s="12"/>
      <c r="T85" s="12"/>
      <c r="U85" s="12"/>
      <c r="V85" s="12"/>
      <c r="W85" s="12"/>
      <c r="X85" s="12"/>
      <c r="Y85" s="12"/>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ht="15" customHeight="1" outlineLevel="1" collapsed="1">
      <c r="A86" s="4"/>
      <c r="B86" s="40"/>
      <c r="C86" s="40"/>
      <c r="D86" s="14" t="str">
        <f>S88</f>
        <v>Primary Peer Group</v>
      </c>
      <c r="E86" s="16"/>
      <c r="F86" s="13" t="s">
        <v>1</v>
      </c>
      <c r="G86" s="14" t="str">
        <f>S89</f>
        <v>Defense Peer Group</v>
      </c>
      <c r="H86" s="15"/>
      <c r="I86" s="15"/>
      <c r="J86" s="16"/>
      <c r="K86" s="12"/>
      <c r="L86" s="14" t="str">
        <f>S90</f>
        <v>Cap. Goods Peer Group</v>
      </c>
      <c r="M86" s="15"/>
      <c r="N86" s="15"/>
      <c r="O86" s="16"/>
      <c r="P86" s="12"/>
      <c r="Q86" s="14" t="s">
        <v>553</v>
      </c>
      <c r="R86" s="15"/>
      <c r="S86" s="15"/>
      <c r="T86" s="16"/>
      <c r="U86" s="12"/>
      <c r="V86" s="12"/>
      <c r="W86" s="12"/>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 customHeight="1" outlineLevel="1" collapsed="1">
      <c r="A87" s="4"/>
      <c r="B87" s="40"/>
      <c r="C87" s="40"/>
      <c r="D87" s="12"/>
      <c r="E87" s="12"/>
      <c r="F87" s="12"/>
      <c r="G87" s="12"/>
      <c r="H87" s="12"/>
      <c r="I87" s="12"/>
      <c r="J87" s="12"/>
      <c r="K87" s="12"/>
      <c r="L87" s="12"/>
      <c r="M87" s="12"/>
      <c r="N87" s="12"/>
      <c r="O87" s="12"/>
      <c r="P87" s="12"/>
      <c r="Q87" s="12"/>
      <c r="R87" s="12"/>
      <c r="S87" s="12"/>
      <c r="T87" s="101"/>
      <c r="U87" s="12"/>
      <c r="V87" s="12"/>
      <c r="W87" s="12"/>
      <c r="X87" s="12"/>
      <c r="Y87" s="12"/>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customHeight="1" outlineLevel="1" collapsed="1">
      <c r="A88" s="4"/>
      <c r="B88" s="40"/>
      <c r="C88" s="40"/>
      <c r="D88" s="143" t="s">
        <v>554</v>
      </c>
      <c r="E88" s="229" t="str">
        <f>Company_Name</f>
        <v>NETFLIX INC</v>
      </c>
      <c r="F88" s="12"/>
      <c r="G88" s="143" t="s">
        <v>554</v>
      </c>
      <c r="H88" s="101"/>
      <c r="I88" s="101" t="str">
        <f>Company_Name</f>
        <v>NETFLIX INC</v>
      </c>
      <c r="J88" s="229"/>
      <c r="K88" s="12"/>
      <c r="L88" s="143" t="s">
        <v>554</v>
      </c>
      <c r="M88" s="101"/>
      <c r="N88" s="101" t="str">
        <f>Company_Name</f>
        <v>NETFLIX INC</v>
      </c>
      <c r="O88" s="229"/>
      <c r="P88" s="12"/>
      <c r="Q88" s="143" t="s">
        <v>555</v>
      </c>
      <c r="R88" s="101"/>
      <c r="S88" s="585" t="s">
        <v>556</v>
      </c>
      <c r="T88" s="229"/>
      <c r="U88" s="12"/>
      <c r="V88" s="12"/>
      <c r="W88" s="12"/>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customHeight="1" outlineLevel="1" collapsed="1">
      <c r="A89" s="4"/>
      <c r="B89" s="40"/>
      <c r="C89" s="40"/>
      <c r="D89" s="141" t="s">
        <v>557</v>
      </c>
      <c r="E89" s="142" t="str">
        <f>Ticker</f>
        <v>NFLX</v>
      </c>
      <c r="F89" s="12"/>
      <c r="G89" s="141" t="s">
        <v>557</v>
      </c>
      <c r="H89" s="12"/>
      <c r="I89" s="12" t="str">
        <f>Ticker</f>
        <v>NFLX</v>
      </c>
      <c r="J89" s="142"/>
      <c r="K89" s="12"/>
      <c r="L89" s="141" t="s">
        <v>557</v>
      </c>
      <c r="M89" s="12"/>
      <c r="N89" s="12" t="str">
        <f>Ticker</f>
        <v>NFLX</v>
      </c>
      <c r="O89" s="142"/>
      <c r="P89" s="12"/>
      <c r="Q89" s="141" t="s">
        <v>558</v>
      </c>
      <c r="R89" s="12"/>
      <c r="S89" s="586" t="s">
        <v>559</v>
      </c>
      <c r="T89" s="142"/>
      <c r="U89" s="12"/>
      <c r="V89" s="12"/>
      <c r="W89" s="12"/>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customHeight="1" outlineLevel="1" collapsed="1">
      <c r="A90" s="4"/>
      <c r="B90" s="40"/>
      <c r="C90" s="40"/>
      <c r="D90" s="145" t="s">
        <v>560</v>
      </c>
      <c r="E90" s="587" t="s">
        <v>561</v>
      </c>
      <c r="F90" s="12"/>
      <c r="G90" s="145" t="s">
        <v>560</v>
      </c>
      <c r="H90" s="100"/>
      <c r="I90" s="100" t="str">
        <f>$E$90</f>
        <v>IQ180871</v>
      </c>
      <c r="J90" s="588"/>
      <c r="K90" s="12"/>
      <c r="L90" s="145" t="s">
        <v>560</v>
      </c>
      <c r="M90" s="100"/>
      <c r="N90" s="100" t="str">
        <f>$E$90</f>
        <v>IQ180871</v>
      </c>
      <c r="O90" s="588"/>
      <c r="P90" s="12"/>
      <c r="Q90" s="145" t="s">
        <v>562</v>
      </c>
      <c r="R90" s="100"/>
      <c r="S90" s="589" t="s">
        <v>563</v>
      </c>
      <c r="T90" s="588"/>
      <c r="U90" s="12"/>
      <c r="V90" s="12"/>
      <c r="W90" s="12"/>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customHeight="1" outlineLevel="1" collapsed="1">
      <c r="A91" s="4"/>
      <c r="B91" s="40"/>
      <c r="C91" s="40"/>
      <c r="F91" s="12"/>
      <c r="K91" s="12"/>
      <c r="P91" s="12"/>
      <c r="Q91" s="12"/>
      <c r="R91" s="12"/>
      <c r="S91" s="12"/>
      <c r="T91" s="12"/>
      <c r="U91" s="12"/>
      <c r="V91" s="12"/>
      <c r="W91" s="12"/>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customHeight="1" outlineLevel="1" collapsed="1">
      <c r="A92" s="4"/>
      <c r="B92" s="40"/>
      <c r="C92" s="40"/>
      <c r="D92" s="143" t="s">
        <v>564</v>
      </c>
      <c r="E92" s="590" t="s">
        <v>565</v>
      </c>
      <c r="F92" s="12"/>
      <c r="G92" s="143" t="s">
        <v>564</v>
      </c>
      <c r="H92" s="101"/>
      <c r="I92" s="585" t="s">
        <v>566</v>
      </c>
      <c r="J92" s="229"/>
      <c r="K92" s="12"/>
      <c r="L92" s="143" t="s">
        <v>564</v>
      </c>
      <c r="M92" s="101"/>
      <c r="N92" s="585" t="s">
        <v>567</v>
      </c>
      <c r="O92" s="229"/>
      <c r="P92" s="12"/>
      <c r="Q92" s="12"/>
      <c r="R92" s="12"/>
      <c r="S92" s="12"/>
      <c r="T92" s="12"/>
      <c r="U92" s="12"/>
      <c r="V92" s="12"/>
      <c r="W92" s="12"/>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customHeight="1" outlineLevel="1" collapsed="1">
      <c r="A93" s="4"/>
      <c r="B93" s="40"/>
      <c r="C93" s="40"/>
      <c r="D93" s="141" t="s">
        <v>557</v>
      </c>
      <c r="E93" s="591" t="s">
        <v>568</v>
      </c>
      <c r="F93" s="12"/>
      <c r="G93" s="141" t="s">
        <v>557</v>
      </c>
      <c r="H93" s="12"/>
      <c r="I93" s="586" t="s">
        <v>500</v>
      </c>
      <c r="J93" s="142"/>
      <c r="K93" s="12"/>
      <c r="L93" s="141" t="s">
        <v>557</v>
      </c>
      <c r="M93" s="12"/>
      <c r="N93" s="586" t="s">
        <v>501</v>
      </c>
      <c r="O93" s="142"/>
      <c r="P93" s="12"/>
      <c r="Q93" s="12"/>
      <c r="R93" s="12"/>
      <c r="S93" s="12"/>
      <c r="T93" s="12"/>
      <c r="U93" s="12"/>
      <c r="V93" s="12"/>
      <c r="W93" s="12"/>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customHeight="1" outlineLevel="1" collapsed="1">
      <c r="A94" s="4"/>
      <c r="B94" s="40"/>
      <c r="C94" s="40"/>
      <c r="D94" s="145" t="s">
        <v>560</v>
      </c>
      <c r="E94" s="587" t="s">
        <v>569</v>
      </c>
      <c r="F94" s="12"/>
      <c r="G94" s="145" t="s">
        <v>560</v>
      </c>
      <c r="H94" s="100"/>
      <c r="I94" s="589" t="s">
        <v>570</v>
      </c>
      <c r="J94" s="588"/>
      <c r="K94" s="12"/>
      <c r="L94" s="145" t="s">
        <v>560</v>
      </c>
      <c r="M94" s="100"/>
      <c r="N94" s="589" t="s">
        <v>571</v>
      </c>
      <c r="O94" s="588"/>
      <c r="P94" s="12"/>
      <c r="Q94" s="12"/>
      <c r="R94" s="12"/>
      <c r="S94" s="12"/>
      <c r="T94" s="12"/>
      <c r="U94" s="12"/>
      <c r="V94" s="12"/>
      <c r="W94" s="12"/>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customHeight="1" outlineLevel="1" collapsed="1">
      <c r="A95" s="4"/>
      <c r="B95" s="40"/>
      <c r="C95" s="40"/>
      <c r="F95" s="12"/>
      <c r="K95" s="12"/>
      <c r="P95" s="12"/>
      <c r="Q95" s="12"/>
      <c r="R95" s="12"/>
      <c r="S95" s="12"/>
      <c r="T95" s="12"/>
      <c r="U95" s="12"/>
      <c r="V95" s="12"/>
      <c r="W95" s="12"/>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customHeight="1" outlineLevel="1" collapsed="1">
      <c r="A96" s="4"/>
      <c r="B96" s="40"/>
      <c r="C96" s="40"/>
      <c r="D96" s="143" t="s">
        <v>564</v>
      </c>
      <c r="E96" s="590" t="s">
        <v>572</v>
      </c>
      <c r="F96" s="12"/>
      <c r="G96" s="143" t="s">
        <v>564</v>
      </c>
      <c r="H96" s="101"/>
      <c r="I96" s="585" t="s">
        <v>573</v>
      </c>
      <c r="J96" s="229"/>
      <c r="K96" s="12"/>
      <c r="L96" s="143" t="s">
        <v>564</v>
      </c>
      <c r="M96" s="101"/>
      <c r="N96" s="585" t="s">
        <v>574</v>
      </c>
      <c r="O96" s="229"/>
      <c r="P96" s="12"/>
      <c r="Q96" s="12"/>
      <c r="R96" s="12"/>
      <c r="S96" s="12"/>
      <c r="T96" s="12"/>
      <c r="U96" s="12"/>
      <c r="V96" s="12"/>
      <c r="W96" s="12"/>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customHeight="1" outlineLevel="1" collapsed="1">
      <c r="A97" s="4"/>
      <c r="B97" s="40"/>
      <c r="C97" s="40"/>
      <c r="D97" s="141" t="s">
        <v>557</v>
      </c>
      <c r="E97" s="591" t="s">
        <v>452</v>
      </c>
      <c r="F97" s="12"/>
      <c r="G97" s="141" t="s">
        <v>557</v>
      </c>
      <c r="H97" s="12"/>
      <c r="I97" s="586" t="s">
        <v>503</v>
      </c>
      <c r="J97" s="142"/>
      <c r="K97" s="12"/>
      <c r="L97" s="141" t="s">
        <v>557</v>
      </c>
      <c r="M97" s="12"/>
      <c r="N97" s="586" t="s">
        <v>505</v>
      </c>
      <c r="O97" s="142"/>
      <c r="P97" s="12"/>
      <c r="Q97" s="12"/>
      <c r="R97" s="12"/>
      <c r="S97" s="12"/>
      <c r="T97" s="12"/>
      <c r="U97" s="12"/>
      <c r="V97" s="12"/>
      <c r="W97" s="12"/>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customHeight="1" outlineLevel="1" collapsed="1">
      <c r="A98" s="4"/>
      <c r="B98" s="40"/>
      <c r="C98" s="40"/>
      <c r="D98" s="145" t="s">
        <v>560</v>
      </c>
      <c r="E98" s="587" t="s">
        <v>575</v>
      </c>
      <c r="F98" s="12"/>
      <c r="G98" s="145" t="s">
        <v>560</v>
      </c>
      <c r="H98" s="100"/>
      <c r="I98" s="589" t="s">
        <v>576</v>
      </c>
      <c r="J98" s="588"/>
      <c r="K98" s="12"/>
      <c r="L98" s="145" t="s">
        <v>560</v>
      </c>
      <c r="M98" s="100"/>
      <c r="N98" s="589" t="s">
        <v>577</v>
      </c>
      <c r="O98" s="588"/>
      <c r="P98" s="12"/>
      <c r="Q98" s="12"/>
      <c r="R98" s="12"/>
      <c r="S98" s="12"/>
      <c r="T98" s="12"/>
      <c r="U98" s="12"/>
      <c r="V98" s="12"/>
      <c r="W98" s="12"/>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customHeight="1" outlineLevel="1" collapsed="1">
      <c r="A99" s="4"/>
      <c r="B99" s="40"/>
      <c r="C99" s="40"/>
      <c r="D99" s="4"/>
      <c r="E99" s="4"/>
      <c r="F99" s="12"/>
      <c r="G99" s="4"/>
      <c r="H99" s="4"/>
      <c r="I99" s="4"/>
      <c r="J99" s="4"/>
      <c r="K99" s="12"/>
      <c r="L99" s="4"/>
      <c r="M99" s="4"/>
      <c r="N99" s="4"/>
      <c r="O99" s="4"/>
      <c r="P99" s="12"/>
      <c r="Q99" s="12"/>
      <c r="R99" s="12"/>
      <c r="S99" s="12"/>
      <c r="T99" s="12"/>
      <c r="U99" s="12"/>
      <c r="V99" s="12"/>
      <c r="W99" s="12"/>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customHeight="1" outlineLevel="1" collapsed="1">
      <c r="A100" s="4"/>
      <c r="B100" s="40"/>
      <c r="C100" s="40"/>
      <c r="D100" s="143" t="s">
        <v>564</v>
      </c>
      <c r="E100" s="590" t="s">
        <v>578</v>
      </c>
      <c r="F100" s="12"/>
      <c r="G100" s="143" t="s">
        <v>564</v>
      </c>
      <c r="H100" s="101"/>
      <c r="I100" s="585" t="s">
        <v>579</v>
      </c>
      <c r="J100" s="229"/>
      <c r="K100" s="12"/>
      <c r="L100" s="143" t="s">
        <v>564</v>
      </c>
      <c r="M100" s="101"/>
      <c r="N100" s="585" t="s">
        <v>580</v>
      </c>
      <c r="O100" s="229"/>
      <c r="P100" s="12"/>
      <c r="Q100" s="12"/>
      <c r="R100" s="12"/>
      <c r="S100" s="12"/>
      <c r="T100" s="12"/>
      <c r="U100" s="12"/>
      <c r="V100" s="12"/>
      <c r="W100" s="12"/>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customHeight="1" outlineLevel="1" collapsed="1">
      <c r="A101" s="4"/>
      <c r="B101" s="40"/>
      <c r="C101" s="40"/>
      <c r="D101" s="141" t="s">
        <v>557</v>
      </c>
      <c r="E101" s="591" t="s">
        <v>452</v>
      </c>
      <c r="F101" s="12"/>
      <c r="G101" s="141" t="s">
        <v>557</v>
      </c>
      <c r="H101" s="40"/>
      <c r="I101" s="586" t="s">
        <v>507</v>
      </c>
      <c r="J101" s="142"/>
      <c r="K101" s="12"/>
      <c r="L101" s="141" t="s">
        <v>557</v>
      </c>
      <c r="M101" s="40"/>
      <c r="N101" s="586" t="s">
        <v>508</v>
      </c>
      <c r="O101" s="142"/>
      <c r="P101" s="12"/>
      <c r="Q101" s="12"/>
      <c r="R101" s="12"/>
      <c r="S101" s="12"/>
      <c r="T101" s="12"/>
      <c r="U101" s="12"/>
      <c r="V101" s="12"/>
      <c r="W101" s="12"/>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customHeight="1" outlineLevel="1" collapsed="1">
      <c r="A102" s="4"/>
      <c r="B102" s="40"/>
      <c r="C102" s="40"/>
      <c r="D102" s="145" t="s">
        <v>560</v>
      </c>
      <c r="E102" s="587" t="s">
        <v>581</v>
      </c>
      <c r="F102" s="12"/>
      <c r="G102" s="145" t="s">
        <v>560</v>
      </c>
      <c r="H102" s="100"/>
      <c r="I102" s="589" t="s">
        <v>582</v>
      </c>
      <c r="J102" s="588"/>
      <c r="K102" s="12"/>
      <c r="L102" s="145" t="s">
        <v>560</v>
      </c>
      <c r="M102" s="100"/>
      <c r="N102" s="589" t="s">
        <v>583</v>
      </c>
      <c r="O102" s="588"/>
      <c r="P102" s="12"/>
      <c r="Q102" s="12"/>
      <c r="R102" s="12"/>
      <c r="S102" s="12"/>
      <c r="T102" s="12"/>
      <c r="U102" s="12"/>
      <c r="V102" s="12"/>
      <c r="W102" s="12"/>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customHeight="1" outlineLevel="1" collapsed="1">
      <c r="A103" s="4"/>
      <c r="B103" s="40"/>
      <c r="C103" s="40"/>
      <c r="D103" s="4"/>
      <c r="E103" s="4"/>
      <c r="F103" s="12"/>
      <c r="G103" s="4"/>
      <c r="H103" s="4"/>
      <c r="I103" s="4"/>
      <c r="J103" s="4"/>
      <c r="K103" s="12"/>
      <c r="L103" s="4"/>
      <c r="M103" s="4"/>
      <c r="N103" s="4"/>
      <c r="O103" s="4"/>
      <c r="P103" s="12"/>
      <c r="Q103" s="12"/>
      <c r="R103" s="12"/>
      <c r="S103" s="12"/>
      <c r="T103" s="12"/>
      <c r="U103" s="12"/>
      <c r="V103" s="12"/>
      <c r="W103" s="12"/>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customHeight="1" outlineLevel="1" collapsed="1">
      <c r="A104" s="4"/>
      <c r="B104" s="40"/>
      <c r="C104" s="40"/>
      <c r="D104" s="143" t="s">
        <v>564</v>
      </c>
      <c r="E104" s="590" t="s">
        <v>584</v>
      </c>
      <c r="F104" s="12"/>
      <c r="G104" s="143" t="s">
        <v>564</v>
      </c>
      <c r="H104" s="101"/>
      <c r="I104" s="585" t="s">
        <v>585</v>
      </c>
      <c r="J104" s="229"/>
      <c r="K104" s="12"/>
      <c r="L104" s="143" t="s">
        <v>564</v>
      </c>
      <c r="M104" s="101"/>
      <c r="N104" s="585" t="s">
        <v>586</v>
      </c>
      <c r="O104" s="229"/>
      <c r="P104" s="12"/>
      <c r="Q104" s="12"/>
      <c r="R104" s="12"/>
      <c r="S104" s="12"/>
      <c r="T104" s="12"/>
      <c r="U104" s="12"/>
      <c r="V104" s="12"/>
      <c r="W104" s="12"/>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customHeight="1" outlineLevel="1" collapsed="1">
      <c r="A105" s="4"/>
      <c r="B105" s="40"/>
      <c r="C105" s="40"/>
      <c r="D105" s="141" t="s">
        <v>557</v>
      </c>
      <c r="E105" s="591" t="s">
        <v>452</v>
      </c>
      <c r="F105" s="12"/>
      <c r="G105" s="141" t="s">
        <v>557</v>
      </c>
      <c r="H105" s="12"/>
      <c r="I105" s="586" t="s">
        <v>510</v>
      </c>
      <c r="J105" s="142"/>
      <c r="K105" s="12"/>
      <c r="L105" s="141" t="s">
        <v>557</v>
      </c>
      <c r="M105" s="12"/>
      <c r="N105" s="586" t="s">
        <v>511</v>
      </c>
      <c r="O105" s="142"/>
      <c r="P105" s="12"/>
      <c r="Q105" s="12"/>
      <c r="R105" s="12"/>
      <c r="S105" s="12"/>
      <c r="T105" s="12"/>
      <c r="U105" s="12"/>
      <c r="V105" s="12"/>
      <c r="W105" s="12"/>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customHeight="1" outlineLevel="1" collapsed="1">
      <c r="A106" s="4"/>
      <c r="B106" s="40"/>
      <c r="C106" s="40"/>
      <c r="D106" s="145" t="s">
        <v>560</v>
      </c>
      <c r="E106" s="587" t="s">
        <v>587</v>
      </c>
      <c r="F106" s="12"/>
      <c r="G106" s="145" t="s">
        <v>560</v>
      </c>
      <c r="H106" s="100"/>
      <c r="I106" s="589" t="s">
        <v>588</v>
      </c>
      <c r="J106" s="588"/>
      <c r="K106" s="12"/>
      <c r="L106" s="145" t="s">
        <v>560</v>
      </c>
      <c r="M106" s="100"/>
      <c r="N106" s="589" t="s">
        <v>589</v>
      </c>
      <c r="O106" s="588"/>
      <c r="P106" s="12"/>
      <c r="Q106" s="12"/>
      <c r="R106" s="12"/>
      <c r="S106" s="12"/>
      <c r="T106" s="12"/>
      <c r="U106" s="12"/>
      <c r="V106" s="12"/>
      <c r="W106" s="12"/>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customHeight="1" outlineLevel="1" collapsed="1">
      <c r="A107" s="4"/>
      <c r="B107" s="40"/>
      <c r="C107" s="40"/>
      <c r="D107" s="12"/>
      <c r="E107" s="12"/>
      <c r="F107" s="12"/>
      <c r="G107" s="12"/>
      <c r="H107" s="12"/>
      <c r="I107" s="12"/>
      <c r="J107" s="12"/>
      <c r="K107" s="12"/>
      <c r="L107" s="12"/>
      <c r="M107" s="12"/>
      <c r="N107" s="12"/>
      <c r="O107" s="12"/>
      <c r="P107" s="12"/>
      <c r="Q107" s="12"/>
      <c r="R107" s="12"/>
      <c r="S107" s="12"/>
      <c r="T107" s="12"/>
      <c r="U107" s="12"/>
      <c r="V107" s="12"/>
      <c r="W107" s="12"/>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customHeight="1" outlineLevel="1" collapsed="1">
      <c r="A108" s="4"/>
      <c r="B108" s="40"/>
      <c r="C108" s="40"/>
      <c r="D108" s="143" t="s">
        <v>564</v>
      </c>
      <c r="E108" s="590" t="s">
        <v>590</v>
      </c>
      <c r="F108" s="12"/>
      <c r="G108" s="143" t="s">
        <v>564</v>
      </c>
      <c r="H108" s="101"/>
      <c r="I108" s="585" t="s">
        <v>591</v>
      </c>
      <c r="J108" s="229"/>
      <c r="K108" s="12"/>
      <c r="L108" s="143" t="s">
        <v>564</v>
      </c>
      <c r="M108" s="101"/>
      <c r="N108" s="585" t="s">
        <v>592</v>
      </c>
      <c r="O108" s="229"/>
      <c r="P108" s="12"/>
      <c r="Q108" s="12"/>
      <c r="R108" s="12"/>
      <c r="S108" s="12"/>
      <c r="T108" s="12"/>
      <c r="U108" s="12"/>
      <c r="V108" s="12"/>
      <c r="W108" s="12"/>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customHeight="1" outlineLevel="1" collapsed="1">
      <c r="A109" s="4"/>
      <c r="B109" s="40"/>
      <c r="C109" s="40"/>
      <c r="D109" s="141" t="s">
        <v>557</v>
      </c>
      <c r="E109" s="591" t="s">
        <v>452</v>
      </c>
      <c r="F109" s="12"/>
      <c r="G109" s="141" t="s">
        <v>557</v>
      </c>
      <c r="H109" s="12"/>
      <c r="I109" s="586" t="s">
        <v>513</v>
      </c>
      <c r="J109" s="142"/>
      <c r="K109" s="12"/>
      <c r="L109" s="141" t="s">
        <v>557</v>
      </c>
      <c r="M109" s="12"/>
      <c r="N109" s="586" t="s">
        <v>514</v>
      </c>
      <c r="O109" s="142"/>
      <c r="P109" s="12"/>
      <c r="Q109" s="12"/>
      <c r="R109" s="12"/>
      <c r="S109" s="12"/>
      <c r="T109" s="12"/>
      <c r="U109" s="12"/>
      <c r="V109" s="12"/>
      <c r="W109" s="12"/>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customHeight="1" outlineLevel="1" collapsed="1">
      <c r="A110" s="4"/>
      <c r="B110" s="40"/>
      <c r="C110" s="40"/>
      <c r="D110" s="145" t="s">
        <v>560</v>
      </c>
      <c r="E110" s="587" t="s">
        <v>593</v>
      </c>
      <c r="F110" s="12"/>
      <c r="G110" s="145" t="s">
        <v>560</v>
      </c>
      <c r="H110" s="100"/>
      <c r="I110" s="589" t="s">
        <v>594</v>
      </c>
      <c r="J110" s="588"/>
      <c r="K110" s="12"/>
      <c r="L110" s="145" t="s">
        <v>560</v>
      </c>
      <c r="M110" s="100"/>
      <c r="N110" s="589" t="s">
        <v>595</v>
      </c>
      <c r="O110" s="588"/>
      <c r="P110" s="12"/>
      <c r="Q110" s="12"/>
      <c r="R110" s="12"/>
      <c r="S110" s="12"/>
      <c r="T110" s="12"/>
      <c r="U110" s="12"/>
      <c r="V110" s="12"/>
      <c r="W110" s="12"/>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3.5" customHeight="1" outlineLevel="1" collapsed="1">
      <c r="A111" s="4"/>
      <c r="B111" s="40"/>
      <c r="C111" s="40"/>
      <c r="D111" s="12"/>
      <c r="E111" s="12"/>
      <c r="F111" s="12"/>
      <c r="G111" s="12"/>
      <c r="H111" s="12"/>
      <c r="I111" s="12"/>
      <c r="J111" s="12"/>
      <c r="K111" s="12"/>
      <c r="L111" s="12"/>
      <c r="M111" s="12"/>
      <c r="N111" s="12"/>
      <c r="O111" s="12"/>
      <c r="P111" s="12"/>
      <c r="Q111" s="12"/>
      <c r="R111" s="12"/>
      <c r="S111" s="12"/>
      <c r="T111" s="12"/>
      <c r="U111" s="12"/>
      <c r="V111" s="12"/>
      <c r="W111" s="12"/>
      <c r="X111" s="12"/>
      <c r="Y111" s="12"/>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3.5" customHeight="1">
      <c r="A112" s="4"/>
      <c r="B112" s="40"/>
      <c r="C112" s="40"/>
      <c r="D112" s="4"/>
      <c r="E112" s="4"/>
      <c r="F112" s="4"/>
      <c r="G112" s="4"/>
      <c r="H112" s="12"/>
      <c r="I112" s="12"/>
      <c r="J112" s="12"/>
      <c r="K112" s="12"/>
      <c r="L112" s="12"/>
      <c r="M112" s="12"/>
      <c r="N112" s="12"/>
      <c r="O112" s="12"/>
      <c r="P112" s="12"/>
      <c r="Q112" s="12"/>
      <c r="R112" s="12"/>
      <c r="S112" s="12"/>
      <c r="T112" s="12"/>
      <c r="U112" s="12"/>
      <c r="V112" s="12"/>
      <c r="W112" s="12"/>
      <c r="X112" s="12"/>
      <c r="Y112" s="12"/>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3.5" customHeight="1">
      <c r="A113" s="4"/>
    </row>
    <row r="114" spans="1:66" ht="13.5" customHeight="1">
      <c r="A114" s="4"/>
    </row>
    <row r="115" spans="1:66" ht="13.5" customHeight="1">
      <c r="A115" s="4"/>
    </row>
    <row r="116" spans="1:66" ht="13.5" customHeight="1">
      <c r="A116" s="4"/>
    </row>
    <row r="117" spans="1:66" ht="13.5" customHeight="1">
      <c r="A117" s="4"/>
    </row>
    <row r="118" spans="1:66" ht="13.5" customHeight="1">
      <c r="A118" s="4"/>
      <c r="B118" s="4"/>
      <c r="C118" s="40"/>
      <c r="S118" s="12"/>
      <c r="T118" s="12"/>
      <c r="U118" s="12"/>
      <c r="V118" s="12"/>
      <c r="W118" s="12"/>
      <c r="X118" s="12"/>
      <c r="Y118" s="12"/>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spans="1:66" ht="13.5" customHeight="1">
      <c r="A119" s="4"/>
      <c r="B119" s="4"/>
      <c r="C119" s="40"/>
      <c r="S119" s="12"/>
      <c r="T119" s="12"/>
      <c r="U119" s="12"/>
      <c r="V119" s="12"/>
      <c r="W119" s="12"/>
      <c r="X119" s="12"/>
      <c r="Y119" s="12"/>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ht="13.5" customHeight="1">
      <c r="A120" s="4"/>
      <c r="B120" s="4"/>
      <c r="C120" s="40"/>
      <c r="S120" s="12"/>
      <c r="T120" s="12"/>
      <c r="U120" s="12"/>
      <c r="V120" s="12"/>
      <c r="W120" s="12"/>
      <c r="X120" s="12"/>
      <c r="Y120" s="12"/>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3.5" customHeight="1">
      <c r="A121" s="4"/>
      <c r="B121" s="4"/>
      <c r="C121" s="40"/>
      <c r="S121" s="12"/>
      <c r="T121" s="12"/>
      <c r="U121" s="12"/>
      <c r="V121" s="12"/>
      <c r="W121" s="12"/>
      <c r="X121" s="12"/>
      <c r="Y121" s="12"/>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3.5" customHeight="1">
      <c r="A122" s="4"/>
      <c r="B122" s="4"/>
      <c r="C122" s="40"/>
      <c r="S122" s="12"/>
      <c r="T122" s="12"/>
      <c r="U122" s="12"/>
      <c r="V122" s="12"/>
      <c r="W122" s="12"/>
      <c r="X122" s="12"/>
      <c r="Y122" s="12"/>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3.5" customHeight="1">
      <c r="A123" s="4"/>
      <c r="B123" s="4"/>
      <c r="C123" s="40"/>
      <c r="S123" s="12"/>
      <c r="T123" s="12"/>
      <c r="U123" s="12"/>
      <c r="V123" s="12"/>
      <c r="W123" s="12"/>
      <c r="X123" s="12"/>
      <c r="Y123" s="12"/>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3.5" customHeight="1">
      <c r="A124" s="4"/>
      <c r="B124" s="4"/>
      <c r="C124" s="40"/>
      <c r="S124" s="12"/>
      <c r="T124" s="12"/>
      <c r="U124" s="12"/>
      <c r="V124" s="12"/>
      <c r="W124" s="12"/>
      <c r="X124" s="12"/>
      <c r="Y124" s="12"/>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3.5" customHeight="1">
      <c r="A125" s="4"/>
      <c r="B125" s="4"/>
      <c r="C125" s="40"/>
      <c r="S125" s="12"/>
      <c r="T125" s="12"/>
      <c r="U125" s="12"/>
      <c r="V125" s="12"/>
      <c r="W125" s="12"/>
      <c r="X125" s="12"/>
      <c r="Y125" s="12"/>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3.5" customHeight="1">
      <c r="A126" s="4"/>
      <c r="B126" s="4"/>
      <c r="C126" s="479"/>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3.5" customHeight="1">
      <c r="A127" s="4"/>
      <c r="B127" s="4"/>
      <c r="C127" s="479"/>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3.5" customHeight="1">
      <c r="A128" s="4"/>
      <c r="B128" s="4"/>
      <c r="C128" s="479"/>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3.5" customHeight="1">
      <c r="A129" s="4"/>
      <c r="B129" s="4"/>
      <c r="C129" s="479"/>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3.5" customHeight="1">
      <c r="A130" s="4"/>
      <c r="B130" s="4"/>
      <c r="C130" s="479"/>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3.5" customHeight="1">
      <c r="A131" s="4"/>
      <c r="B131" s="4"/>
      <c r="C131" s="479"/>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3.5" customHeight="1">
      <c r="A132" s="4"/>
      <c r="B132" s="4"/>
      <c r="C132" s="479"/>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3.5" customHeight="1">
      <c r="A133" s="4"/>
      <c r="B133" s="4"/>
      <c r="C133" s="479"/>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3.5" customHeight="1">
      <c r="A134" s="4"/>
      <c r="B134" s="4"/>
      <c r="C134" s="479"/>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3.5" customHeight="1">
      <c r="A135" s="4"/>
      <c r="B135" s="4"/>
      <c r="C135" s="479"/>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3.5" customHeight="1">
      <c r="A136" s="4"/>
      <c r="B136" s="4"/>
      <c r="C136" s="479"/>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3.5" customHeight="1">
      <c r="A137" s="4"/>
      <c r="B137" s="4"/>
      <c r="C137" s="479"/>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3.5" customHeight="1">
      <c r="A138" s="4"/>
      <c r="B138" s="4"/>
      <c r="C138" s="479"/>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3.5" customHeight="1">
      <c r="A139" s="4"/>
      <c r="B139" s="4"/>
      <c r="C139" s="479"/>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3.5" customHeight="1">
      <c r="A140" s="4"/>
      <c r="B140" s="4"/>
      <c r="C140" s="479"/>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3.5" customHeight="1">
      <c r="A141" s="4"/>
      <c r="B141" s="4"/>
      <c r="C141" s="479"/>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3.5" customHeight="1">
      <c r="A142" s="4"/>
      <c r="B142" s="4"/>
      <c r="C142" s="479"/>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3.5" customHeight="1">
      <c r="A143" s="4"/>
      <c r="B143" s="4"/>
      <c r="C143" s="479"/>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3.5" customHeight="1">
      <c r="A144" s="4"/>
      <c r="B144" s="4"/>
      <c r="C144" s="479"/>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3.5" customHeight="1">
      <c r="A145" s="4"/>
      <c r="B145" s="4"/>
      <c r="C145" s="479"/>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3.5" customHeight="1">
      <c r="A146" s="4"/>
      <c r="B146" s="4"/>
      <c r="C146" s="479"/>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3.5" customHeight="1">
      <c r="A147" s="4"/>
      <c r="B147" s="4"/>
      <c r="C147" s="479"/>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3.5" customHeight="1">
      <c r="A148" s="4"/>
      <c r="B148" s="4"/>
      <c r="C148" s="479"/>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3.5" customHeight="1">
      <c r="A149" s="4"/>
      <c r="B149" s="4"/>
      <c r="C149" s="479"/>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3.5" customHeight="1">
      <c r="A150" s="4"/>
      <c r="B150" s="4"/>
      <c r="C150" s="479"/>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3.5" customHeight="1">
      <c r="A151" s="4"/>
      <c r="B151" s="4"/>
      <c r="C151" s="479"/>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3.5" customHeight="1">
      <c r="A152" s="4"/>
      <c r="B152" s="4"/>
      <c r="C152" s="479"/>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3.5" customHeight="1">
      <c r="A153" s="4"/>
      <c r="B153" s="4"/>
      <c r="C153" s="479"/>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3.5" customHeight="1">
      <c r="A154" s="4"/>
      <c r="B154" s="4"/>
      <c r="C154" s="479"/>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3.5" customHeight="1">
      <c r="A155" s="4"/>
      <c r="B155" s="4"/>
      <c r="C155" s="479"/>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3.5" customHeight="1">
      <c r="A156" s="4"/>
      <c r="B156" s="4"/>
      <c r="C156" s="479"/>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3.5" customHeight="1">
      <c r="A157" s="4"/>
      <c r="B157" s="4"/>
      <c r="C157" s="479"/>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3.5" customHeight="1">
      <c r="A158" s="4"/>
      <c r="B158" s="4"/>
      <c r="C158" s="479"/>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3.5" customHeight="1">
      <c r="A159" s="4"/>
      <c r="B159" s="4"/>
      <c r="C159" s="479"/>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3.5" customHeight="1">
      <c r="A160" s="4"/>
      <c r="B160" s="4"/>
      <c r="C160" s="479"/>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3.5" customHeight="1">
      <c r="A161" s="4"/>
      <c r="B161" s="4"/>
      <c r="C161" s="479"/>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3.5" customHeight="1">
      <c r="A162" s="4"/>
      <c r="B162" s="4"/>
      <c r="C162" s="479"/>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3.5" customHeight="1">
      <c r="A163" s="4"/>
      <c r="B163" s="4"/>
      <c r="C163" s="479"/>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3.5" customHeight="1">
      <c r="A164" s="4"/>
      <c r="B164" s="4"/>
      <c r="C164" s="479"/>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3.5" customHeight="1">
      <c r="A165" s="4"/>
      <c r="B165" s="4"/>
      <c r="C165" s="479"/>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3.5" customHeight="1">
      <c r="A166" s="4"/>
      <c r="B166" s="4"/>
      <c r="C166" s="479"/>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3.5" customHeight="1">
      <c r="A167" s="4"/>
      <c r="B167" s="4"/>
      <c r="C167" s="479"/>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3.5" customHeight="1">
      <c r="A168" s="4"/>
      <c r="B168" s="4"/>
      <c r="C168" s="479"/>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3.5" customHeight="1">
      <c r="A169" s="4"/>
      <c r="B169" s="4"/>
      <c r="C169" s="479"/>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3.5" customHeight="1">
      <c r="A170" s="4"/>
      <c r="B170" s="4"/>
      <c r="C170" s="479"/>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3.5" customHeight="1">
      <c r="A171" s="4"/>
      <c r="B171" s="4"/>
      <c r="C171" s="479"/>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3.5" customHeight="1">
      <c r="A172" s="4"/>
      <c r="B172" s="4"/>
      <c r="C172" s="479"/>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3.5" customHeight="1">
      <c r="A173" s="4"/>
      <c r="B173" s="4"/>
      <c r="C173" s="479"/>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3.5" customHeight="1">
      <c r="A174" s="4"/>
      <c r="B174" s="4"/>
      <c r="C174" s="479"/>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3.5" customHeight="1">
      <c r="A175" s="4"/>
      <c r="B175" s="4"/>
      <c r="C175" s="479"/>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3.5" customHeight="1">
      <c r="A176" s="4"/>
      <c r="B176" s="4"/>
      <c r="C176" s="479"/>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3.5" customHeight="1">
      <c r="A177" s="4"/>
      <c r="B177" s="4"/>
      <c r="C177" s="479"/>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3.5" customHeight="1">
      <c r="A178" s="4"/>
      <c r="B178" s="4"/>
      <c r="C178" s="479"/>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3.5" customHeight="1">
      <c r="A179" s="4"/>
      <c r="B179" s="4"/>
      <c r="C179" s="479"/>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3.5" customHeight="1">
      <c r="A180" s="4"/>
      <c r="B180" s="4"/>
      <c r="C180" s="479"/>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3.5" customHeight="1">
      <c r="A181" s="4"/>
      <c r="B181" s="4"/>
      <c r="C181" s="479"/>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3.5" customHeight="1">
      <c r="A182" s="4"/>
      <c r="B182" s="4"/>
      <c r="C182" s="479"/>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3.5" customHeight="1">
      <c r="A183" s="4"/>
      <c r="B183" s="4"/>
      <c r="C183" s="479"/>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3.5" customHeight="1">
      <c r="A184" s="4"/>
      <c r="B184" s="4"/>
      <c r="C184" s="479"/>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3.5" customHeight="1">
      <c r="A185" s="4"/>
      <c r="B185" s="4"/>
      <c r="C185" s="479"/>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3.5" customHeight="1">
      <c r="A186" s="4"/>
      <c r="B186" s="4"/>
      <c r="C186" s="479"/>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3.5" customHeight="1">
      <c r="A187" s="4"/>
      <c r="B187" s="4"/>
      <c r="C187" s="479"/>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3.5" customHeight="1">
      <c r="A188" s="4"/>
      <c r="B188" s="4"/>
      <c r="C188" s="479"/>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3.5" customHeight="1">
      <c r="A189" s="4"/>
      <c r="B189" s="4"/>
      <c r="C189" s="479"/>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3.5" customHeight="1">
      <c r="A190" s="4"/>
      <c r="B190" s="4"/>
      <c r="C190" s="479"/>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3.5" customHeight="1">
      <c r="A191" s="4"/>
      <c r="B191" s="4"/>
      <c r="C191" s="479"/>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3.5" customHeight="1">
      <c r="A192" s="4"/>
      <c r="B192" s="4"/>
      <c r="C192" s="479"/>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3.5" customHeight="1">
      <c r="A193" s="4"/>
      <c r="B193" s="4"/>
      <c r="C193" s="479"/>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3.5" customHeight="1">
      <c r="A194" s="4"/>
      <c r="B194" s="4"/>
      <c r="C194" s="479"/>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3.5" customHeight="1">
      <c r="A195" s="4"/>
      <c r="B195" s="4"/>
      <c r="C195" s="479"/>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3.5" customHeight="1">
      <c r="A196" s="4"/>
      <c r="B196" s="4"/>
      <c r="C196" s="479"/>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3.5" customHeight="1">
      <c r="A197" s="4"/>
      <c r="B197" s="4"/>
      <c r="C197" s="479"/>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3.5" customHeight="1">
      <c r="A198" s="4"/>
      <c r="B198" s="4"/>
      <c r="C198" s="479"/>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3.5" customHeight="1">
      <c r="A199" s="4"/>
      <c r="B199" s="4"/>
      <c r="C199" s="479"/>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3.5" customHeight="1">
      <c r="A200" s="4"/>
      <c r="B200" s="4"/>
      <c r="C200" s="479"/>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3.5" customHeight="1">
      <c r="A201" s="4"/>
      <c r="B201" s="4"/>
      <c r="C201" s="479"/>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3.5" customHeight="1">
      <c r="A202" s="4"/>
      <c r="B202" s="4"/>
      <c r="C202" s="479"/>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3.5" customHeight="1">
      <c r="A203" s="4"/>
      <c r="B203" s="4"/>
      <c r="C203" s="479"/>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3.5" customHeight="1">
      <c r="A204" s="4"/>
      <c r="B204" s="4"/>
      <c r="C204" s="479"/>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3.5" customHeight="1">
      <c r="A205" s="4"/>
      <c r="B205" s="4"/>
      <c r="C205" s="479"/>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3.5" customHeight="1">
      <c r="A206" s="4"/>
      <c r="B206" s="4"/>
      <c r="C206" s="479"/>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3.5" customHeight="1">
      <c r="A207" s="4"/>
      <c r="B207" s="4"/>
      <c r="C207" s="479"/>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3.5" customHeight="1">
      <c r="A208" s="4"/>
      <c r="B208" s="4"/>
      <c r="C208" s="479"/>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3.5" customHeight="1">
      <c r="A209" s="4"/>
      <c r="B209" s="4"/>
      <c r="C209" s="479"/>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3.5" customHeight="1">
      <c r="A210" s="4"/>
      <c r="B210" s="4"/>
      <c r="C210" s="479"/>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3.5" customHeight="1">
      <c r="A211" s="4"/>
      <c r="B211" s="4"/>
      <c r="C211" s="479"/>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3.5" customHeight="1">
      <c r="A212" s="4"/>
      <c r="B212" s="4"/>
      <c r="C212" s="479"/>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3.5" customHeight="1">
      <c r="A213" s="4"/>
      <c r="B213" s="4"/>
      <c r="C213" s="479"/>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3.5" customHeight="1">
      <c r="A214" s="4"/>
      <c r="B214" s="4"/>
      <c r="C214" s="479"/>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3.5" customHeight="1">
      <c r="A215" s="4"/>
      <c r="B215" s="4"/>
      <c r="C215" s="479"/>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3.5" customHeight="1">
      <c r="A216" s="4"/>
      <c r="B216" s="4"/>
      <c r="C216" s="479"/>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3.5" customHeight="1">
      <c r="A217" s="4"/>
      <c r="B217" s="4"/>
      <c r="C217" s="479"/>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3.5" customHeight="1">
      <c r="A218" s="4"/>
      <c r="B218" s="4"/>
      <c r="C218" s="479"/>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3.5" customHeight="1">
      <c r="A219" s="4"/>
      <c r="B219" s="4"/>
      <c r="C219" s="479"/>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3.5" customHeight="1">
      <c r="A220" s="4"/>
      <c r="B220" s="4"/>
      <c r="C220" s="479"/>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3.5" customHeight="1">
      <c r="A221" s="4"/>
      <c r="B221" s="4"/>
      <c r="C221" s="479"/>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3.5" customHeight="1">
      <c r="A222" s="4"/>
      <c r="B222" s="4"/>
      <c r="C222" s="479"/>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3.5" customHeight="1">
      <c r="A223" s="4"/>
      <c r="B223" s="4"/>
      <c r="C223" s="479"/>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3.5" customHeight="1">
      <c r="A224" s="4"/>
      <c r="B224" s="4"/>
      <c r="C224" s="479"/>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3.5" customHeight="1">
      <c r="A225" s="4"/>
      <c r="B225" s="4"/>
      <c r="C225" s="479"/>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3.5" customHeight="1">
      <c r="A226" s="4"/>
      <c r="B226" s="4"/>
      <c r="C226" s="479"/>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3.5" customHeight="1">
      <c r="A227" s="4"/>
      <c r="B227" s="4"/>
      <c r="C227" s="479"/>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3.5" customHeight="1">
      <c r="A228" s="4"/>
      <c r="B228" s="4"/>
      <c r="C228" s="479"/>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3.5" customHeight="1">
      <c r="A229" s="4"/>
      <c r="B229" s="4"/>
      <c r="C229" s="479"/>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3.5" customHeight="1">
      <c r="A230" s="4"/>
      <c r="B230" s="4"/>
      <c r="C230" s="479"/>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3.5" customHeight="1">
      <c r="A231" s="4"/>
      <c r="B231" s="4"/>
      <c r="C231" s="479"/>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3.5" customHeight="1">
      <c r="A232" s="4"/>
      <c r="B232" s="4"/>
      <c r="C232" s="479"/>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3.5" customHeight="1">
      <c r="A233" s="4"/>
      <c r="B233" s="4"/>
      <c r="C233" s="479"/>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3.5" customHeight="1">
      <c r="A234" s="4"/>
      <c r="B234" s="4"/>
      <c r="C234" s="479"/>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3.5" customHeight="1">
      <c r="A235" s="4"/>
      <c r="B235" s="4"/>
      <c r="C235" s="479"/>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3.5" customHeight="1">
      <c r="A236" s="4"/>
      <c r="B236" s="4"/>
      <c r="C236" s="479"/>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3.5" customHeight="1">
      <c r="A237" s="4"/>
      <c r="B237" s="4"/>
      <c r="C237" s="479"/>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3.5" customHeight="1">
      <c r="A238" s="4"/>
      <c r="B238" s="4"/>
      <c r="C238" s="479"/>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3.5" customHeight="1">
      <c r="A239" s="4"/>
      <c r="B239" s="4"/>
      <c r="C239" s="479"/>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3.5" customHeight="1">
      <c r="A240" s="4"/>
      <c r="B240" s="4"/>
      <c r="C240" s="479"/>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3.5" customHeight="1">
      <c r="A241" s="4"/>
      <c r="B241" s="4"/>
      <c r="C241" s="479"/>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3.5" customHeight="1">
      <c r="A242" s="4"/>
      <c r="B242" s="4"/>
      <c r="C242" s="479"/>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3.5" customHeight="1">
      <c r="A243" s="4"/>
      <c r="B243" s="4"/>
      <c r="C243" s="479"/>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3.5" customHeight="1">
      <c r="A244" s="4"/>
      <c r="B244" s="4"/>
      <c r="C244" s="479"/>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3.5" customHeight="1">
      <c r="A245" s="4"/>
      <c r="B245" s="4"/>
      <c r="C245" s="479"/>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3.5" customHeight="1">
      <c r="A246" s="4"/>
      <c r="B246" s="4"/>
      <c r="C246" s="479"/>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3.5" customHeight="1">
      <c r="A247" s="4"/>
      <c r="B247" s="4"/>
      <c r="C247" s="479"/>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3.5" customHeight="1">
      <c r="A248" s="4"/>
      <c r="B248" s="4"/>
      <c r="C248" s="479"/>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3.5" customHeight="1">
      <c r="A249" s="4"/>
      <c r="B249" s="4"/>
      <c r="C249" s="479"/>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3.5" customHeight="1">
      <c r="A250" s="4"/>
      <c r="B250" s="4"/>
      <c r="C250" s="479"/>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3.5" customHeight="1">
      <c r="A251" s="4"/>
      <c r="B251" s="4"/>
      <c r="C251" s="479"/>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3.5" customHeight="1">
      <c r="A252" s="4"/>
      <c r="B252" s="4"/>
      <c r="C252" s="479"/>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3.5" customHeight="1">
      <c r="A253" s="4"/>
      <c r="B253" s="4"/>
      <c r="C253" s="479"/>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3.5" customHeight="1">
      <c r="A254" s="4"/>
      <c r="B254" s="4"/>
      <c r="C254" s="479"/>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3.5" customHeight="1">
      <c r="A255" s="4"/>
      <c r="B255" s="4"/>
      <c r="C255" s="479"/>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3.5" customHeight="1">
      <c r="A256" s="4"/>
      <c r="B256" s="4"/>
      <c r="C256" s="479"/>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3.5" customHeight="1">
      <c r="A257" s="4"/>
      <c r="B257" s="4"/>
      <c r="C257" s="479"/>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3.5" customHeight="1">
      <c r="A258" s="4"/>
      <c r="B258" s="4"/>
      <c r="C258" s="479"/>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3.5" customHeight="1">
      <c r="A259" s="4"/>
      <c r="B259" s="4"/>
      <c r="C259" s="479"/>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3.5" customHeight="1">
      <c r="A260" s="4"/>
      <c r="B260" s="4"/>
      <c r="C260" s="479"/>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3.5" customHeight="1">
      <c r="A261" s="4"/>
      <c r="B261" s="4"/>
      <c r="C261" s="479"/>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3.5" customHeight="1">
      <c r="A262" s="4"/>
      <c r="B262" s="4"/>
      <c r="C262" s="479"/>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3.5" customHeight="1">
      <c r="A263" s="4"/>
      <c r="B263" s="4"/>
      <c r="C263" s="479"/>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3.5" customHeight="1">
      <c r="A264" s="4"/>
      <c r="B264" s="4"/>
      <c r="C264" s="479"/>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3.5" customHeight="1">
      <c r="A265" s="4"/>
      <c r="B265" s="4"/>
      <c r="C265" s="479"/>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3.5" customHeight="1">
      <c r="A266" s="4"/>
      <c r="B266" s="4"/>
      <c r="C266" s="479"/>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3.5" customHeight="1">
      <c r="A267" s="4"/>
      <c r="B267" s="4"/>
      <c r="C267" s="479"/>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3.5" customHeight="1">
      <c r="A268" s="4"/>
      <c r="B268" s="4"/>
      <c r="C268" s="479"/>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3.5" customHeight="1">
      <c r="A269" s="4"/>
      <c r="B269" s="4"/>
      <c r="C269" s="479"/>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3.5" customHeight="1">
      <c r="A270" s="4"/>
      <c r="B270" s="4"/>
      <c r="C270" s="479"/>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3.5" customHeight="1">
      <c r="A271" s="4"/>
      <c r="B271" s="4"/>
      <c r="C271" s="479"/>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3.5" customHeight="1">
      <c r="A272" s="4"/>
      <c r="B272" s="4"/>
      <c r="C272" s="479"/>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3.5" customHeight="1">
      <c r="A273" s="4"/>
      <c r="B273" s="4"/>
      <c r="C273" s="479"/>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3.5" customHeight="1">
      <c r="A274" s="4"/>
      <c r="B274" s="4"/>
      <c r="C274" s="479"/>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3.5" customHeight="1">
      <c r="A275" s="4"/>
      <c r="B275" s="4"/>
      <c r="C275" s="479"/>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3.5" customHeight="1">
      <c r="A276" s="4"/>
      <c r="B276" s="4"/>
      <c r="C276" s="479"/>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3.5" customHeight="1">
      <c r="A277" s="4"/>
      <c r="B277" s="4"/>
      <c r="C277" s="479"/>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3.5" customHeight="1">
      <c r="A278" s="4"/>
      <c r="B278" s="4"/>
      <c r="C278" s="479"/>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3.5" customHeight="1">
      <c r="A279" s="4"/>
      <c r="B279" s="4"/>
      <c r="C279" s="479"/>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3.5" customHeight="1">
      <c r="A280" s="4"/>
      <c r="B280" s="4"/>
      <c r="C280" s="479"/>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3.5" customHeight="1">
      <c r="A281" s="4"/>
      <c r="B281" s="4"/>
      <c r="C281" s="479"/>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3.5" customHeight="1">
      <c r="A282" s="4"/>
      <c r="B282" s="4"/>
      <c r="C282" s="479"/>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3.5" customHeight="1">
      <c r="A283" s="4"/>
      <c r="B283" s="4"/>
      <c r="C283" s="479"/>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3.5" customHeight="1">
      <c r="A284" s="4"/>
      <c r="B284" s="4"/>
      <c r="C284" s="479"/>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3.5" customHeight="1">
      <c r="A285" s="4"/>
      <c r="B285" s="4"/>
      <c r="C285" s="479"/>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3.5" customHeight="1">
      <c r="A286" s="4"/>
      <c r="B286" s="4"/>
      <c r="C286" s="479"/>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3.5" customHeight="1">
      <c r="A287" s="4"/>
      <c r="B287" s="4"/>
      <c r="C287" s="479"/>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3.5" customHeight="1">
      <c r="A288" s="4"/>
      <c r="B288" s="4"/>
      <c r="C288" s="479"/>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3.5" customHeight="1">
      <c r="A289" s="4"/>
      <c r="B289" s="4"/>
      <c r="C289" s="479"/>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3.5" customHeight="1">
      <c r="A290" s="4"/>
      <c r="B290" s="4"/>
      <c r="C290" s="479"/>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3.5" customHeight="1">
      <c r="A291" s="4"/>
      <c r="B291" s="4"/>
      <c r="C291" s="479"/>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3.5" customHeight="1">
      <c r="A292" s="4"/>
      <c r="B292" s="4"/>
      <c r="C292" s="479"/>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3.5" customHeight="1">
      <c r="A293" s="4"/>
      <c r="B293" s="4"/>
      <c r="C293" s="479"/>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3.5" customHeight="1">
      <c r="A294" s="4"/>
      <c r="B294" s="4"/>
      <c r="C294" s="479"/>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3.5" customHeight="1">
      <c r="A295" s="4"/>
      <c r="B295" s="4"/>
      <c r="C295" s="479"/>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3.5" customHeight="1">
      <c r="A296" s="4"/>
      <c r="B296" s="4"/>
      <c r="C296" s="479"/>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3.5" customHeight="1">
      <c r="A297" s="4"/>
      <c r="B297" s="4"/>
      <c r="C297" s="479"/>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3.5" customHeight="1">
      <c r="A298" s="4"/>
      <c r="B298" s="4"/>
      <c r="C298" s="479"/>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3.5" customHeight="1">
      <c r="A299" s="4"/>
      <c r="B299" s="4"/>
      <c r="C299" s="479"/>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3.5" customHeight="1">
      <c r="A300" s="4"/>
      <c r="B300" s="4"/>
      <c r="C300" s="479"/>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3.5" customHeight="1">
      <c r="A301" s="4"/>
      <c r="B301" s="4"/>
      <c r="C301" s="479"/>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3.5" customHeight="1">
      <c r="A302" s="4"/>
      <c r="B302" s="4"/>
      <c r="C302" s="479"/>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3.5" customHeight="1">
      <c r="A303" s="4"/>
      <c r="B303" s="4"/>
      <c r="C303" s="479"/>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3.5" customHeight="1">
      <c r="A304" s="4"/>
      <c r="B304" s="4"/>
      <c r="C304" s="479"/>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3.5" customHeight="1">
      <c r="A305" s="4"/>
      <c r="B305" s="4"/>
      <c r="C305" s="479"/>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3.5" customHeight="1">
      <c r="A306" s="4"/>
      <c r="B306" s="4"/>
      <c r="C306" s="479"/>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3.5" customHeight="1">
      <c r="A307" s="4"/>
      <c r="B307" s="4"/>
      <c r="C307" s="479"/>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3.5" customHeight="1">
      <c r="A308" s="4"/>
      <c r="B308" s="4"/>
      <c r="C308" s="479"/>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3.5" customHeight="1">
      <c r="A309" s="4"/>
      <c r="B309" s="4"/>
      <c r="C309" s="479"/>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3.5" customHeight="1">
      <c r="A310" s="4"/>
      <c r="B310" s="4"/>
      <c r="C310" s="479"/>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3.5" customHeight="1">
      <c r="A311" s="4"/>
      <c r="B311" s="4"/>
      <c r="C311" s="479"/>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3.5" customHeight="1">
      <c r="A312" s="4"/>
      <c r="B312" s="4"/>
      <c r="C312" s="479"/>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3.5" customHeight="1">
      <c r="A313" s="4"/>
      <c r="B313" s="4"/>
      <c r="C313" s="479"/>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3.5" customHeight="1">
      <c r="A314" s="4"/>
      <c r="B314" s="4"/>
      <c r="C314" s="479"/>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3.5" customHeight="1">
      <c r="A315" s="4"/>
      <c r="B315" s="4"/>
      <c r="C315" s="479"/>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3.5" customHeight="1">
      <c r="A316" s="4"/>
      <c r="B316" s="4"/>
      <c r="C316" s="479"/>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3.5" customHeight="1">
      <c r="A317" s="4"/>
      <c r="B317" s="4"/>
      <c r="C317" s="479"/>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3.5" customHeight="1">
      <c r="A318" s="4"/>
      <c r="B318" s="4"/>
      <c r="C318" s="479"/>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3.5" customHeight="1">
      <c r="A319" s="4"/>
      <c r="B319" s="4"/>
      <c r="C319" s="479"/>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3.5" customHeight="1">
      <c r="A320" s="4"/>
      <c r="B320" s="4"/>
      <c r="C320" s="479"/>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3.5" customHeight="1">
      <c r="A321" s="4"/>
      <c r="B321" s="4"/>
      <c r="C321" s="479"/>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3.5" customHeight="1">
      <c r="A322" s="4"/>
      <c r="B322" s="4"/>
      <c r="C322" s="479"/>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3.5" customHeight="1">
      <c r="A323" s="4"/>
      <c r="B323" s="4"/>
      <c r="C323" s="479"/>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3.5" customHeight="1">
      <c r="A324" s="4"/>
      <c r="B324" s="4"/>
      <c r="C324" s="479"/>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3.5" customHeight="1">
      <c r="A325" s="4"/>
      <c r="B325" s="4"/>
      <c r="C325" s="479"/>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3.5" customHeight="1">
      <c r="A326" s="4"/>
      <c r="B326" s="4"/>
      <c r="C326" s="479"/>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3.5" customHeight="1">
      <c r="A327" s="4"/>
      <c r="B327" s="4"/>
      <c r="C327" s="479"/>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3.5" customHeight="1">
      <c r="A328" s="4"/>
      <c r="B328" s="4"/>
      <c r="C328" s="479"/>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3.5" customHeight="1">
      <c r="A329" s="4"/>
      <c r="B329" s="4"/>
      <c r="C329" s="479"/>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3.5" customHeight="1">
      <c r="A330" s="4"/>
      <c r="B330" s="4"/>
      <c r="C330" s="479"/>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3.5" customHeight="1">
      <c r="A331" s="4"/>
      <c r="B331" s="4"/>
      <c r="C331" s="479"/>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3.5" customHeight="1">
      <c r="A332" s="4"/>
      <c r="B332" s="4"/>
      <c r="C332" s="479"/>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3.5" customHeight="1">
      <c r="A333" s="4"/>
      <c r="B333" s="4"/>
      <c r="C333" s="479"/>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3.5" customHeight="1">
      <c r="A334" s="4"/>
      <c r="B334" s="4"/>
      <c r="C334" s="479"/>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3.5" customHeight="1">
      <c r="A335" s="4"/>
      <c r="B335" s="4"/>
      <c r="C335" s="479"/>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3.5" customHeight="1">
      <c r="A336" s="4"/>
      <c r="B336" s="4"/>
      <c r="C336" s="479"/>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3.5" customHeight="1">
      <c r="A337" s="4"/>
      <c r="B337" s="4"/>
      <c r="C337" s="479"/>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3.5" customHeight="1">
      <c r="A338" s="4"/>
      <c r="B338" s="4"/>
      <c r="C338" s="479"/>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3.5" customHeight="1">
      <c r="A339" s="4"/>
      <c r="B339" s="4"/>
      <c r="C339" s="479"/>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3.5" customHeight="1">
      <c r="A340" s="4"/>
      <c r="B340" s="4"/>
      <c r="C340" s="479"/>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3.5" customHeight="1">
      <c r="A341" s="4"/>
      <c r="B341" s="4"/>
      <c r="C341" s="479"/>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3.5" customHeight="1">
      <c r="A342" s="4"/>
      <c r="B342" s="4"/>
      <c r="C342" s="479"/>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3.5" customHeight="1">
      <c r="A343" s="4"/>
      <c r="B343" s="4"/>
      <c r="C343" s="479"/>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3.5" customHeight="1">
      <c r="A344" s="4"/>
      <c r="B344" s="4"/>
      <c r="C344" s="479"/>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3.5" customHeight="1">
      <c r="A345" s="4"/>
      <c r="B345" s="4"/>
      <c r="C345" s="479"/>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3.5" customHeight="1">
      <c r="A346" s="4"/>
      <c r="B346" s="4"/>
      <c r="C346" s="479"/>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3.5" customHeight="1">
      <c r="A347" s="4"/>
      <c r="B347" s="4"/>
      <c r="C347" s="479"/>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3.5" customHeight="1">
      <c r="A348" s="4"/>
      <c r="B348" s="4"/>
      <c r="C348" s="479"/>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3.5" customHeight="1">
      <c r="A349" s="4"/>
      <c r="B349" s="4"/>
      <c r="C349" s="479"/>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3.5" customHeight="1">
      <c r="A350" s="4"/>
      <c r="B350" s="4"/>
      <c r="C350" s="479"/>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3.5" customHeight="1">
      <c r="A351" s="4"/>
      <c r="B351" s="4"/>
      <c r="C351" s="479"/>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3.5" customHeight="1">
      <c r="A352" s="4"/>
      <c r="B352" s="4"/>
      <c r="C352" s="479"/>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3.5" customHeight="1">
      <c r="A353" s="4"/>
      <c r="B353" s="4"/>
      <c r="C353" s="479"/>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3.5" customHeight="1">
      <c r="A354" s="4"/>
      <c r="B354" s="4"/>
      <c r="C354" s="479"/>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3.5" customHeight="1">
      <c r="A355" s="4"/>
      <c r="B355" s="4"/>
      <c r="C355" s="479"/>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3.5" customHeight="1">
      <c r="A356" s="4"/>
      <c r="B356" s="4"/>
      <c r="C356" s="479"/>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3.5" customHeight="1">
      <c r="A357" s="4"/>
      <c r="B357" s="4"/>
      <c r="C357" s="479"/>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3.5" customHeight="1">
      <c r="A358" s="4"/>
      <c r="B358" s="4"/>
      <c r="C358" s="479"/>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3.5" customHeight="1">
      <c r="A359" s="4"/>
      <c r="B359" s="4"/>
      <c r="C359" s="479"/>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3.5" customHeight="1">
      <c r="A360" s="4"/>
      <c r="B360" s="4"/>
      <c r="C360" s="479"/>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3.5" customHeight="1">
      <c r="A361" s="4"/>
      <c r="B361" s="4"/>
      <c r="C361" s="479"/>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3.5" customHeight="1">
      <c r="A362" s="4"/>
      <c r="B362" s="4"/>
      <c r="C362" s="479"/>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3.5" customHeight="1">
      <c r="A363" s="4"/>
      <c r="B363" s="4"/>
      <c r="C363" s="479"/>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3.5" customHeight="1">
      <c r="A364" s="4"/>
      <c r="B364" s="4"/>
      <c r="C364" s="479"/>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3.5" customHeight="1">
      <c r="A365" s="4"/>
      <c r="B365" s="4"/>
      <c r="C365" s="479"/>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3.5" customHeight="1">
      <c r="A366" s="4"/>
      <c r="B366" s="4"/>
      <c r="C366" s="479"/>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3.5" customHeight="1">
      <c r="A367" s="4"/>
      <c r="B367" s="4"/>
      <c r="C367" s="479"/>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3.5" customHeight="1">
      <c r="A368" s="4"/>
      <c r="B368" s="4"/>
      <c r="C368" s="479"/>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3.5" customHeight="1">
      <c r="A369" s="4"/>
      <c r="B369" s="4"/>
      <c r="C369" s="479"/>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3.5" customHeight="1">
      <c r="A370" s="4"/>
      <c r="B370" s="4"/>
      <c r="C370" s="479"/>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3.5" customHeight="1">
      <c r="A371" s="4"/>
      <c r="B371" s="4"/>
      <c r="C371" s="479"/>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3.5" customHeight="1">
      <c r="A372" s="4"/>
      <c r="B372" s="4"/>
      <c r="C372" s="479"/>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3.5" customHeight="1">
      <c r="A373" s="4"/>
      <c r="B373" s="4"/>
      <c r="C373" s="479"/>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3.5" customHeight="1">
      <c r="A374" s="4"/>
      <c r="B374" s="4"/>
      <c r="C374" s="479"/>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3.5" customHeight="1">
      <c r="A375" s="4"/>
      <c r="B375" s="4"/>
      <c r="C375" s="479"/>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3.5" customHeight="1">
      <c r="A376" s="4"/>
      <c r="B376" s="4"/>
      <c r="C376" s="479"/>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3.5" customHeight="1">
      <c r="A377" s="4"/>
      <c r="B377" s="4"/>
      <c r="C377" s="479"/>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3.5" customHeight="1">
      <c r="A378" s="4"/>
      <c r="B378" s="4"/>
      <c r="C378" s="479"/>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3.5" customHeight="1">
      <c r="A379" s="4"/>
      <c r="B379" s="4"/>
      <c r="C379" s="479"/>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3.5" customHeight="1">
      <c r="A380" s="4"/>
      <c r="B380" s="4"/>
      <c r="C380" s="479"/>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3.5" customHeight="1">
      <c r="A381" s="4"/>
      <c r="B381" s="4"/>
      <c r="C381" s="479"/>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3.5" customHeight="1">
      <c r="A382" s="4"/>
      <c r="B382" s="4"/>
      <c r="C382" s="479"/>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3.5" customHeight="1">
      <c r="A383" s="4"/>
      <c r="B383" s="4"/>
      <c r="C383" s="479"/>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3.5" customHeight="1">
      <c r="A384" s="4"/>
      <c r="B384" s="4"/>
      <c r="C384" s="479"/>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3.5" customHeight="1">
      <c r="A385" s="4"/>
      <c r="B385" s="4"/>
      <c r="C385" s="479"/>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3.5" customHeight="1">
      <c r="A386" s="4"/>
      <c r="B386" s="4"/>
      <c r="C386" s="479"/>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3.5" customHeight="1">
      <c r="A387" s="4"/>
      <c r="B387" s="4"/>
      <c r="C387" s="479"/>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3.5" customHeight="1">
      <c r="A388" s="4"/>
      <c r="B388" s="4"/>
      <c r="C388" s="479"/>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3.5" customHeight="1">
      <c r="A389" s="4"/>
      <c r="B389" s="4"/>
      <c r="C389" s="479"/>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3.5" customHeight="1">
      <c r="A390" s="4"/>
      <c r="B390" s="4"/>
      <c r="C390" s="479"/>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3.5" customHeight="1">
      <c r="A391" s="4"/>
      <c r="B391" s="4"/>
      <c r="C391" s="479"/>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3.5" customHeight="1">
      <c r="A392" s="4"/>
      <c r="B392" s="4"/>
      <c r="C392" s="479"/>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3.5" customHeight="1">
      <c r="A393" s="4"/>
      <c r="B393" s="4"/>
      <c r="C393" s="479"/>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3.5" customHeight="1">
      <c r="A394" s="4"/>
      <c r="B394" s="4"/>
      <c r="C394" s="479"/>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3.5" customHeight="1">
      <c r="A395" s="4"/>
      <c r="B395" s="4"/>
      <c r="C395" s="479"/>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3.5" customHeight="1">
      <c r="A396" s="4"/>
      <c r="B396" s="4"/>
      <c r="C396" s="479"/>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3.5" customHeight="1">
      <c r="A397" s="4"/>
      <c r="B397" s="4"/>
      <c r="C397" s="479"/>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3.5" customHeight="1">
      <c r="A398" s="4"/>
      <c r="B398" s="4"/>
      <c r="C398" s="479"/>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3.5" customHeight="1">
      <c r="A399" s="4"/>
      <c r="B399" s="4"/>
      <c r="C399" s="479"/>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3.5" customHeight="1">
      <c r="A400" s="4"/>
      <c r="B400" s="4"/>
      <c r="C400" s="479"/>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3.5" customHeight="1">
      <c r="A401" s="4"/>
      <c r="B401" s="4"/>
      <c r="C401" s="479"/>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3.5" customHeight="1">
      <c r="A402" s="4"/>
      <c r="B402" s="4"/>
      <c r="C402" s="479"/>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3.5" customHeight="1">
      <c r="A403" s="4"/>
      <c r="B403" s="4"/>
      <c r="C403" s="479"/>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3.5" customHeight="1">
      <c r="A404" s="4"/>
      <c r="B404" s="4"/>
      <c r="C404" s="479"/>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3.5" customHeight="1">
      <c r="A405" s="4"/>
      <c r="B405" s="4"/>
      <c r="C405" s="479"/>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3.5" customHeight="1">
      <c r="A406" s="4"/>
      <c r="B406" s="4"/>
      <c r="C406" s="479"/>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3.5" customHeight="1">
      <c r="A407" s="4"/>
      <c r="B407" s="4"/>
      <c r="C407" s="479"/>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3.5" customHeight="1">
      <c r="A408" s="4"/>
      <c r="B408" s="4"/>
      <c r="C408" s="479"/>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3.5" customHeight="1">
      <c r="A409" s="4"/>
      <c r="B409" s="4"/>
      <c r="C409" s="479"/>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3.5" customHeight="1">
      <c r="A410" s="4"/>
      <c r="B410" s="4"/>
      <c r="C410" s="479"/>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3.5" customHeight="1">
      <c r="A411" s="4"/>
      <c r="B411" s="4"/>
      <c r="C411" s="479"/>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3.5" customHeight="1">
      <c r="A412" s="4"/>
      <c r="B412" s="4"/>
      <c r="C412" s="479"/>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3.5" customHeight="1">
      <c r="A413" s="4"/>
      <c r="B413" s="4"/>
      <c r="C413" s="479"/>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3.5" customHeight="1">
      <c r="A414" s="4"/>
      <c r="B414" s="4"/>
      <c r="C414" s="479"/>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3.5" customHeight="1">
      <c r="A415" s="4"/>
      <c r="B415" s="4"/>
      <c r="C415" s="479"/>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3.5" customHeight="1">
      <c r="A416" s="4"/>
      <c r="B416" s="4"/>
      <c r="C416" s="479"/>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3.5" customHeight="1">
      <c r="A417" s="4"/>
      <c r="B417" s="4"/>
      <c r="C417" s="479"/>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3.5" customHeight="1">
      <c r="A418" s="4"/>
      <c r="B418" s="4"/>
      <c r="C418" s="479"/>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3.5" customHeight="1">
      <c r="A419" s="4"/>
      <c r="B419" s="4"/>
      <c r="C419" s="479"/>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3.5" customHeight="1">
      <c r="A420" s="4"/>
      <c r="B420" s="4"/>
      <c r="C420" s="479"/>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3.5" customHeight="1">
      <c r="A421" s="4"/>
      <c r="B421" s="4"/>
      <c r="C421" s="479"/>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3.5" customHeight="1">
      <c r="A422" s="4"/>
      <c r="B422" s="4"/>
      <c r="C422" s="479"/>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3.5" customHeight="1">
      <c r="A423" s="4"/>
      <c r="B423" s="4"/>
      <c r="C423" s="479"/>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3.5" customHeight="1">
      <c r="A424" s="4"/>
      <c r="B424" s="4"/>
      <c r="C424" s="479"/>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3.5" customHeight="1">
      <c r="A425" s="4"/>
      <c r="B425" s="4"/>
      <c r="C425" s="479"/>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3.5" customHeight="1">
      <c r="A426" s="4"/>
      <c r="B426" s="4"/>
      <c r="C426" s="479"/>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3.5" customHeight="1">
      <c r="A427" s="4"/>
      <c r="B427" s="4"/>
      <c r="C427" s="479"/>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3.5" customHeight="1">
      <c r="A428" s="4"/>
      <c r="B428" s="4"/>
      <c r="C428" s="479"/>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3.5" customHeight="1">
      <c r="A429" s="4"/>
      <c r="B429" s="4"/>
      <c r="C429" s="479"/>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3.5" customHeight="1">
      <c r="A430" s="4"/>
      <c r="B430" s="4"/>
      <c r="C430" s="479"/>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3.5" customHeight="1">
      <c r="A431" s="4"/>
      <c r="B431" s="4"/>
      <c r="C431" s="479"/>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3.5" customHeight="1">
      <c r="A432" s="4"/>
      <c r="B432" s="4"/>
      <c r="C432" s="479"/>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3.5" customHeight="1">
      <c r="A433" s="4"/>
      <c r="B433" s="4"/>
      <c r="C433" s="479"/>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3.5" customHeight="1">
      <c r="A434" s="4"/>
      <c r="B434" s="4"/>
      <c r="C434" s="479"/>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3.5" customHeight="1">
      <c r="A435" s="4"/>
      <c r="B435" s="4"/>
      <c r="C435" s="479"/>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3.5" customHeight="1">
      <c r="A436" s="4"/>
      <c r="B436" s="4"/>
      <c r="C436" s="479"/>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3.5" customHeight="1">
      <c r="A437" s="4"/>
      <c r="B437" s="4"/>
      <c r="C437" s="479"/>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3.5" customHeight="1">
      <c r="A438" s="4"/>
      <c r="B438" s="4"/>
      <c r="C438" s="479"/>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3.5" customHeight="1">
      <c r="A439" s="4"/>
      <c r="B439" s="4"/>
      <c r="C439" s="479"/>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3.5" customHeight="1">
      <c r="A440" s="4"/>
      <c r="B440" s="4"/>
      <c r="C440" s="479"/>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3.5" customHeight="1">
      <c r="A441" s="4"/>
      <c r="B441" s="4"/>
      <c r="C441" s="479"/>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3.5" customHeight="1">
      <c r="A442" s="4"/>
      <c r="B442" s="4"/>
      <c r="C442" s="479"/>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3.5" customHeight="1">
      <c r="A443" s="4"/>
      <c r="B443" s="4"/>
      <c r="C443" s="479"/>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3.5" customHeight="1">
      <c r="A444" s="4"/>
      <c r="B444" s="4"/>
      <c r="C444" s="479"/>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3.5" customHeight="1">
      <c r="A445" s="4"/>
      <c r="B445" s="4"/>
      <c r="C445" s="479"/>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3.5" customHeight="1">
      <c r="A446" s="4"/>
      <c r="B446" s="4"/>
      <c r="C446" s="479"/>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3.5" customHeight="1">
      <c r="A447" s="4"/>
      <c r="B447" s="4"/>
      <c r="C447" s="479"/>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3.5" customHeight="1">
      <c r="A448" s="4"/>
      <c r="B448" s="4"/>
      <c r="C448" s="479"/>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3.5" customHeight="1">
      <c r="A449" s="4"/>
      <c r="B449" s="4"/>
      <c r="C449" s="479"/>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3.5" customHeight="1">
      <c r="A450" s="4"/>
      <c r="B450" s="4"/>
      <c r="C450" s="479"/>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3.5" customHeight="1">
      <c r="A451" s="4"/>
      <c r="B451" s="4"/>
      <c r="C451" s="479"/>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3.5" customHeight="1">
      <c r="A452" s="4"/>
      <c r="B452" s="4"/>
      <c r="C452" s="479"/>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3.5" customHeight="1">
      <c r="A453" s="4"/>
      <c r="B453" s="4"/>
      <c r="C453" s="479"/>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3.5" customHeight="1">
      <c r="A454" s="4"/>
      <c r="B454" s="4"/>
      <c r="C454" s="479"/>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3.5" customHeight="1">
      <c r="A455" s="4"/>
      <c r="B455" s="4"/>
      <c r="C455" s="479"/>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3.5" customHeight="1">
      <c r="A456" s="4"/>
      <c r="B456" s="4"/>
      <c r="C456" s="479"/>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3.5" customHeight="1">
      <c r="A457" s="4"/>
      <c r="B457" s="4"/>
      <c r="C457" s="479"/>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3.5" customHeight="1">
      <c r="A458" s="4"/>
      <c r="B458" s="4"/>
      <c r="C458" s="479"/>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3.5" customHeight="1">
      <c r="A459" s="4"/>
      <c r="B459" s="4"/>
      <c r="C459" s="479"/>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3.5" customHeight="1">
      <c r="A460" s="4"/>
      <c r="B460" s="4"/>
      <c r="C460" s="479"/>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3.5" customHeight="1">
      <c r="A461" s="4"/>
      <c r="B461" s="4"/>
      <c r="C461" s="479"/>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3.5" customHeight="1">
      <c r="A462" s="4"/>
      <c r="B462" s="4"/>
      <c r="C462" s="479"/>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3.5" customHeight="1">
      <c r="A463" s="4"/>
      <c r="B463" s="4"/>
      <c r="C463" s="479"/>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3.5" customHeight="1">
      <c r="A464" s="4"/>
      <c r="B464" s="4"/>
      <c r="C464" s="479"/>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3.5" customHeight="1">
      <c r="A465" s="4"/>
      <c r="B465" s="4"/>
      <c r="C465" s="479"/>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3.5" customHeight="1">
      <c r="A466" s="4"/>
      <c r="B466" s="4"/>
      <c r="C466" s="479"/>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3.5" customHeight="1">
      <c r="A467" s="4"/>
      <c r="B467" s="4"/>
      <c r="C467" s="479"/>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3.5" customHeight="1">
      <c r="A468" s="4"/>
      <c r="B468" s="4"/>
      <c r="C468" s="479"/>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3.5" customHeight="1">
      <c r="A469" s="4"/>
      <c r="B469" s="4"/>
      <c r="C469" s="479"/>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3.5" customHeight="1">
      <c r="A470" s="4"/>
      <c r="B470" s="4"/>
      <c r="C470" s="479"/>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3.5" customHeight="1">
      <c r="A471" s="4"/>
      <c r="B471" s="4"/>
      <c r="C471" s="479"/>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3.5" customHeight="1">
      <c r="A472" s="4"/>
      <c r="B472" s="4"/>
      <c r="C472" s="479"/>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3.5" customHeight="1">
      <c r="A473" s="4"/>
      <c r="B473" s="4"/>
      <c r="C473" s="479"/>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3.5" customHeight="1">
      <c r="A474" s="4"/>
      <c r="B474" s="4"/>
      <c r="C474" s="479"/>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3.5" customHeight="1">
      <c r="A475" s="4"/>
      <c r="B475" s="4"/>
      <c r="C475" s="479"/>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3.5" customHeight="1">
      <c r="A476" s="4"/>
      <c r="B476" s="4"/>
      <c r="C476" s="479"/>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3.5" customHeight="1">
      <c r="A477" s="4"/>
      <c r="B477" s="4"/>
      <c r="C477" s="479"/>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3.5" customHeight="1">
      <c r="A478" s="4"/>
      <c r="B478" s="4"/>
      <c r="C478" s="479"/>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3.5" customHeight="1">
      <c r="A479" s="4"/>
      <c r="B479" s="4"/>
      <c r="C479" s="479"/>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3.5" customHeight="1">
      <c r="A480" s="4"/>
      <c r="B480" s="4"/>
      <c r="C480" s="479"/>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3.5" customHeight="1">
      <c r="A481" s="4"/>
      <c r="B481" s="4"/>
      <c r="C481" s="479"/>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3.5" customHeight="1">
      <c r="A482" s="4"/>
      <c r="B482" s="4"/>
      <c r="C482" s="479"/>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3.5" customHeight="1">
      <c r="A483" s="4"/>
      <c r="B483" s="4"/>
      <c r="C483" s="479"/>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3.5" customHeight="1">
      <c r="A484" s="4"/>
      <c r="B484" s="4"/>
      <c r="C484" s="479"/>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3.5" customHeight="1">
      <c r="A485" s="4"/>
      <c r="B485" s="4"/>
      <c r="C485" s="479"/>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3.5" customHeight="1">
      <c r="A486" s="4"/>
      <c r="B486" s="4"/>
      <c r="C486" s="479"/>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3.5" customHeight="1">
      <c r="A487" s="4"/>
      <c r="B487" s="4"/>
      <c r="C487" s="479"/>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3.5" customHeight="1">
      <c r="A488" s="4"/>
      <c r="B488" s="4"/>
      <c r="C488" s="479"/>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3.5" customHeight="1">
      <c r="A489" s="4"/>
      <c r="B489" s="4"/>
      <c r="C489" s="479"/>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3.5" customHeight="1">
      <c r="A490" s="4"/>
      <c r="B490" s="4"/>
      <c r="C490" s="479"/>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3.5" customHeight="1">
      <c r="A491" s="4"/>
      <c r="B491" s="4"/>
      <c r="C491" s="479"/>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3.5" customHeight="1">
      <c r="A492" s="4"/>
      <c r="B492" s="4"/>
      <c r="C492" s="479"/>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3.5" customHeight="1">
      <c r="A493" s="4"/>
      <c r="B493" s="4"/>
      <c r="C493" s="479"/>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3.5" customHeight="1">
      <c r="A494" s="4"/>
      <c r="B494" s="4"/>
      <c r="C494" s="479"/>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3.5" customHeight="1">
      <c r="A495" s="4"/>
      <c r="B495" s="4"/>
      <c r="C495" s="479"/>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3.5" customHeight="1">
      <c r="A496" s="4"/>
      <c r="B496" s="4"/>
      <c r="C496" s="479"/>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3.5" customHeight="1">
      <c r="A497" s="4"/>
      <c r="B497" s="4"/>
      <c r="C497" s="479"/>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3.5" customHeight="1">
      <c r="A498" s="4"/>
      <c r="B498" s="4"/>
      <c r="C498" s="479"/>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3.5" customHeight="1">
      <c r="A499" s="4"/>
      <c r="B499" s="4"/>
      <c r="C499" s="479"/>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3.5" customHeight="1">
      <c r="A500" s="4"/>
      <c r="B500" s="4"/>
      <c r="C500" s="479"/>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3.5" customHeight="1">
      <c r="A501" s="4"/>
      <c r="B501" s="4"/>
      <c r="C501" s="479"/>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3.5" customHeight="1">
      <c r="A502" s="4"/>
      <c r="B502" s="4"/>
      <c r="C502" s="479"/>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3.5" customHeight="1">
      <c r="A503" s="4"/>
      <c r="B503" s="4"/>
      <c r="C503" s="479"/>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3.5" customHeight="1">
      <c r="A504" s="4"/>
      <c r="B504" s="4"/>
      <c r="C504" s="479"/>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3.5" customHeight="1">
      <c r="A505" s="4"/>
      <c r="B505" s="4"/>
      <c r="C505" s="479"/>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3.5" customHeight="1">
      <c r="A506" s="4"/>
      <c r="B506" s="4"/>
      <c r="C506" s="479"/>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3.5" customHeight="1">
      <c r="A507" s="4"/>
      <c r="B507" s="4"/>
      <c r="C507" s="479"/>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3.5" customHeight="1">
      <c r="A508" s="4"/>
      <c r="B508" s="4"/>
      <c r="C508" s="479"/>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3.5" customHeight="1">
      <c r="A509" s="4"/>
      <c r="B509" s="4"/>
      <c r="C509" s="479"/>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3.5" customHeight="1">
      <c r="A510" s="4"/>
      <c r="B510" s="4"/>
      <c r="C510" s="479"/>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3.5" customHeight="1">
      <c r="A511" s="4"/>
      <c r="B511" s="4"/>
      <c r="C511" s="479"/>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3.5" customHeight="1">
      <c r="A512" s="4"/>
      <c r="B512" s="4"/>
      <c r="C512" s="479"/>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3.5" customHeight="1">
      <c r="A513" s="4"/>
      <c r="B513" s="4"/>
      <c r="C513" s="479"/>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3.5" customHeight="1">
      <c r="A514" s="4"/>
      <c r="B514" s="4"/>
      <c r="C514" s="479"/>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3.5" customHeight="1">
      <c r="A515" s="4"/>
      <c r="B515" s="4"/>
      <c r="C515" s="479"/>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3.5" customHeight="1">
      <c r="A516" s="4"/>
      <c r="B516" s="4"/>
      <c r="C516" s="479"/>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3.5" customHeight="1">
      <c r="A517" s="4"/>
      <c r="B517" s="4"/>
      <c r="C517" s="479"/>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3.5" customHeight="1">
      <c r="A518" s="4"/>
      <c r="B518" s="4"/>
      <c r="C518" s="479"/>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3.5" customHeight="1">
      <c r="A519" s="4"/>
      <c r="B519" s="4"/>
      <c r="C519" s="479"/>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3.5" customHeight="1">
      <c r="A520" s="4"/>
      <c r="B520" s="4"/>
      <c r="C520" s="479"/>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3.5" customHeight="1">
      <c r="A521" s="4"/>
      <c r="B521" s="4"/>
      <c r="C521" s="479"/>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3.5" customHeight="1">
      <c r="A522" s="4"/>
      <c r="B522" s="4"/>
      <c r="C522" s="479"/>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3.5" customHeight="1">
      <c r="A523" s="4"/>
      <c r="B523" s="4"/>
      <c r="C523" s="479"/>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3.5" customHeight="1">
      <c r="A524" s="4"/>
      <c r="B524" s="4"/>
      <c r="C524" s="479"/>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3.5" customHeight="1">
      <c r="A525" s="4"/>
      <c r="B525" s="4"/>
      <c r="C525" s="479"/>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3.5" customHeight="1">
      <c r="A526" s="4"/>
      <c r="B526" s="4"/>
      <c r="C526" s="479"/>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3.5" customHeight="1">
      <c r="A527" s="4"/>
      <c r="B527" s="4"/>
      <c r="C527" s="479"/>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3.5" customHeight="1">
      <c r="A528" s="4"/>
      <c r="B528" s="4"/>
      <c r="C528" s="479"/>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3.5" customHeight="1">
      <c r="A529" s="4"/>
      <c r="B529" s="4"/>
      <c r="C529" s="479"/>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3.5" customHeight="1">
      <c r="A530" s="4"/>
      <c r="B530" s="4"/>
      <c r="C530" s="479"/>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3.5" customHeight="1">
      <c r="A531" s="4"/>
      <c r="B531" s="4"/>
      <c r="C531" s="479"/>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3.5" customHeight="1">
      <c r="A532" s="4"/>
      <c r="B532" s="4"/>
      <c r="C532" s="479"/>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3.5" customHeight="1">
      <c r="A533" s="4"/>
      <c r="B533" s="4"/>
      <c r="C533" s="479"/>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3.5" customHeight="1">
      <c r="A534" s="4"/>
      <c r="B534" s="4"/>
      <c r="C534" s="479"/>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3.5" customHeight="1">
      <c r="A535" s="4"/>
      <c r="B535" s="4"/>
      <c r="C535" s="479"/>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3.5" customHeight="1">
      <c r="A536" s="4"/>
      <c r="B536" s="4"/>
      <c r="C536" s="479"/>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3.5" customHeight="1">
      <c r="A537" s="4"/>
      <c r="B537" s="4"/>
      <c r="C537" s="479"/>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3.5" customHeight="1">
      <c r="A538" s="4"/>
      <c r="B538" s="4"/>
      <c r="C538" s="479"/>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3.5" customHeight="1">
      <c r="A539" s="4"/>
      <c r="B539" s="4"/>
      <c r="C539" s="479"/>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3.5" customHeight="1">
      <c r="A540" s="4"/>
      <c r="B540" s="4"/>
      <c r="C540" s="479"/>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3.5" customHeight="1">
      <c r="A541" s="4"/>
      <c r="B541" s="4"/>
      <c r="C541" s="479"/>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3.5" customHeight="1">
      <c r="A542" s="4"/>
      <c r="B542" s="4"/>
      <c r="C542" s="479"/>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3.5" customHeight="1">
      <c r="A543" s="4"/>
      <c r="B543" s="4"/>
      <c r="C543" s="479"/>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3.5" customHeight="1">
      <c r="A544" s="4"/>
      <c r="B544" s="4"/>
      <c r="C544" s="479"/>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3.5" customHeight="1">
      <c r="A545" s="4"/>
      <c r="B545" s="4"/>
      <c r="C545" s="479"/>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3.5" customHeight="1">
      <c r="A546" s="4"/>
      <c r="B546" s="4"/>
      <c r="C546" s="479"/>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3.5" customHeight="1">
      <c r="A547" s="4"/>
      <c r="B547" s="4"/>
      <c r="C547" s="479"/>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3.5" customHeight="1">
      <c r="A548" s="4"/>
      <c r="B548" s="4"/>
      <c r="C548" s="479"/>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3.5" customHeight="1">
      <c r="A549" s="4"/>
      <c r="B549" s="4"/>
      <c r="C549" s="479"/>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3.5" customHeight="1">
      <c r="A550" s="4"/>
      <c r="B550" s="4"/>
      <c r="C550" s="479"/>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3.5" customHeight="1">
      <c r="A551" s="4"/>
      <c r="B551" s="4"/>
      <c r="C551" s="479"/>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3.5" customHeight="1">
      <c r="A552" s="4"/>
      <c r="B552" s="4"/>
      <c r="C552" s="479"/>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3.5" customHeight="1">
      <c r="A553" s="4"/>
      <c r="B553" s="4"/>
      <c r="C553" s="479"/>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3.5" customHeight="1">
      <c r="A554" s="4"/>
      <c r="B554" s="4"/>
      <c r="C554" s="479"/>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3.5" customHeight="1">
      <c r="A555" s="4"/>
      <c r="B555" s="4"/>
      <c r="C555" s="479"/>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3.5" customHeight="1">
      <c r="A556" s="4"/>
      <c r="B556" s="4"/>
      <c r="C556" s="479"/>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3.5" customHeight="1">
      <c r="A557" s="4"/>
      <c r="B557" s="4"/>
      <c r="C557" s="479"/>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3.5" customHeight="1">
      <c r="A558" s="4"/>
      <c r="B558" s="4"/>
      <c r="C558" s="479"/>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3.5" customHeight="1">
      <c r="A559" s="4"/>
      <c r="B559" s="4"/>
      <c r="C559" s="479"/>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3.5" customHeight="1">
      <c r="A560" s="4"/>
      <c r="B560" s="4"/>
      <c r="C560" s="479"/>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3.5" customHeight="1">
      <c r="A561" s="4"/>
      <c r="B561" s="4"/>
      <c r="C561" s="479"/>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3.5" customHeight="1">
      <c r="A562" s="4"/>
      <c r="B562" s="4"/>
      <c r="C562" s="479"/>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3.5" customHeight="1">
      <c r="A563" s="4"/>
      <c r="B563" s="4"/>
      <c r="C563" s="479"/>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3.5" customHeight="1">
      <c r="A564" s="4"/>
      <c r="B564" s="4"/>
      <c r="C564" s="479"/>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3.5" customHeight="1">
      <c r="A565" s="4"/>
      <c r="B565" s="4"/>
      <c r="C565" s="479"/>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3.5" customHeight="1">
      <c r="A566" s="4"/>
      <c r="B566" s="4"/>
      <c r="C566" s="479"/>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3.5" customHeight="1">
      <c r="A567" s="4"/>
      <c r="B567" s="4"/>
      <c r="C567" s="479"/>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3.5" customHeight="1">
      <c r="A568" s="4"/>
      <c r="B568" s="4"/>
      <c r="C568" s="479"/>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3.5" customHeight="1">
      <c r="A569" s="4"/>
      <c r="B569" s="4"/>
      <c r="C569" s="479"/>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3.5" customHeight="1">
      <c r="A570" s="4"/>
      <c r="B570" s="4"/>
      <c r="C570" s="479"/>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3.5" customHeight="1">
      <c r="A571" s="4"/>
      <c r="B571" s="4"/>
      <c r="C571" s="479"/>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3.5" customHeight="1">
      <c r="A572" s="4"/>
      <c r="B572" s="4"/>
      <c r="C572" s="479"/>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3.5" customHeight="1">
      <c r="A573" s="4"/>
      <c r="B573" s="4"/>
      <c r="C573" s="479"/>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3.5" customHeight="1">
      <c r="A574" s="4"/>
      <c r="B574" s="4"/>
      <c r="C574" s="479"/>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3.5" customHeight="1">
      <c r="A575" s="4"/>
      <c r="B575" s="4"/>
      <c r="C575" s="479"/>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3.5" customHeight="1">
      <c r="A576" s="4"/>
      <c r="B576" s="4"/>
      <c r="C576" s="479"/>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3.5" customHeight="1">
      <c r="A577" s="4"/>
      <c r="B577" s="4"/>
      <c r="C577" s="479"/>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3.5" customHeight="1">
      <c r="A578" s="4"/>
      <c r="B578" s="4"/>
      <c r="C578" s="479"/>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3.5" customHeight="1">
      <c r="A579" s="4"/>
      <c r="B579" s="4"/>
      <c r="C579" s="479"/>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3.5" customHeight="1">
      <c r="A580" s="4"/>
      <c r="B580" s="4"/>
      <c r="C580" s="479"/>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3.5" customHeight="1">
      <c r="A581" s="4"/>
      <c r="B581" s="4"/>
      <c r="C581" s="479"/>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3.5" customHeight="1">
      <c r="A582" s="4"/>
      <c r="B582" s="4"/>
      <c r="C582" s="479"/>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3.5" customHeight="1">
      <c r="A583" s="4"/>
      <c r="B583" s="4"/>
      <c r="C583" s="479"/>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3.5" customHeight="1">
      <c r="A584" s="4"/>
      <c r="B584" s="4"/>
      <c r="C584" s="479"/>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3.5" customHeight="1">
      <c r="A585" s="4"/>
      <c r="B585" s="4"/>
      <c r="C585" s="479"/>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3.5" customHeight="1">
      <c r="A586" s="4"/>
      <c r="B586" s="4"/>
      <c r="C586" s="479"/>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3.5" customHeight="1">
      <c r="A587" s="4"/>
      <c r="B587" s="4"/>
      <c r="C587" s="479"/>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3.5" customHeight="1">
      <c r="A588" s="4"/>
      <c r="B588" s="4"/>
      <c r="C588" s="479"/>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3.5" customHeight="1">
      <c r="A589" s="4"/>
      <c r="B589" s="4"/>
      <c r="C589" s="479"/>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3.5" customHeight="1">
      <c r="A590" s="4"/>
      <c r="B590" s="4"/>
      <c r="C590" s="479"/>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3.5" customHeight="1">
      <c r="A591" s="4"/>
      <c r="B591" s="4"/>
      <c r="C591" s="479"/>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3.5" customHeight="1">
      <c r="A592" s="4"/>
      <c r="B592" s="4"/>
      <c r="C592" s="479"/>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3.5" customHeight="1">
      <c r="A593" s="4"/>
      <c r="B593" s="4"/>
      <c r="C593" s="479"/>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3.5" customHeight="1">
      <c r="A594" s="4"/>
      <c r="B594" s="4"/>
      <c r="C594" s="479"/>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3.5" customHeight="1">
      <c r="A595" s="4"/>
      <c r="B595" s="4"/>
      <c r="C595" s="479"/>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3.5" customHeight="1">
      <c r="A596" s="4"/>
      <c r="B596" s="4"/>
      <c r="C596" s="479"/>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3.5" customHeight="1">
      <c r="A597" s="4"/>
      <c r="B597" s="4"/>
      <c r="C597" s="479"/>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3.5" customHeight="1">
      <c r="A598" s="4"/>
      <c r="B598" s="4"/>
      <c r="C598" s="479"/>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3.5" customHeight="1">
      <c r="A599" s="4"/>
      <c r="B599" s="4"/>
      <c r="C599" s="479"/>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3.5" customHeight="1">
      <c r="A600" s="4"/>
      <c r="B600" s="4"/>
      <c r="C600" s="479"/>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3.5" customHeight="1">
      <c r="A601" s="4"/>
      <c r="B601" s="4"/>
      <c r="C601" s="479"/>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3.5" customHeight="1">
      <c r="A602" s="4"/>
      <c r="B602" s="4"/>
      <c r="C602" s="479"/>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3.5" customHeight="1">
      <c r="A603" s="4"/>
      <c r="B603" s="4"/>
      <c r="C603" s="479"/>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3.5" customHeight="1">
      <c r="A604" s="4"/>
      <c r="B604" s="4"/>
      <c r="C604" s="479"/>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3.5" customHeight="1">
      <c r="A605" s="4"/>
      <c r="B605" s="4"/>
      <c r="C605" s="479"/>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3.5" customHeight="1">
      <c r="A606" s="4"/>
      <c r="B606" s="4"/>
      <c r="C606" s="479"/>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3.5" customHeight="1">
      <c r="A607" s="4"/>
      <c r="B607" s="4"/>
      <c r="C607" s="479"/>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3.5" customHeight="1">
      <c r="A608" s="4"/>
      <c r="B608" s="4"/>
      <c r="C608" s="479"/>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3.5" customHeight="1">
      <c r="A609" s="4"/>
      <c r="B609" s="4"/>
      <c r="C609" s="479"/>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3.5" customHeight="1">
      <c r="A610" s="4"/>
      <c r="B610" s="4"/>
      <c r="C610" s="479"/>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3.5" customHeight="1">
      <c r="A611" s="4"/>
      <c r="B611" s="4"/>
      <c r="C611" s="479"/>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3.5" customHeight="1">
      <c r="A612" s="4"/>
      <c r="B612" s="4"/>
      <c r="C612" s="479"/>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3.5" customHeight="1">
      <c r="A613" s="4"/>
      <c r="B613" s="4"/>
      <c r="C613" s="479"/>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3.5" customHeight="1">
      <c r="A614" s="4"/>
      <c r="B614" s="4"/>
      <c r="C614" s="479"/>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3.5" customHeight="1">
      <c r="A615" s="4"/>
      <c r="B615" s="4"/>
      <c r="C615" s="479"/>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3.5" customHeight="1">
      <c r="A616" s="4"/>
      <c r="B616" s="4"/>
      <c r="C616" s="479"/>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3.5" customHeight="1">
      <c r="A617" s="4"/>
      <c r="B617" s="4"/>
      <c r="C617" s="479"/>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3.5" customHeight="1">
      <c r="A618" s="4"/>
      <c r="B618" s="4"/>
      <c r="C618" s="479"/>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3.5" customHeight="1">
      <c r="A619" s="4"/>
      <c r="B619" s="4"/>
      <c r="C619" s="479"/>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3.5" customHeight="1">
      <c r="A620" s="4"/>
      <c r="B620" s="4"/>
      <c r="C620" s="479"/>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3.5" customHeight="1">
      <c r="A621" s="4"/>
      <c r="B621" s="4"/>
      <c r="C621" s="479"/>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3.5" customHeight="1">
      <c r="A622" s="4"/>
      <c r="B622" s="4"/>
      <c r="C622" s="479"/>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3.5" customHeight="1">
      <c r="A623" s="4"/>
      <c r="B623" s="4"/>
      <c r="C623" s="479"/>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3.5" customHeight="1">
      <c r="A624" s="4"/>
      <c r="B624" s="4"/>
      <c r="C624" s="479"/>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3.5" customHeight="1">
      <c r="A625" s="4"/>
      <c r="B625" s="4"/>
      <c r="C625" s="479"/>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3.5" customHeight="1">
      <c r="A626" s="4"/>
      <c r="B626" s="4"/>
      <c r="C626" s="479"/>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3.5" customHeight="1">
      <c r="A627" s="4"/>
      <c r="B627" s="4"/>
      <c r="C627" s="479"/>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3.5" customHeight="1">
      <c r="A628" s="4"/>
      <c r="B628" s="4"/>
      <c r="C628" s="479"/>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3.5" customHeight="1">
      <c r="A629" s="4"/>
      <c r="B629" s="4"/>
      <c r="C629" s="479"/>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3.5" customHeight="1">
      <c r="A630" s="4"/>
      <c r="B630" s="4"/>
      <c r="C630" s="479"/>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3.5" customHeight="1">
      <c r="A631" s="4"/>
      <c r="B631" s="4"/>
      <c r="C631" s="479"/>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3.5" customHeight="1">
      <c r="A632" s="4"/>
      <c r="B632" s="4"/>
      <c r="C632" s="479"/>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3.5" customHeight="1">
      <c r="A633" s="4"/>
      <c r="B633" s="4"/>
      <c r="C633" s="479"/>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3.5" customHeight="1">
      <c r="A634" s="4"/>
      <c r="B634" s="4"/>
      <c r="C634" s="479"/>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3.5" customHeight="1">
      <c r="A635" s="4"/>
      <c r="B635" s="4"/>
      <c r="C635" s="479"/>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3.5" customHeight="1">
      <c r="A636" s="4"/>
      <c r="B636" s="4"/>
      <c r="C636" s="479"/>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3.5" customHeight="1">
      <c r="A637" s="4"/>
      <c r="B637" s="4"/>
      <c r="C637" s="479"/>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3.5" customHeight="1">
      <c r="A638" s="4"/>
      <c r="B638" s="4"/>
      <c r="C638" s="479"/>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3.5" customHeight="1">
      <c r="A639" s="4"/>
      <c r="B639" s="4"/>
      <c r="C639" s="479"/>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3.5" customHeight="1">
      <c r="A640" s="4"/>
      <c r="B640" s="4"/>
      <c r="C640" s="479"/>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3.5" customHeight="1">
      <c r="A641" s="4"/>
      <c r="B641" s="4"/>
      <c r="C641" s="479"/>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3.5" customHeight="1">
      <c r="A642" s="4"/>
      <c r="B642" s="4"/>
      <c r="C642" s="479"/>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3.5" customHeight="1">
      <c r="A643" s="4"/>
      <c r="B643" s="4"/>
      <c r="C643" s="479"/>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3.5" customHeight="1">
      <c r="A644" s="4"/>
      <c r="B644" s="4"/>
      <c r="C644" s="479"/>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3.5" customHeight="1">
      <c r="A645" s="4"/>
      <c r="B645" s="4"/>
      <c r="C645" s="479"/>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3.5" customHeight="1">
      <c r="A646" s="4"/>
      <c r="B646" s="4"/>
      <c r="C646" s="479"/>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3.5" customHeight="1">
      <c r="A647" s="4"/>
      <c r="B647" s="4"/>
      <c r="C647" s="479"/>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3.5" customHeight="1">
      <c r="A648" s="4"/>
      <c r="B648" s="4"/>
      <c r="C648" s="479"/>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3.5" customHeight="1">
      <c r="A649" s="4"/>
      <c r="B649" s="4"/>
      <c r="C649" s="479"/>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3.5" customHeight="1">
      <c r="A650" s="4"/>
      <c r="B650" s="4"/>
      <c r="C650" s="479"/>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3.5" customHeight="1">
      <c r="A651" s="4"/>
      <c r="B651" s="4"/>
      <c r="C651" s="479"/>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3.5" customHeight="1">
      <c r="A652" s="4"/>
      <c r="B652" s="4"/>
      <c r="C652" s="479"/>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3.5" customHeight="1">
      <c r="A653" s="4"/>
      <c r="B653" s="4"/>
      <c r="C653" s="479"/>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3.5" customHeight="1">
      <c r="A654" s="4"/>
      <c r="B654" s="4"/>
      <c r="C654" s="479"/>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3.5" customHeight="1">
      <c r="A655" s="4"/>
      <c r="B655" s="4"/>
      <c r="C655" s="479"/>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3.5" customHeight="1">
      <c r="A656" s="4"/>
      <c r="B656" s="4"/>
      <c r="C656" s="479"/>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3.5" customHeight="1">
      <c r="A657" s="4"/>
      <c r="B657" s="4"/>
      <c r="C657" s="479"/>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3.5" customHeight="1">
      <c r="A658" s="4"/>
      <c r="B658" s="4"/>
      <c r="C658" s="479"/>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3.5" customHeight="1">
      <c r="A659" s="4"/>
      <c r="B659" s="4"/>
      <c r="C659" s="479"/>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3.5" customHeight="1">
      <c r="A660" s="4"/>
      <c r="B660" s="4"/>
      <c r="C660" s="479"/>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3.5" customHeight="1">
      <c r="A661" s="4"/>
      <c r="B661" s="4"/>
      <c r="C661" s="479"/>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3.5" customHeight="1">
      <c r="A662" s="4"/>
      <c r="B662" s="4"/>
      <c r="C662" s="479"/>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3.5" customHeight="1">
      <c r="A663" s="4"/>
      <c r="B663" s="4"/>
      <c r="C663" s="479"/>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3.5" customHeight="1">
      <c r="A664" s="4"/>
      <c r="B664" s="4"/>
      <c r="C664" s="479"/>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3.5" customHeight="1">
      <c r="A665" s="4"/>
      <c r="B665" s="4"/>
      <c r="C665" s="479"/>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3.5" customHeight="1">
      <c r="A666" s="4"/>
      <c r="B666" s="4"/>
      <c r="C666" s="479"/>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3.5" customHeight="1">
      <c r="A667" s="4"/>
      <c r="B667" s="4"/>
      <c r="C667" s="479"/>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3.5" customHeight="1">
      <c r="A668" s="4"/>
      <c r="B668" s="4"/>
      <c r="C668" s="479"/>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3.5" customHeight="1">
      <c r="A669" s="4"/>
      <c r="B669" s="4"/>
      <c r="C669" s="479"/>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3.5" customHeight="1">
      <c r="A670" s="4"/>
      <c r="B670" s="4"/>
      <c r="C670" s="479"/>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3.5" customHeight="1">
      <c r="A671" s="4"/>
      <c r="B671" s="4"/>
      <c r="C671" s="479"/>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3.5" customHeight="1">
      <c r="A672" s="4"/>
      <c r="B672" s="4"/>
      <c r="C672" s="479"/>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3.5" customHeight="1">
      <c r="A673" s="4"/>
      <c r="B673" s="4"/>
      <c r="C673" s="479"/>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3.5" customHeight="1">
      <c r="A674" s="4"/>
      <c r="B674" s="4"/>
      <c r="C674" s="479"/>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3.5" customHeight="1">
      <c r="A675" s="4"/>
      <c r="B675" s="4"/>
      <c r="C675" s="479"/>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3.5" customHeight="1">
      <c r="A676" s="4"/>
      <c r="B676" s="4"/>
      <c r="C676" s="479"/>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3.5" customHeight="1">
      <c r="A677" s="4"/>
      <c r="B677" s="4"/>
      <c r="C677" s="479"/>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3.5" customHeight="1">
      <c r="A678" s="4"/>
      <c r="B678" s="4"/>
      <c r="C678" s="479"/>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3.5" customHeight="1">
      <c r="A679" s="4"/>
      <c r="B679" s="4"/>
      <c r="C679" s="479"/>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3.5" customHeight="1">
      <c r="A680" s="4"/>
      <c r="B680" s="4"/>
      <c r="C680" s="479"/>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3.5" customHeight="1">
      <c r="A681" s="4"/>
      <c r="B681" s="4"/>
      <c r="C681" s="479"/>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3.5" customHeight="1">
      <c r="A682" s="4"/>
      <c r="B682" s="4"/>
      <c r="C682" s="479"/>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3.5" customHeight="1">
      <c r="A683" s="4"/>
      <c r="B683" s="4"/>
      <c r="C683" s="479"/>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3.5" customHeight="1">
      <c r="A684" s="4"/>
      <c r="B684" s="4"/>
      <c r="C684" s="479"/>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3.5" customHeight="1">
      <c r="A685" s="4"/>
      <c r="B685" s="4"/>
      <c r="C685" s="479"/>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3.5" customHeight="1">
      <c r="A686" s="4"/>
      <c r="B686" s="4"/>
      <c r="C686" s="479"/>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3.5" customHeight="1">
      <c r="A687" s="4"/>
      <c r="B687" s="4"/>
      <c r="C687" s="479"/>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3.5" customHeight="1">
      <c r="A688" s="4"/>
      <c r="B688" s="4"/>
      <c r="C688" s="479"/>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3.5" customHeight="1">
      <c r="A689" s="4"/>
      <c r="B689" s="4"/>
      <c r="C689" s="479"/>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3.5" customHeight="1">
      <c r="A690" s="4"/>
      <c r="B690" s="4"/>
      <c r="C690" s="479"/>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3.5" customHeight="1">
      <c r="A691" s="4"/>
      <c r="B691" s="4"/>
      <c r="C691" s="479"/>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3.5" customHeight="1">
      <c r="A692" s="4"/>
      <c r="B692" s="4"/>
      <c r="C692" s="479"/>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3.5" customHeight="1">
      <c r="A693" s="4"/>
      <c r="B693" s="4"/>
      <c r="C693" s="479"/>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3.5" customHeight="1">
      <c r="A694" s="4"/>
      <c r="B694" s="4"/>
      <c r="C694" s="479"/>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3.5" customHeight="1">
      <c r="A695" s="4"/>
      <c r="B695" s="4"/>
      <c r="C695" s="479"/>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3.5" customHeight="1">
      <c r="A696" s="4"/>
      <c r="B696" s="4"/>
      <c r="C696" s="479"/>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3.5" customHeight="1">
      <c r="A697" s="4"/>
      <c r="B697" s="4"/>
      <c r="C697" s="479"/>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3.5" customHeight="1">
      <c r="A698" s="4"/>
      <c r="B698" s="4"/>
      <c r="C698" s="479"/>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3.5" customHeight="1">
      <c r="A699" s="4"/>
      <c r="B699" s="4"/>
      <c r="C699" s="479"/>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3.5" customHeight="1">
      <c r="A700" s="4"/>
      <c r="B700" s="4"/>
      <c r="C700" s="479"/>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3.5" customHeight="1">
      <c r="A701" s="4"/>
      <c r="B701" s="4"/>
      <c r="C701" s="479"/>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3.5" customHeight="1">
      <c r="A702" s="4"/>
      <c r="B702" s="4"/>
      <c r="C702" s="479"/>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3.5" customHeight="1">
      <c r="A703" s="4"/>
      <c r="B703" s="4"/>
      <c r="C703" s="479"/>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3.5" customHeight="1">
      <c r="A704" s="4"/>
      <c r="B704" s="4"/>
      <c r="C704" s="479"/>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3.5" customHeight="1">
      <c r="A705" s="4"/>
      <c r="B705" s="4"/>
      <c r="C705" s="479"/>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3.5" customHeight="1">
      <c r="A706" s="4"/>
      <c r="B706" s="4"/>
      <c r="C706" s="479"/>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3.5" customHeight="1">
      <c r="A707" s="4"/>
      <c r="B707" s="4"/>
      <c r="C707" s="479"/>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3.5" customHeight="1">
      <c r="A708" s="4"/>
      <c r="B708" s="4"/>
      <c r="C708" s="479"/>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3.5" customHeight="1">
      <c r="A709" s="4"/>
      <c r="B709" s="4"/>
      <c r="C709" s="479"/>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3.5" customHeight="1">
      <c r="A710" s="4"/>
      <c r="B710" s="4"/>
      <c r="C710" s="479"/>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3.5" customHeight="1">
      <c r="A711" s="4"/>
      <c r="B711" s="4"/>
      <c r="C711" s="479"/>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3.5" customHeight="1">
      <c r="A712" s="4"/>
      <c r="B712" s="4"/>
      <c r="C712" s="479"/>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3.5" customHeight="1">
      <c r="A713" s="4"/>
      <c r="B713" s="4"/>
      <c r="C713" s="479"/>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3.5" customHeight="1">
      <c r="A714" s="4"/>
      <c r="B714" s="4"/>
      <c r="C714" s="479"/>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3.5" customHeight="1">
      <c r="A715" s="4"/>
      <c r="B715" s="4"/>
      <c r="C715" s="479"/>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3.5" customHeight="1">
      <c r="A716" s="4"/>
      <c r="B716" s="4"/>
      <c r="C716" s="479"/>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3.5" customHeight="1">
      <c r="A717" s="4"/>
      <c r="B717" s="4"/>
      <c r="C717" s="479"/>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3.5" customHeight="1">
      <c r="A718" s="4"/>
      <c r="B718" s="4"/>
      <c r="C718" s="479"/>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3.5" customHeight="1">
      <c r="A719" s="4"/>
      <c r="B719" s="4"/>
      <c r="C719" s="479"/>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3.5" customHeight="1">
      <c r="A720" s="4"/>
      <c r="B720" s="4"/>
      <c r="C720" s="479"/>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3.5" customHeight="1">
      <c r="A721" s="4"/>
      <c r="B721" s="4"/>
      <c r="C721" s="479"/>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3.5" customHeight="1">
      <c r="A722" s="4"/>
      <c r="B722" s="4"/>
      <c r="C722" s="479"/>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3.5" customHeight="1">
      <c r="A723" s="4"/>
      <c r="B723" s="4"/>
      <c r="C723" s="479"/>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3.5" customHeight="1">
      <c r="A724" s="4"/>
      <c r="B724" s="4"/>
      <c r="C724" s="479"/>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3.5" customHeight="1">
      <c r="A725" s="4"/>
      <c r="B725" s="4"/>
      <c r="C725" s="479"/>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3.5" customHeight="1">
      <c r="A726" s="4"/>
      <c r="B726" s="4"/>
      <c r="C726" s="479"/>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3.5" customHeight="1">
      <c r="A727" s="4"/>
      <c r="B727" s="4"/>
      <c r="C727" s="479"/>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3.5" customHeight="1">
      <c r="A728" s="4"/>
      <c r="B728" s="4"/>
      <c r="C728" s="479"/>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3.5" customHeight="1">
      <c r="A729" s="4"/>
      <c r="B729" s="4"/>
      <c r="C729" s="479"/>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3.5" customHeight="1">
      <c r="A730" s="4"/>
      <c r="B730" s="4"/>
      <c r="C730" s="479"/>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3.5" customHeight="1">
      <c r="A731" s="4"/>
      <c r="B731" s="4"/>
      <c r="C731" s="479"/>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3.5" customHeight="1">
      <c r="A732" s="4"/>
      <c r="B732" s="4"/>
      <c r="C732" s="479"/>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3.5" customHeight="1">
      <c r="A733" s="4"/>
      <c r="B733" s="4"/>
      <c r="C733" s="479"/>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3.5" customHeight="1">
      <c r="A734" s="4"/>
      <c r="B734" s="4"/>
      <c r="C734" s="479"/>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3.5" customHeight="1">
      <c r="A735" s="4"/>
      <c r="B735" s="4"/>
      <c r="C735" s="479"/>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3.5" customHeight="1">
      <c r="A736" s="4"/>
      <c r="B736" s="4"/>
      <c r="C736" s="479"/>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3.5" customHeight="1">
      <c r="A737" s="4"/>
      <c r="B737" s="4"/>
      <c r="C737" s="479"/>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3.5" customHeight="1">
      <c r="A738" s="4"/>
      <c r="B738" s="4"/>
      <c r="C738" s="479"/>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3.5" customHeight="1">
      <c r="A739" s="4"/>
      <c r="B739" s="4"/>
      <c r="C739" s="479"/>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3.5" customHeight="1">
      <c r="A740" s="4"/>
      <c r="B740" s="4"/>
      <c r="C740" s="479"/>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3.5" customHeight="1">
      <c r="A741" s="4"/>
      <c r="B741" s="4"/>
      <c r="C741" s="479"/>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3.5" customHeight="1">
      <c r="A742" s="4"/>
      <c r="B742" s="4"/>
      <c r="C742" s="479"/>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3.5" customHeight="1">
      <c r="A743" s="4"/>
      <c r="B743" s="4"/>
      <c r="C743" s="479"/>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3.5" customHeight="1">
      <c r="A744" s="4"/>
      <c r="B744" s="4"/>
      <c r="C744" s="479"/>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3.5" customHeight="1">
      <c r="A745" s="4"/>
      <c r="B745" s="4"/>
      <c r="C745" s="479"/>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3.5" customHeight="1">
      <c r="A746" s="4"/>
      <c r="B746" s="4"/>
      <c r="C746" s="479"/>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3.5" customHeight="1">
      <c r="A747" s="4"/>
      <c r="B747" s="4"/>
      <c r="C747" s="479"/>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3.5" customHeight="1">
      <c r="A748" s="4"/>
      <c r="B748" s="4"/>
      <c r="C748" s="479"/>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3.5" customHeight="1">
      <c r="A749" s="4"/>
      <c r="B749" s="4"/>
      <c r="C749" s="479"/>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3.5" customHeight="1">
      <c r="A750" s="4"/>
      <c r="B750" s="4"/>
      <c r="C750" s="479"/>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3.5" customHeight="1">
      <c r="A751" s="4"/>
      <c r="B751" s="4"/>
      <c r="C751" s="479"/>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3.5" customHeight="1">
      <c r="A752" s="4"/>
      <c r="B752" s="4"/>
      <c r="C752" s="479"/>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3.5" customHeight="1">
      <c r="A753" s="4"/>
      <c r="B753" s="4"/>
      <c r="C753" s="479"/>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3.5" customHeight="1">
      <c r="A754" s="4"/>
      <c r="B754" s="4"/>
      <c r="C754" s="479"/>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3.5" customHeight="1">
      <c r="A755" s="4"/>
      <c r="B755" s="4"/>
      <c r="C755" s="479"/>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3.5" customHeight="1">
      <c r="A756" s="4"/>
      <c r="B756" s="4"/>
      <c r="C756" s="479"/>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3.5" customHeight="1">
      <c r="A757" s="4"/>
      <c r="B757" s="4"/>
      <c r="C757" s="479"/>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3.5" customHeight="1">
      <c r="A758" s="4"/>
      <c r="B758" s="4"/>
      <c r="C758" s="479"/>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3.5" customHeight="1">
      <c r="A759" s="4"/>
      <c r="B759" s="4"/>
      <c r="C759" s="479"/>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3.5" customHeight="1">
      <c r="A760" s="4"/>
      <c r="B760" s="4"/>
      <c r="C760" s="479"/>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3.5" customHeight="1">
      <c r="A761" s="4"/>
      <c r="B761" s="4"/>
      <c r="C761" s="479"/>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3.5" customHeight="1">
      <c r="A762" s="4"/>
      <c r="B762" s="4"/>
      <c r="C762" s="479"/>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3.5" customHeight="1">
      <c r="A763" s="4"/>
      <c r="B763" s="4"/>
      <c r="C763" s="479"/>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3.5" customHeight="1">
      <c r="A764" s="4"/>
      <c r="B764" s="4"/>
      <c r="C764" s="479"/>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3.5" customHeight="1">
      <c r="A765" s="4"/>
      <c r="B765" s="4"/>
      <c r="C765" s="479"/>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3.5" customHeight="1">
      <c r="A766" s="4"/>
      <c r="B766" s="4"/>
      <c r="C766" s="479"/>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3.5" customHeight="1">
      <c r="A767" s="4"/>
      <c r="B767" s="4"/>
      <c r="C767" s="479"/>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3.5" customHeight="1">
      <c r="A768" s="4"/>
      <c r="B768" s="4"/>
      <c r="C768" s="479"/>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3.5" customHeight="1">
      <c r="A769" s="4"/>
      <c r="B769" s="4"/>
      <c r="C769" s="479"/>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3.5" customHeight="1">
      <c r="A770" s="4"/>
      <c r="B770" s="4"/>
      <c r="C770" s="479"/>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3.5" customHeight="1">
      <c r="A771" s="4"/>
      <c r="B771" s="4"/>
      <c r="C771" s="479"/>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3.5" customHeight="1">
      <c r="A772" s="4"/>
      <c r="B772" s="4"/>
      <c r="C772" s="479"/>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3.5" customHeight="1">
      <c r="A773" s="4"/>
      <c r="B773" s="4"/>
      <c r="C773" s="479"/>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3.5" customHeight="1">
      <c r="A774" s="4"/>
      <c r="B774" s="4"/>
      <c r="C774" s="479"/>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3.5" customHeight="1">
      <c r="A775" s="4"/>
      <c r="B775" s="4"/>
      <c r="C775" s="479"/>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3.5" customHeight="1">
      <c r="A776" s="4"/>
      <c r="B776" s="4"/>
      <c r="C776" s="479"/>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3.5" customHeight="1">
      <c r="A777" s="4"/>
      <c r="B777" s="4"/>
      <c r="C777" s="479"/>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3.5" customHeight="1">
      <c r="A778" s="4"/>
      <c r="B778" s="4"/>
      <c r="C778" s="479"/>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3.5" customHeight="1">
      <c r="A779" s="4"/>
      <c r="B779" s="4"/>
      <c r="C779" s="479"/>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3.5" customHeight="1">
      <c r="A780" s="4"/>
      <c r="B780" s="4"/>
      <c r="C780" s="479"/>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3.5" customHeight="1">
      <c r="A781" s="4"/>
      <c r="B781" s="4"/>
      <c r="C781" s="479"/>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3.5" customHeight="1">
      <c r="A782" s="4"/>
      <c r="B782" s="4"/>
      <c r="C782" s="479"/>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3.5" customHeight="1">
      <c r="A783" s="4"/>
      <c r="B783" s="4"/>
      <c r="C783" s="479"/>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3.5" customHeight="1">
      <c r="A784" s="4"/>
      <c r="B784" s="4"/>
      <c r="C784" s="479"/>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3.5" customHeight="1">
      <c r="A785" s="4"/>
      <c r="B785" s="4"/>
      <c r="C785" s="479"/>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3.5" customHeight="1">
      <c r="A786" s="4"/>
      <c r="B786" s="4"/>
      <c r="C786" s="479"/>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3.5" customHeight="1">
      <c r="A787" s="4"/>
      <c r="B787" s="4"/>
      <c r="C787" s="479"/>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3.5" customHeight="1">
      <c r="A788" s="4"/>
      <c r="B788" s="4"/>
      <c r="C788" s="479"/>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3.5" customHeight="1">
      <c r="A789" s="4"/>
      <c r="B789" s="4"/>
      <c r="C789" s="479"/>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3.5" customHeight="1">
      <c r="A790" s="4"/>
      <c r="B790" s="4"/>
      <c r="C790" s="479"/>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3.5" customHeight="1">
      <c r="A791" s="4"/>
      <c r="B791" s="4"/>
      <c r="C791" s="479"/>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3.5" customHeight="1">
      <c r="A792" s="4"/>
      <c r="B792" s="4"/>
      <c r="C792" s="479"/>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3.5" customHeight="1">
      <c r="A793" s="4"/>
      <c r="B793" s="4"/>
      <c r="C793" s="479"/>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3.5" customHeight="1">
      <c r="A794" s="4"/>
      <c r="B794" s="4"/>
      <c r="C794" s="479"/>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3.5" customHeight="1">
      <c r="A795" s="4"/>
      <c r="B795" s="4"/>
      <c r="C795" s="479"/>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3.5" customHeight="1">
      <c r="A796" s="4"/>
      <c r="B796" s="4"/>
      <c r="C796" s="479"/>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3.5" customHeight="1">
      <c r="A797" s="4"/>
      <c r="B797" s="4"/>
      <c r="C797" s="479"/>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3.5" customHeight="1">
      <c r="A798" s="4"/>
      <c r="B798" s="4"/>
      <c r="C798" s="479"/>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3.5" customHeight="1">
      <c r="A799" s="4"/>
      <c r="B799" s="4"/>
      <c r="C799" s="479"/>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3.5" customHeight="1">
      <c r="A800" s="4"/>
      <c r="B800" s="4"/>
      <c r="C800" s="479"/>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3.5" customHeight="1">
      <c r="A801" s="4"/>
      <c r="B801" s="4"/>
      <c r="C801" s="479"/>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3.5" customHeight="1">
      <c r="A802" s="4"/>
      <c r="B802" s="4"/>
      <c r="C802" s="479"/>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3.5" customHeight="1">
      <c r="A803" s="4"/>
      <c r="B803" s="4"/>
      <c r="C803" s="479"/>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3.5" customHeight="1">
      <c r="A804" s="4"/>
      <c r="B804" s="4"/>
      <c r="C804" s="479"/>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3.5" customHeight="1">
      <c r="A805" s="4"/>
      <c r="B805" s="4"/>
      <c r="C805" s="479"/>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3.5" customHeight="1">
      <c r="A806" s="4"/>
      <c r="B806" s="4"/>
      <c r="C806" s="479"/>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3.5" customHeight="1">
      <c r="A807" s="4"/>
      <c r="B807" s="4"/>
      <c r="C807" s="479"/>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3.5" customHeight="1">
      <c r="A808" s="4"/>
      <c r="B808" s="4"/>
      <c r="C808" s="479"/>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3.5" customHeight="1">
      <c r="A809" s="4"/>
      <c r="B809" s="4"/>
      <c r="C809" s="479"/>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3.5" customHeight="1">
      <c r="A810" s="4"/>
      <c r="B810" s="4"/>
      <c r="C810" s="479"/>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3.5" customHeight="1">
      <c r="A811" s="4"/>
      <c r="B811" s="4"/>
      <c r="C811" s="479"/>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3.5" customHeight="1">
      <c r="A812" s="4"/>
      <c r="B812" s="4"/>
      <c r="C812" s="479"/>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3.5" customHeight="1">
      <c r="A813" s="4"/>
      <c r="B813" s="4"/>
      <c r="C813" s="479"/>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3.5" customHeight="1">
      <c r="A814" s="4"/>
      <c r="B814" s="4"/>
      <c r="C814" s="479"/>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3.5" customHeight="1">
      <c r="A815" s="4"/>
      <c r="B815" s="4"/>
      <c r="C815" s="479"/>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3.5" customHeight="1">
      <c r="A816" s="4"/>
      <c r="B816" s="4"/>
      <c r="C816" s="479"/>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3.5" customHeight="1">
      <c r="A817" s="4"/>
      <c r="B817" s="4"/>
      <c r="C817" s="479"/>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3.5" customHeight="1">
      <c r="A818" s="4"/>
      <c r="B818" s="4"/>
      <c r="C818" s="479"/>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3.5" customHeight="1">
      <c r="A819" s="4"/>
      <c r="B819" s="4"/>
      <c r="C819" s="479"/>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3.5" customHeight="1">
      <c r="A820" s="4"/>
      <c r="B820" s="4"/>
      <c r="C820" s="479"/>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3.5" customHeight="1">
      <c r="A821" s="4"/>
      <c r="B821" s="4"/>
      <c r="C821" s="479"/>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3.5" customHeight="1">
      <c r="A822" s="4"/>
      <c r="B822" s="4"/>
      <c r="C822" s="479"/>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3.5" customHeight="1">
      <c r="A823" s="4"/>
      <c r="B823" s="4"/>
      <c r="C823" s="479"/>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3.5" customHeight="1">
      <c r="A824" s="4"/>
      <c r="B824" s="4"/>
      <c r="C824" s="479"/>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3.5" customHeight="1">
      <c r="A825" s="4"/>
      <c r="B825" s="4"/>
      <c r="C825" s="479"/>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3.5" customHeight="1">
      <c r="A826" s="4"/>
      <c r="B826" s="4"/>
      <c r="C826" s="479"/>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3.5" customHeight="1">
      <c r="A827" s="4"/>
      <c r="B827" s="4"/>
      <c r="C827" s="479"/>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3.5" customHeight="1">
      <c r="A828" s="4"/>
      <c r="B828" s="4"/>
      <c r="C828" s="479"/>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3.5" customHeight="1">
      <c r="A829" s="4"/>
      <c r="B829" s="4"/>
      <c r="C829" s="479"/>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3.5" customHeight="1">
      <c r="A830" s="4"/>
      <c r="B830" s="4"/>
      <c r="C830" s="479"/>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3.5" customHeight="1">
      <c r="A831" s="4"/>
      <c r="B831" s="4"/>
      <c r="C831" s="479"/>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3.5" customHeight="1">
      <c r="A832" s="4"/>
      <c r="B832" s="4"/>
      <c r="C832" s="479"/>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3.5" customHeight="1">
      <c r="A833" s="4"/>
      <c r="B833" s="4"/>
      <c r="C833" s="479"/>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3.5" customHeight="1">
      <c r="A834" s="4"/>
      <c r="B834" s="4"/>
      <c r="C834" s="479"/>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3.5" customHeight="1">
      <c r="A835" s="4"/>
      <c r="B835" s="4"/>
      <c r="C835" s="479"/>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3.5" customHeight="1">
      <c r="A836" s="4"/>
      <c r="B836" s="4"/>
      <c r="C836" s="479"/>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3.5" customHeight="1">
      <c r="A837" s="4"/>
      <c r="B837" s="4"/>
      <c r="C837" s="479"/>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3.5" customHeight="1">
      <c r="A838" s="4"/>
      <c r="B838" s="4"/>
      <c r="C838" s="479"/>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3.5" customHeight="1">
      <c r="A839" s="4"/>
      <c r="B839" s="4"/>
      <c r="C839" s="479"/>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3.5" customHeight="1">
      <c r="A840" s="4"/>
      <c r="B840" s="4"/>
      <c r="C840" s="479"/>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3.5" customHeight="1">
      <c r="A841" s="4"/>
      <c r="B841" s="4"/>
      <c r="C841" s="479"/>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3.5" customHeight="1">
      <c r="A842" s="4"/>
      <c r="B842" s="4"/>
      <c r="C842" s="479"/>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3.5" customHeight="1">
      <c r="A843" s="4"/>
      <c r="B843" s="4"/>
      <c r="C843" s="479"/>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3.5" customHeight="1">
      <c r="A844" s="4"/>
      <c r="B844" s="4"/>
      <c r="C844" s="479"/>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3.5" customHeight="1">
      <c r="A845" s="4"/>
      <c r="B845" s="4"/>
      <c r="C845" s="479"/>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3.5" customHeight="1">
      <c r="A846" s="4"/>
      <c r="B846" s="4"/>
      <c r="C846" s="479"/>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3.5" customHeight="1">
      <c r="A847" s="4"/>
      <c r="B847" s="4"/>
      <c r="C847" s="479"/>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3.5" customHeight="1">
      <c r="A848" s="4"/>
      <c r="B848" s="4"/>
      <c r="C848" s="479"/>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3.5" customHeight="1">
      <c r="A849" s="4"/>
      <c r="B849" s="4"/>
      <c r="C849" s="479"/>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3.5" customHeight="1">
      <c r="A850" s="4"/>
      <c r="B850" s="4"/>
      <c r="C850" s="479"/>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3.5" customHeight="1">
      <c r="A851" s="4"/>
      <c r="B851" s="4"/>
      <c r="C851" s="479"/>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3.5" customHeight="1">
      <c r="A852" s="4"/>
      <c r="B852" s="4"/>
      <c r="C852" s="479"/>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3.5" customHeight="1">
      <c r="A853" s="4"/>
      <c r="B853" s="4"/>
      <c r="C853" s="479"/>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3.5" customHeight="1">
      <c r="A854" s="4"/>
      <c r="B854" s="4"/>
      <c r="C854" s="479"/>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3.5" customHeight="1">
      <c r="A855" s="4"/>
      <c r="B855" s="4"/>
      <c r="C855" s="479"/>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3.5" customHeight="1">
      <c r="A856" s="4"/>
      <c r="B856" s="4"/>
      <c r="C856" s="479"/>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3.5" customHeight="1">
      <c r="A857" s="4"/>
      <c r="B857" s="4"/>
      <c r="C857" s="479"/>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3.5" customHeight="1">
      <c r="A858" s="4"/>
      <c r="B858" s="4"/>
      <c r="C858" s="479"/>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3.5" customHeight="1">
      <c r="A859" s="4"/>
      <c r="B859" s="4"/>
      <c r="C859" s="479"/>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3.5" customHeight="1">
      <c r="A860" s="4"/>
      <c r="B860" s="4"/>
      <c r="C860" s="479"/>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3.5" customHeight="1">
      <c r="A861" s="4"/>
      <c r="B861" s="4"/>
      <c r="C861" s="479"/>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3.5" customHeight="1">
      <c r="A862" s="4"/>
      <c r="B862" s="4"/>
      <c r="C862" s="479"/>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3.5" customHeight="1">
      <c r="A863" s="4"/>
      <c r="B863" s="4"/>
      <c r="C863" s="479"/>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3.5" customHeight="1">
      <c r="A864" s="4"/>
      <c r="B864" s="4"/>
      <c r="C864" s="479"/>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3.5" customHeight="1">
      <c r="A865" s="4"/>
      <c r="B865" s="4"/>
      <c r="C865" s="479"/>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3.5" customHeight="1">
      <c r="A866" s="4"/>
      <c r="B866" s="4"/>
      <c r="C866" s="479"/>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3.5" customHeight="1">
      <c r="A867" s="4"/>
      <c r="B867" s="4"/>
      <c r="C867" s="479"/>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3.5" customHeight="1">
      <c r="A868" s="4"/>
      <c r="B868" s="4"/>
      <c r="C868" s="479"/>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3.5" customHeight="1">
      <c r="A869" s="4"/>
      <c r="B869" s="4"/>
      <c r="C869" s="479"/>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3.5" customHeight="1">
      <c r="A870" s="4"/>
      <c r="B870" s="4"/>
      <c r="C870" s="479"/>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3.5" customHeight="1">
      <c r="A871" s="4"/>
      <c r="B871" s="4"/>
      <c r="C871" s="479"/>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3.5" customHeight="1">
      <c r="A872" s="4"/>
      <c r="B872" s="4"/>
      <c r="C872" s="479"/>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3.5" customHeight="1">
      <c r="A873" s="4"/>
      <c r="B873" s="4"/>
      <c r="C873" s="479"/>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3.5" customHeight="1">
      <c r="A874" s="4"/>
      <c r="B874" s="4"/>
      <c r="C874" s="479"/>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3.5" customHeight="1">
      <c r="A875" s="4"/>
      <c r="B875" s="4"/>
      <c r="C875" s="479"/>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3.5" customHeight="1">
      <c r="A876" s="4"/>
      <c r="B876" s="4"/>
      <c r="C876" s="479"/>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3.5" customHeight="1">
      <c r="A877" s="4"/>
      <c r="B877" s="4"/>
      <c r="C877" s="479"/>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3.5" customHeight="1">
      <c r="A878" s="4"/>
      <c r="B878" s="4"/>
      <c r="C878" s="479"/>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3.5" customHeight="1">
      <c r="A879" s="4"/>
      <c r="B879" s="4"/>
      <c r="C879" s="479"/>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3.5" customHeight="1">
      <c r="A880" s="4"/>
      <c r="B880" s="4"/>
      <c r="C880" s="479"/>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3.5" customHeight="1">
      <c r="A881" s="4"/>
      <c r="B881" s="4"/>
      <c r="C881" s="479"/>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3.5" customHeight="1">
      <c r="A882" s="4"/>
      <c r="B882" s="4"/>
      <c r="C882" s="479"/>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3.5" customHeight="1">
      <c r="A883" s="4"/>
      <c r="B883" s="4"/>
      <c r="C883" s="479"/>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3.5" customHeight="1">
      <c r="A884" s="4"/>
      <c r="B884" s="4"/>
      <c r="C884" s="479"/>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3.5" customHeight="1">
      <c r="A885" s="4"/>
      <c r="B885" s="4"/>
      <c r="C885" s="479"/>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3.5" customHeight="1">
      <c r="A886" s="4"/>
      <c r="B886" s="4"/>
      <c r="C886" s="479"/>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3.5" customHeight="1">
      <c r="A887" s="4"/>
      <c r="B887" s="4"/>
      <c r="C887" s="479"/>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3.5" customHeight="1">
      <c r="A888" s="4"/>
      <c r="B888" s="4"/>
      <c r="C888" s="479"/>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3.5" customHeight="1">
      <c r="A889" s="4"/>
      <c r="B889" s="4"/>
      <c r="C889" s="479"/>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3.5" customHeight="1">
      <c r="A890" s="4"/>
      <c r="B890" s="4"/>
      <c r="C890" s="479"/>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3.5" customHeight="1">
      <c r="A891" s="4"/>
      <c r="B891" s="4"/>
      <c r="C891" s="479"/>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3.5" customHeight="1">
      <c r="A892" s="4"/>
      <c r="B892" s="4"/>
      <c r="C892" s="479"/>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3.5" customHeight="1">
      <c r="A893" s="4"/>
      <c r="B893" s="4"/>
      <c r="C893" s="479"/>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3.5" customHeight="1">
      <c r="A894" s="4"/>
      <c r="B894" s="4"/>
      <c r="C894" s="479"/>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3.5" customHeight="1">
      <c r="A895" s="4"/>
      <c r="B895" s="4"/>
      <c r="C895" s="479"/>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3.5" customHeight="1">
      <c r="A896" s="4"/>
      <c r="B896" s="4"/>
      <c r="C896" s="479"/>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3.5" customHeight="1">
      <c r="A897" s="4"/>
      <c r="B897" s="4"/>
      <c r="C897" s="479"/>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3.5" customHeight="1">
      <c r="A898" s="4"/>
      <c r="B898" s="4"/>
      <c r="C898" s="479"/>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3.5" customHeight="1">
      <c r="A899" s="4"/>
      <c r="B899" s="4"/>
      <c r="C899" s="479"/>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3.5" customHeight="1">
      <c r="A900" s="4"/>
      <c r="B900" s="4"/>
      <c r="C900" s="479"/>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3.5" customHeight="1">
      <c r="A901" s="4"/>
      <c r="B901" s="4"/>
      <c r="C901" s="479"/>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3.5" customHeight="1">
      <c r="A902" s="4"/>
      <c r="B902" s="4"/>
      <c r="C902" s="479"/>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3.5" customHeight="1">
      <c r="A903" s="4"/>
      <c r="B903" s="4"/>
      <c r="C903" s="479"/>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3.5" customHeight="1">
      <c r="A904" s="4"/>
      <c r="B904" s="4"/>
      <c r="C904" s="479"/>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3.5" customHeight="1">
      <c r="A905" s="4"/>
      <c r="B905" s="4"/>
      <c r="C905" s="479"/>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3.5" customHeight="1">
      <c r="A906" s="4"/>
      <c r="B906" s="4"/>
      <c r="C906" s="479"/>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3.5" customHeight="1">
      <c r="A907" s="4"/>
      <c r="B907" s="4"/>
      <c r="C907" s="479"/>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3.5" customHeight="1">
      <c r="A908" s="4"/>
      <c r="B908" s="4"/>
      <c r="C908" s="479"/>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3.5" customHeight="1">
      <c r="A909" s="4"/>
      <c r="B909" s="4"/>
      <c r="C909" s="479"/>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3.5" customHeight="1">
      <c r="A910" s="4"/>
      <c r="B910" s="4"/>
      <c r="C910" s="479"/>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3.5" customHeight="1">
      <c r="A911" s="4"/>
      <c r="B911" s="4"/>
      <c r="C911" s="479"/>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3.5" customHeight="1">
      <c r="A912" s="4"/>
      <c r="B912" s="4"/>
      <c r="C912" s="479"/>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3.5" customHeight="1">
      <c r="A913" s="4"/>
      <c r="B913" s="4"/>
      <c r="C913" s="479"/>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3.5" customHeight="1">
      <c r="A914" s="4"/>
      <c r="B914" s="4"/>
      <c r="C914" s="479"/>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3.5" customHeight="1">
      <c r="A915" s="4"/>
      <c r="B915" s="4"/>
      <c r="C915" s="479"/>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3.5" customHeight="1">
      <c r="A916" s="4"/>
      <c r="B916" s="4"/>
      <c r="C916" s="479"/>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3.5" customHeight="1">
      <c r="A917" s="4"/>
      <c r="B917" s="4"/>
      <c r="C917" s="479"/>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3.5" customHeight="1">
      <c r="A918" s="4"/>
      <c r="B918" s="4"/>
      <c r="C918" s="479"/>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3.5" customHeight="1">
      <c r="A919" s="4"/>
      <c r="B919" s="4"/>
      <c r="C919" s="479"/>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3.5" customHeight="1">
      <c r="A920" s="4"/>
      <c r="B920" s="4"/>
      <c r="C920" s="479"/>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3.5" customHeight="1">
      <c r="A921" s="4"/>
      <c r="B921" s="4"/>
      <c r="C921" s="479"/>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3.5" customHeight="1">
      <c r="A922" s="4"/>
      <c r="B922" s="4"/>
      <c r="C922" s="479"/>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3.5" customHeight="1">
      <c r="A923" s="4"/>
      <c r="B923" s="4"/>
      <c r="C923" s="479"/>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3.5" customHeight="1">
      <c r="A924" s="4"/>
      <c r="B924" s="4"/>
      <c r="C924" s="479"/>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3.5" customHeight="1">
      <c r="A925" s="4"/>
      <c r="B925" s="4"/>
      <c r="C925" s="479"/>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3.5" customHeight="1">
      <c r="A926" s="4"/>
      <c r="B926" s="4"/>
      <c r="C926" s="479"/>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3.5" customHeight="1">
      <c r="A927" s="4"/>
      <c r="B927" s="4"/>
      <c r="C927" s="479"/>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3.5" customHeight="1">
      <c r="A928" s="4"/>
      <c r="B928" s="4"/>
      <c r="C928" s="479"/>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3.5" customHeight="1">
      <c r="A929" s="4"/>
      <c r="B929" s="4"/>
      <c r="C929" s="479"/>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3.5" customHeight="1">
      <c r="A930" s="4"/>
      <c r="B930" s="4"/>
      <c r="C930" s="479"/>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3.5" customHeight="1">
      <c r="A931" s="4"/>
      <c r="B931" s="4"/>
      <c r="C931" s="479"/>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3.5" customHeight="1">
      <c r="A932" s="4"/>
      <c r="B932" s="4"/>
      <c r="C932" s="479"/>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3.5" customHeight="1">
      <c r="A933" s="4"/>
      <c r="B933" s="4"/>
      <c r="C933" s="479"/>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3.5" customHeight="1">
      <c r="A934" s="4"/>
      <c r="B934" s="4"/>
      <c r="C934" s="479"/>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3.5" customHeight="1">
      <c r="A935" s="4"/>
      <c r="B935" s="4"/>
      <c r="C935" s="479"/>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3.5" customHeight="1">
      <c r="A936" s="4"/>
      <c r="B936" s="4"/>
      <c r="C936" s="479"/>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3.5" customHeight="1">
      <c r="A937" s="4"/>
      <c r="B937" s="4"/>
      <c r="C937" s="479"/>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3.5" customHeight="1">
      <c r="A938" s="4"/>
      <c r="B938" s="4"/>
      <c r="C938" s="479"/>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3.5" customHeight="1">
      <c r="A939" s="4"/>
      <c r="B939" s="4"/>
      <c r="C939" s="479"/>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3.5" customHeight="1">
      <c r="A940" s="4"/>
      <c r="B940" s="4"/>
      <c r="C940" s="479"/>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3.5" customHeight="1">
      <c r="A941" s="4"/>
      <c r="B941" s="4"/>
      <c r="C941" s="479"/>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3.5" customHeight="1">
      <c r="A942" s="4"/>
      <c r="B942" s="4"/>
      <c r="C942" s="479"/>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3.5" customHeight="1">
      <c r="A943" s="4"/>
      <c r="B943" s="4"/>
      <c r="C943" s="479"/>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3.5" customHeight="1">
      <c r="A944" s="4"/>
      <c r="B944" s="4"/>
      <c r="C944" s="479"/>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3.5" customHeight="1">
      <c r="A945" s="4"/>
      <c r="B945" s="4"/>
      <c r="C945" s="479"/>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3.5" customHeight="1">
      <c r="A946" s="4"/>
      <c r="B946" s="4"/>
      <c r="C946" s="479"/>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3.5" customHeight="1">
      <c r="A947" s="4"/>
      <c r="B947" s="4"/>
      <c r="C947" s="479"/>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3.5" customHeight="1">
      <c r="A948" s="4"/>
      <c r="B948" s="4"/>
      <c r="C948" s="479"/>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3.5" customHeight="1">
      <c r="A949" s="4"/>
      <c r="B949" s="4"/>
      <c r="C949" s="479"/>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3.5" customHeight="1">
      <c r="A950" s="4"/>
      <c r="B950" s="4"/>
      <c r="C950" s="479"/>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3.5" customHeight="1">
      <c r="A951" s="4"/>
      <c r="B951" s="4"/>
      <c r="C951" s="479"/>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3.5" customHeight="1">
      <c r="A952" s="4"/>
      <c r="B952" s="4"/>
      <c r="C952" s="479"/>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3.5" customHeight="1">
      <c r="A953" s="4"/>
      <c r="B953" s="4"/>
      <c r="C953" s="479"/>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3.5" customHeight="1">
      <c r="A954" s="4"/>
      <c r="B954" s="4"/>
      <c r="C954" s="479"/>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3.5" customHeight="1">
      <c r="A955" s="4"/>
      <c r="B955" s="4"/>
      <c r="C955" s="479"/>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3.5" customHeight="1">
      <c r="A956" s="4"/>
      <c r="B956" s="4"/>
      <c r="C956" s="479"/>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3.5" customHeight="1">
      <c r="A957" s="4"/>
      <c r="B957" s="4"/>
      <c r="C957" s="479"/>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3.5" customHeight="1">
      <c r="A958" s="4"/>
      <c r="B958" s="4"/>
      <c r="C958" s="479"/>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3.5" customHeight="1">
      <c r="A959" s="4"/>
      <c r="B959" s="4"/>
      <c r="C959" s="479"/>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3.5" customHeight="1">
      <c r="A960" s="4"/>
      <c r="B960" s="4"/>
      <c r="C960" s="479"/>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3.5" customHeight="1">
      <c r="A961" s="4"/>
      <c r="B961" s="4"/>
      <c r="C961" s="479"/>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3.5" customHeight="1">
      <c r="A962" s="4"/>
      <c r="B962" s="4"/>
      <c r="C962" s="479"/>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3.5" customHeight="1">
      <c r="A963" s="4"/>
      <c r="B963" s="4"/>
      <c r="C963" s="479"/>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3.5" customHeight="1">
      <c r="A964" s="4"/>
      <c r="B964" s="4"/>
      <c r="C964" s="479"/>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3.5" customHeight="1">
      <c r="A965" s="4"/>
      <c r="B965" s="4"/>
      <c r="C965" s="479"/>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3.5" customHeight="1">
      <c r="A966" s="4"/>
      <c r="B966" s="4"/>
      <c r="C966" s="479"/>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3.5" customHeight="1">
      <c r="A967" s="4"/>
      <c r="B967" s="4"/>
      <c r="C967" s="479"/>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3.5" customHeight="1">
      <c r="A968" s="4"/>
      <c r="B968" s="4"/>
      <c r="C968" s="479"/>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3.5" customHeight="1">
      <c r="A969" s="4"/>
      <c r="B969" s="4"/>
      <c r="C969" s="479"/>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3.5" customHeight="1">
      <c r="A970" s="4"/>
      <c r="B970" s="4"/>
      <c r="C970" s="479"/>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3.5" customHeight="1">
      <c r="A971" s="4"/>
      <c r="B971" s="4"/>
      <c r="C971" s="479"/>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3.5" customHeight="1">
      <c r="A972" s="4"/>
      <c r="B972" s="4"/>
      <c r="C972" s="479"/>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3.5" customHeight="1">
      <c r="A973" s="4"/>
      <c r="B973" s="4"/>
      <c r="C973" s="479"/>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3.5" customHeight="1">
      <c r="A974" s="4"/>
      <c r="B974" s="4"/>
      <c r="C974" s="479"/>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3.5" customHeight="1">
      <c r="A975" s="4"/>
      <c r="B975" s="4"/>
      <c r="C975" s="479"/>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3.5" customHeight="1">
      <c r="A976" s="4"/>
      <c r="B976" s="4"/>
      <c r="C976" s="479"/>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3.5" customHeight="1">
      <c r="A977" s="4"/>
      <c r="B977" s="4"/>
      <c r="C977" s="479"/>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3.5" customHeight="1">
      <c r="A978" s="4"/>
      <c r="B978" s="4"/>
      <c r="C978" s="479"/>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3.5" customHeight="1">
      <c r="A979" s="4"/>
      <c r="B979" s="4"/>
      <c r="C979" s="479"/>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3.5" customHeight="1">
      <c r="A980" s="4"/>
      <c r="B980" s="4"/>
      <c r="C980" s="479"/>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3.5" customHeight="1">
      <c r="A981" s="4"/>
      <c r="B981" s="4"/>
      <c r="C981" s="479"/>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3.5" customHeight="1">
      <c r="A982" s="4"/>
      <c r="B982" s="4"/>
      <c r="C982" s="479"/>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3.5" customHeight="1">
      <c r="A983" s="4"/>
      <c r="B983" s="4"/>
      <c r="C983" s="479"/>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3.5" customHeight="1">
      <c r="A984" s="4"/>
      <c r="B984" s="4"/>
      <c r="C984" s="479"/>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3.5" customHeight="1">
      <c r="A985" s="4"/>
      <c r="B985" s="4"/>
      <c r="C985" s="479"/>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3.5" customHeight="1">
      <c r="A986" s="4"/>
      <c r="B986" s="4"/>
      <c r="C986" s="479"/>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3.5" customHeight="1">
      <c r="A987" s="4"/>
      <c r="B987" s="4"/>
      <c r="C987" s="479"/>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3.5" customHeight="1">
      <c r="A988" s="4"/>
      <c r="B988" s="4"/>
      <c r="C988" s="479"/>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3.5" customHeight="1">
      <c r="A989" s="4"/>
      <c r="B989" s="4"/>
      <c r="C989" s="479"/>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3.5" customHeight="1">
      <c r="A990" s="4"/>
      <c r="B990" s="4"/>
      <c r="C990" s="479"/>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3.5" customHeight="1">
      <c r="A991" s="4"/>
      <c r="B991" s="4"/>
      <c r="C991" s="479"/>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3.5" customHeight="1">
      <c r="A992" s="4"/>
      <c r="B992" s="4"/>
      <c r="C992" s="479"/>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3.5" customHeight="1">
      <c r="A993" s="4"/>
      <c r="B993" s="4"/>
      <c r="C993" s="479"/>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3.5" customHeight="1">
      <c r="A994" s="4"/>
      <c r="B994" s="4"/>
      <c r="C994" s="479"/>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3.5" customHeight="1">
      <c r="A995" s="4"/>
      <c r="B995" s="4"/>
      <c r="C995" s="479"/>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3.5" customHeight="1">
      <c r="A996" s="4"/>
      <c r="B996" s="4"/>
      <c r="C996" s="479"/>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3.5" customHeight="1">
      <c r="A997" s="4"/>
      <c r="B997" s="4"/>
      <c r="C997" s="479"/>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3.5" customHeight="1">
      <c r="A998" s="4"/>
      <c r="B998" s="4"/>
      <c r="C998" s="479"/>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3.5" customHeight="1">
      <c r="A999" s="4"/>
      <c r="B999" s="4"/>
      <c r="C999" s="479"/>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3.5" customHeight="1">
      <c r="A1000" s="4"/>
      <c r="B1000" s="4"/>
      <c r="C1000" s="479"/>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M66:O66"/>
    <mergeCell ref="AI66:AK66"/>
    <mergeCell ref="BE66:BG66"/>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AI48:AJ48"/>
    <mergeCell ref="AK48:AL48"/>
    <mergeCell ref="AM48:AN48"/>
    <mergeCell ref="AO48:AP48"/>
    <mergeCell ref="AQ48:AR48"/>
    <mergeCell ref="BA48:BB48"/>
    <mergeCell ref="BC48:BD48"/>
    <mergeCell ref="BE48:BF48"/>
    <mergeCell ref="BG48:BH48"/>
    <mergeCell ref="I48:J48"/>
    <mergeCell ref="K48:L48"/>
    <mergeCell ref="M48:N48"/>
    <mergeCell ref="O48:P48"/>
    <mergeCell ref="Q48:R48"/>
    <mergeCell ref="S48:T48"/>
    <mergeCell ref="U48:V48"/>
    <mergeCell ref="AE48:AF48"/>
    <mergeCell ref="AG48:AH48"/>
    <mergeCell ref="M24:O24"/>
    <mergeCell ref="AI24:AK24"/>
    <mergeCell ref="BE24:BG24"/>
    <mergeCell ref="D46:V46"/>
    <mergeCell ref="Z46:AR46"/>
    <mergeCell ref="AV46:BN46"/>
    <mergeCell ref="Q47:S47"/>
    <mergeCell ref="AM47:AO47"/>
    <mergeCell ref="BI47:BK4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Normal="100" workbookViewId="0">
      <pane ySplit="8" topLeftCell="A9" activePane="bottomLeft" state="frozen"/>
      <selection pane="bottomLeft" activeCell="B10" sqref="B10"/>
    </sheetView>
  </sheetViews>
  <sheetFormatPr baseColWidth="10" defaultColWidth="14.5" defaultRowHeight="15" outlineLevelRow="1"/>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spans="1:29" ht="18" customHeight="1">
      <c r="A1" s="12"/>
      <c r="B1" s="12"/>
      <c r="C1" s="12"/>
      <c r="D1" s="12"/>
      <c r="E1" s="12"/>
      <c r="F1" s="12"/>
      <c r="G1" s="12"/>
      <c r="H1" s="592"/>
      <c r="I1" s="592"/>
      <c r="J1" s="592"/>
      <c r="K1" s="592"/>
      <c r="L1" s="592"/>
      <c r="M1" s="592"/>
      <c r="N1" s="592"/>
      <c r="O1" s="592"/>
      <c r="P1" s="592"/>
      <c r="Q1" s="592"/>
      <c r="R1" s="592"/>
      <c r="S1" s="592"/>
      <c r="T1" s="592"/>
      <c r="U1" s="12"/>
      <c r="V1" s="12"/>
      <c r="W1" s="12"/>
      <c r="X1" s="12"/>
      <c r="Y1" s="12"/>
      <c r="Z1" s="12"/>
      <c r="AA1" s="12"/>
      <c r="AB1" s="12"/>
      <c r="AC1" s="12"/>
    </row>
    <row r="2" spans="1:29" ht="12.75" customHeight="1">
      <c r="A2" s="12"/>
      <c r="B2" s="12" t="s">
        <v>596</v>
      </c>
      <c r="C2" s="12"/>
      <c r="D2" s="12"/>
      <c r="E2" s="12"/>
      <c r="F2" s="12"/>
      <c r="G2" s="12"/>
      <c r="H2" s="592"/>
      <c r="I2" s="592"/>
      <c r="J2" s="592"/>
      <c r="K2" s="592"/>
      <c r="L2" s="592">
        <v>1</v>
      </c>
      <c r="M2" s="592"/>
      <c r="N2" s="592"/>
      <c r="O2" s="592"/>
      <c r="P2" s="592"/>
      <c r="Q2" s="592"/>
      <c r="R2" s="592"/>
      <c r="S2" s="592"/>
      <c r="T2" s="592"/>
      <c r="U2" s="12"/>
      <c r="V2" s="12"/>
      <c r="W2" s="12"/>
      <c r="X2" s="12"/>
      <c r="Y2" s="12"/>
      <c r="Z2" s="12"/>
      <c r="AA2" s="12"/>
      <c r="AB2" s="12"/>
      <c r="AC2" s="593" t="e">
        <f ca="1">_xll.ciqfunctions.udf.CIQ("3304","iq_ev_over_ltm_ebitda")</f>
        <v>#NAME?</v>
      </c>
    </row>
    <row r="3" spans="1:29" ht="12.75" customHeight="1">
      <c r="A3" s="12"/>
      <c r="B3" s="12" t="s">
        <v>597</v>
      </c>
      <c r="C3" s="12"/>
      <c r="D3" s="12"/>
      <c r="E3" s="12"/>
      <c r="F3" s="12"/>
      <c r="G3" s="12"/>
      <c r="H3" s="592"/>
      <c r="I3" s="592"/>
      <c r="J3" s="592"/>
      <c r="K3" s="592"/>
      <c r="L3" s="592">
        <f t="shared" ref="L3:L6" si="0">L2+1</f>
        <v>2</v>
      </c>
      <c r="M3" s="592"/>
      <c r="N3" s="592"/>
      <c r="O3" s="592"/>
      <c r="P3" s="592"/>
      <c r="Q3" s="592"/>
      <c r="R3" s="592"/>
      <c r="S3" s="592"/>
      <c r="T3" s="592"/>
      <c r="U3" s="12"/>
      <c r="V3" s="12"/>
      <c r="W3" s="12"/>
      <c r="X3" s="12"/>
      <c r="Y3" s="12"/>
      <c r="Z3" s="12"/>
      <c r="AA3" s="12"/>
      <c r="AB3" s="12"/>
      <c r="AC3" s="12"/>
    </row>
    <row r="4" spans="1:29" ht="12.75" customHeight="1">
      <c r="A4" s="12"/>
      <c r="B4" s="12" t="s">
        <v>598</v>
      </c>
      <c r="C4" s="12"/>
      <c r="D4" s="12"/>
      <c r="E4" s="12"/>
      <c r="F4" s="12"/>
      <c r="G4" s="12"/>
      <c r="H4" s="592"/>
      <c r="I4" s="592"/>
      <c r="J4" s="592"/>
      <c r="K4" s="592"/>
      <c r="L4" s="592">
        <f t="shared" si="0"/>
        <v>3</v>
      </c>
      <c r="M4" s="592"/>
      <c r="N4" s="592"/>
      <c r="O4" s="592"/>
      <c r="P4" s="592"/>
      <c r="Q4" s="592"/>
      <c r="R4" s="592"/>
      <c r="S4" s="592"/>
      <c r="T4" s="592"/>
      <c r="U4" s="12"/>
      <c r="V4" s="12"/>
      <c r="W4" s="12"/>
      <c r="X4" s="12"/>
      <c r="Y4" s="12"/>
      <c r="Z4" s="12"/>
      <c r="AA4" s="12"/>
      <c r="AB4" s="12"/>
      <c r="AC4" s="12"/>
    </row>
    <row r="5" spans="1:29" ht="12.75" customHeight="1">
      <c r="A5" s="12"/>
      <c r="B5" s="12" t="s">
        <v>599</v>
      </c>
      <c r="C5" s="12"/>
      <c r="D5" s="12"/>
      <c r="E5" s="12"/>
      <c r="F5" s="12"/>
      <c r="G5" s="12"/>
      <c r="H5" s="592"/>
      <c r="I5" s="592"/>
      <c r="J5" s="592"/>
      <c r="K5" s="592"/>
      <c r="L5" s="592">
        <f t="shared" si="0"/>
        <v>4</v>
      </c>
      <c r="M5" s="592"/>
      <c r="N5" s="592"/>
      <c r="O5" s="592"/>
      <c r="P5" s="592"/>
      <c r="Q5" s="592"/>
      <c r="R5" s="592"/>
      <c r="S5" s="592"/>
      <c r="T5" s="592"/>
      <c r="U5" s="12"/>
      <c r="V5" s="12"/>
      <c r="W5" s="12"/>
      <c r="X5" s="12"/>
      <c r="Y5" s="12"/>
      <c r="Z5" s="12"/>
      <c r="AA5" s="12"/>
      <c r="AB5" s="12"/>
      <c r="AC5" s="12"/>
    </row>
    <row r="6" spans="1:29" ht="12.75" customHeight="1">
      <c r="A6" s="12"/>
      <c r="B6" s="12"/>
      <c r="C6" s="12"/>
      <c r="D6" s="12"/>
      <c r="E6" s="12"/>
      <c r="F6" s="12"/>
      <c r="G6" s="12"/>
      <c r="H6" s="592"/>
      <c r="I6" s="592"/>
      <c r="J6" s="592"/>
      <c r="K6" s="592"/>
      <c r="L6" s="592">
        <f t="shared" si="0"/>
        <v>5</v>
      </c>
      <c r="M6" s="592"/>
      <c r="N6" s="592"/>
      <c r="O6" s="592"/>
      <c r="P6" s="592"/>
      <c r="Q6" s="592"/>
      <c r="R6" s="592"/>
      <c r="S6" s="592"/>
      <c r="T6" s="592"/>
      <c r="U6" s="12"/>
      <c r="V6" s="12"/>
      <c r="W6" s="12"/>
      <c r="X6" s="12"/>
      <c r="Y6" s="12"/>
      <c r="Z6" s="12"/>
      <c r="AA6" s="12"/>
      <c r="AB6" s="12"/>
      <c r="AC6" s="12"/>
    </row>
    <row r="7" spans="1:29" ht="12.75" customHeight="1">
      <c r="A7" s="12"/>
      <c r="B7" s="12" t="s">
        <v>600</v>
      </c>
      <c r="C7" s="12"/>
      <c r="D7" s="12"/>
      <c r="E7" s="12"/>
      <c r="F7" s="12"/>
      <c r="G7" s="12"/>
      <c r="H7" s="592"/>
      <c r="I7" s="592"/>
      <c r="J7" s="592"/>
      <c r="K7" s="592"/>
      <c r="L7" s="592"/>
      <c r="M7" s="592"/>
      <c r="N7" s="592"/>
      <c r="O7" s="592"/>
      <c r="P7" s="592"/>
      <c r="Q7" s="592"/>
      <c r="R7" s="592"/>
      <c r="S7" s="592"/>
      <c r="T7" s="592"/>
      <c r="U7" s="12"/>
      <c r="V7" s="12"/>
      <c r="W7" s="12"/>
      <c r="X7" s="12"/>
      <c r="Y7" s="12"/>
      <c r="Z7" s="12"/>
      <c r="AA7" s="12"/>
      <c r="AB7" s="12"/>
      <c r="AC7" s="12"/>
    </row>
    <row r="8" spans="1:29" ht="25.5" customHeight="1">
      <c r="A8" s="12"/>
      <c r="B8" s="914" t="s">
        <v>601</v>
      </c>
      <c r="C8" s="861"/>
      <c r="D8" s="861"/>
      <c r="E8" s="861"/>
      <c r="F8" s="861"/>
      <c r="G8" s="861"/>
      <c r="H8" s="592"/>
      <c r="I8" s="592"/>
      <c r="J8" s="592"/>
      <c r="K8" s="592"/>
      <c r="L8" s="592"/>
      <c r="M8" s="592"/>
      <c r="N8" s="592"/>
      <c r="O8" s="592"/>
      <c r="P8" s="592"/>
      <c r="Q8" s="592"/>
      <c r="R8" s="592"/>
      <c r="S8" s="592"/>
      <c r="T8" s="592"/>
      <c r="U8" s="12"/>
      <c r="V8" s="12"/>
      <c r="W8" s="12"/>
      <c r="X8" s="12"/>
      <c r="Y8" s="12"/>
      <c r="Z8" s="12"/>
      <c r="AA8" s="12"/>
      <c r="AB8" s="12"/>
      <c r="AC8" s="12"/>
    </row>
    <row r="9" spans="1:29" ht="31.5" customHeight="1">
      <c r="A9" s="12"/>
      <c r="B9" s="594" t="s">
        <v>602</v>
      </c>
      <c r="C9" s="594"/>
      <c r="D9" s="595"/>
      <c r="E9" s="595"/>
      <c r="F9" s="595"/>
      <c r="G9" s="595"/>
      <c r="H9" s="592"/>
      <c r="I9" s="592"/>
      <c r="J9" s="12"/>
      <c r="K9" s="12"/>
      <c r="L9" s="12"/>
      <c r="M9" s="12"/>
      <c r="N9" s="12"/>
      <c r="O9" s="12"/>
      <c r="P9" s="12"/>
      <c r="Q9" s="12"/>
      <c r="R9" s="12"/>
      <c r="S9" s="12"/>
      <c r="T9" s="12"/>
      <c r="U9" s="12"/>
      <c r="V9" s="12"/>
      <c r="W9" s="12"/>
      <c r="X9" s="12"/>
      <c r="Y9" s="12"/>
      <c r="Z9" s="12"/>
      <c r="AA9" s="12"/>
      <c r="AB9" s="12"/>
      <c r="AC9" s="12"/>
    </row>
    <row r="10" spans="1:29" ht="12.75" customHeight="1">
      <c r="A10" s="12"/>
      <c r="B10" s="12"/>
      <c r="C10" s="12"/>
      <c r="D10" s="12"/>
      <c r="E10" s="12"/>
      <c r="F10" s="12"/>
      <c r="G10" s="12"/>
      <c r="H10" s="592"/>
      <c r="I10" s="592"/>
      <c r="J10" s="12"/>
      <c r="K10" s="12"/>
      <c r="L10" s="12"/>
      <c r="M10" s="12"/>
      <c r="N10" s="12"/>
      <c r="O10" s="12"/>
      <c r="P10" s="12"/>
      <c r="Q10" s="12"/>
      <c r="R10" s="12"/>
      <c r="S10" s="12"/>
      <c r="T10" s="12"/>
      <c r="U10" s="12"/>
      <c r="V10" s="12"/>
      <c r="W10" s="12"/>
      <c r="X10" s="12"/>
      <c r="Y10" s="12"/>
      <c r="Z10" s="12"/>
      <c r="AA10" s="12"/>
      <c r="AB10" s="12"/>
      <c r="AC10" s="12"/>
    </row>
    <row r="11" spans="1:29" ht="12.75" customHeight="1">
      <c r="A11" s="12"/>
      <c r="B11" s="596"/>
      <c r="C11" s="596" t="s">
        <v>603</v>
      </c>
      <c r="D11" s="596" t="s">
        <v>604</v>
      </c>
      <c r="E11" s="596"/>
      <c r="F11" s="596"/>
      <c r="G11" s="596"/>
      <c r="H11" s="592"/>
      <c r="I11" s="592"/>
      <c r="J11" s="12"/>
      <c r="K11" s="12"/>
      <c r="L11" s="12"/>
      <c r="M11" s="12"/>
      <c r="N11" s="12"/>
      <c r="O11" s="12"/>
      <c r="P11" s="12"/>
      <c r="Q11" s="12"/>
      <c r="R11" s="12"/>
      <c r="S11" s="12"/>
      <c r="T11" s="12"/>
      <c r="U11" s="12"/>
      <c r="V11" s="12"/>
      <c r="W11" s="12"/>
      <c r="X11" s="12"/>
      <c r="Y11" s="12"/>
      <c r="Z11" s="12"/>
      <c r="AA11" s="12"/>
      <c r="AB11" s="12"/>
      <c r="AC11" s="12"/>
    </row>
    <row r="12" spans="1:29" ht="12.75" customHeight="1">
      <c r="A12" s="12"/>
      <c r="B12" s="597" t="s">
        <v>605</v>
      </c>
      <c r="C12" s="597" t="s">
        <v>606</v>
      </c>
      <c r="D12" s="597" t="s">
        <v>607</v>
      </c>
      <c r="E12" s="597" t="s">
        <v>608</v>
      </c>
      <c r="F12" s="597" t="s">
        <v>609</v>
      </c>
      <c r="G12" s="597" t="s">
        <v>25</v>
      </c>
      <c r="H12" s="592"/>
      <c r="I12" s="592"/>
      <c r="J12" s="12"/>
      <c r="K12" s="12">
        <f t="shared" ref="K12:O12" si="1">J12+1</f>
        <v>1</v>
      </c>
      <c r="L12" s="12">
        <f t="shared" si="1"/>
        <v>2</v>
      </c>
      <c r="M12" s="12">
        <f t="shared" si="1"/>
        <v>3</v>
      </c>
      <c r="N12" s="12">
        <f t="shared" si="1"/>
        <v>4</v>
      </c>
      <c r="O12" s="12">
        <f t="shared" si="1"/>
        <v>5</v>
      </c>
      <c r="P12" s="592"/>
      <c r="Q12" s="592">
        <f t="shared" ref="Q12:U12" si="2">P12+1</f>
        <v>1</v>
      </c>
      <c r="R12" s="592">
        <f t="shared" si="2"/>
        <v>2</v>
      </c>
      <c r="S12" s="592">
        <f t="shared" si="2"/>
        <v>3</v>
      </c>
      <c r="T12" s="592">
        <f t="shared" si="2"/>
        <v>4</v>
      </c>
      <c r="U12" s="592">
        <f t="shared" si="2"/>
        <v>5</v>
      </c>
      <c r="V12" s="12"/>
      <c r="W12" s="12"/>
      <c r="X12" s="12"/>
      <c r="Y12" s="12"/>
      <c r="Z12" s="12"/>
      <c r="AA12" s="12"/>
      <c r="AB12" s="12"/>
      <c r="AC12" s="12"/>
    </row>
    <row r="13" spans="1:29" ht="12.75" hidden="1" customHeight="1" outlineLevel="1" collapsed="1">
      <c r="A13" s="12"/>
      <c r="B13" s="586" t="s">
        <v>610</v>
      </c>
      <c r="C13" s="452" t="e">
        <f t="shared" ref="C13:C30" ca="1" si="3">IF(J13="","",IFERROR(MATCH(B13,$K13:O13,0),"NO"))</f>
        <v>#NAME?</v>
      </c>
      <c r="D13" s="586">
        <v>1</v>
      </c>
      <c r="E13" s="12" t="str">
        <f t="shared" ref="E13:E30" si="4">IF(INDEX($K13:$O13,,MATCH($D13,$K$12:$O$12,0))=0,"No Result",INDEX($K13:$O13,,MATCH($D13,$K$12:$O$12,0)))</f>
        <v>No Result</v>
      </c>
      <c r="F13" s="12" t="str">
        <f t="shared" ref="F13:F30" si="5">IF(INDEX($Q13:$U13,,MATCH($D13,$Q$12:$U$12,0))=0,"",INDEX($Q13:$U13,,MATCH($D13,$Q$12:$U$12,0)))</f>
        <v/>
      </c>
      <c r="G13" s="407" t="e">
        <f t="shared" ref="G13:G30" ca="1" si="6">IF(OR(_xll.ciqfunctions.udf.CIQ($F13,"IQ_COMPANY_TICKER")=0,_xll.ciqfunctions.udf.CIQ($F13,"IQ_COMPANY_TICKER")="(Invalid Identifier)"),"-",_xll.ciqfunctions.udf.CIQ($F13,"IQ_COMPANY_TICKER"))</f>
        <v>#NAME?</v>
      </c>
      <c r="H13" s="592"/>
      <c r="I13" s="592"/>
      <c r="J13" s="12" t="e">
        <f t="shared" ref="J13:J30" ca="1" si="7">_xll.ciqfunctions.udf.CIQRANGEA($B13,"IQ_COMPANY_NAME_QUICK_MATCH",1,5,,,,,,,"NAME")</f>
        <v>#NAME?</v>
      </c>
      <c r="K13" s="12"/>
      <c r="L13" s="12"/>
      <c r="M13" s="12"/>
      <c r="N13" s="12"/>
      <c r="O13" s="592"/>
      <c r="P13" s="592" t="e">
        <f t="shared" ref="P13:P30" ca="1" si="8">_xll.ciqfunctions.udf.CIQRANGEA($B13,"IQ_COMPANY_ID_QUICK_MATCH",1,5,,,,,,,"ID")</f>
        <v>#NAME?</v>
      </c>
      <c r="Q13" s="592"/>
      <c r="R13" s="592"/>
      <c r="S13" s="592"/>
      <c r="T13" s="592"/>
      <c r="U13" s="592"/>
      <c r="V13" s="12"/>
      <c r="W13" s="12"/>
      <c r="X13" s="12"/>
      <c r="Y13" s="12"/>
      <c r="Z13" s="12"/>
      <c r="AA13" s="12"/>
      <c r="AB13" s="12"/>
      <c r="AC13" s="12"/>
    </row>
    <row r="14" spans="1:29" ht="12.75" customHeight="1">
      <c r="A14" s="12"/>
      <c r="B14" s="586" t="s">
        <v>567</v>
      </c>
      <c r="C14" s="452" t="e">
        <f t="shared" ca="1" si="3"/>
        <v>#NAME?</v>
      </c>
      <c r="D14" s="586">
        <v>1</v>
      </c>
      <c r="E14" s="12" t="str">
        <f t="shared" si="4"/>
        <v>3M Company</v>
      </c>
      <c r="F14" s="12" t="str">
        <f t="shared" si="5"/>
        <v>IQ289194</v>
      </c>
      <c r="G14" s="407" t="e">
        <f t="shared" ca="1" si="6"/>
        <v>#NAME?</v>
      </c>
      <c r="H14" s="592"/>
      <c r="I14" s="592"/>
      <c r="J14" s="12" t="e">
        <f t="shared" ca="1" si="7"/>
        <v>#NAME?</v>
      </c>
      <c r="K14" s="12" t="s">
        <v>567</v>
      </c>
      <c r="L14" s="12" t="s">
        <v>611</v>
      </c>
      <c r="M14" s="12" t="s">
        <v>612</v>
      </c>
      <c r="N14" s="12" t="s">
        <v>613</v>
      </c>
      <c r="O14" s="592" t="s">
        <v>614</v>
      </c>
      <c r="P14" s="592" t="e">
        <f t="shared" ca="1" si="8"/>
        <v>#NAME?</v>
      </c>
      <c r="Q14" s="592" t="s">
        <v>571</v>
      </c>
      <c r="R14" s="592" t="s">
        <v>615</v>
      </c>
      <c r="S14" s="592" t="s">
        <v>616</v>
      </c>
      <c r="T14" s="592" t="s">
        <v>617</v>
      </c>
      <c r="U14" s="592" t="s">
        <v>618</v>
      </c>
      <c r="V14" s="12"/>
      <c r="W14" s="12"/>
      <c r="X14" s="12"/>
      <c r="Y14" s="12"/>
      <c r="Z14" s="12"/>
      <c r="AA14" s="12"/>
      <c r="AB14" s="12"/>
      <c r="AC14" s="12"/>
    </row>
    <row r="15" spans="1:29" ht="12.75" customHeight="1">
      <c r="A15" s="12"/>
      <c r="B15" s="586" t="s">
        <v>619</v>
      </c>
      <c r="C15" s="452" t="e">
        <f t="shared" ca="1" si="3"/>
        <v>#NAME?</v>
      </c>
      <c r="D15" s="586">
        <v>1</v>
      </c>
      <c r="E15" s="12" t="str">
        <f t="shared" si="4"/>
        <v>General Electric Company</v>
      </c>
      <c r="F15" s="12" t="str">
        <f t="shared" si="5"/>
        <v>IQ177031</v>
      </c>
      <c r="G15" s="407" t="e">
        <f t="shared" ca="1" si="6"/>
        <v>#NAME?</v>
      </c>
      <c r="H15" s="592"/>
      <c r="I15" s="592"/>
      <c r="J15" s="12" t="e">
        <f t="shared" ca="1" si="7"/>
        <v>#NAME?</v>
      </c>
      <c r="K15" s="12" t="s">
        <v>619</v>
      </c>
      <c r="L15" s="12" t="s">
        <v>620</v>
      </c>
      <c r="M15" s="12" t="s">
        <v>621</v>
      </c>
      <c r="N15" s="12" t="s">
        <v>622</v>
      </c>
      <c r="O15" s="592" t="s">
        <v>619</v>
      </c>
      <c r="P15" s="592" t="e">
        <f t="shared" ca="1" si="8"/>
        <v>#NAME?</v>
      </c>
      <c r="Q15" s="592" t="s">
        <v>577</v>
      </c>
      <c r="R15" s="592" t="s">
        <v>623</v>
      </c>
      <c r="S15" s="592" t="s">
        <v>624</v>
      </c>
      <c r="T15" s="592" t="s">
        <v>625</v>
      </c>
      <c r="U15" s="592" t="s">
        <v>626</v>
      </c>
      <c r="V15" s="12"/>
      <c r="W15" s="12"/>
      <c r="X15" s="12"/>
      <c r="Y15" s="12"/>
      <c r="Z15" s="12"/>
      <c r="AA15" s="12"/>
      <c r="AB15" s="12"/>
      <c r="AC15" s="12"/>
    </row>
    <row r="16" spans="1:29" ht="12.75" customHeight="1">
      <c r="A16" s="12"/>
      <c r="B16" s="586" t="s">
        <v>619</v>
      </c>
      <c r="C16" s="452" t="e">
        <f t="shared" ca="1" si="3"/>
        <v>#NAME?</v>
      </c>
      <c r="D16" s="586">
        <v>1</v>
      </c>
      <c r="E16" s="12" t="str">
        <f t="shared" si="4"/>
        <v>General Electric Company</v>
      </c>
      <c r="F16" s="12" t="str">
        <f t="shared" si="5"/>
        <v>IQ177031</v>
      </c>
      <c r="G16" s="407" t="e">
        <f t="shared" ca="1" si="6"/>
        <v>#NAME?</v>
      </c>
      <c r="H16" s="592"/>
      <c r="I16" s="592"/>
      <c r="J16" s="12" t="e">
        <f t="shared" ca="1" si="7"/>
        <v>#NAME?</v>
      </c>
      <c r="K16" s="12" t="s">
        <v>619</v>
      </c>
      <c r="L16" s="12" t="s">
        <v>620</v>
      </c>
      <c r="M16" s="12" t="s">
        <v>621</v>
      </c>
      <c r="N16" s="12" t="s">
        <v>622</v>
      </c>
      <c r="O16" s="592" t="s">
        <v>619</v>
      </c>
      <c r="P16" s="592" t="e">
        <f t="shared" ca="1" si="8"/>
        <v>#NAME?</v>
      </c>
      <c r="Q16" s="592" t="s">
        <v>577</v>
      </c>
      <c r="R16" s="592" t="s">
        <v>623</v>
      </c>
      <c r="S16" s="592" t="s">
        <v>624</v>
      </c>
      <c r="T16" s="592" t="s">
        <v>625</v>
      </c>
      <c r="U16" s="592" t="s">
        <v>626</v>
      </c>
      <c r="V16" s="12"/>
      <c r="W16" s="12"/>
      <c r="X16" s="12"/>
      <c r="Y16" s="12"/>
      <c r="Z16" s="12"/>
      <c r="AA16" s="12"/>
      <c r="AB16" s="12"/>
      <c r="AC16" s="12"/>
    </row>
    <row r="17" spans="1:29" ht="12.75" customHeight="1">
      <c r="A17" s="12"/>
      <c r="B17" s="586" t="s">
        <v>627</v>
      </c>
      <c r="C17" s="452" t="e">
        <f t="shared" ca="1" si="3"/>
        <v>#NAME?</v>
      </c>
      <c r="D17" s="586">
        <v>1</v>
      </c>
      <c r="E17" s="12" t="str">
        <f t="shared" si="4"/>
        <v>The Home Depot, Inc.</v>
      </c>
      <c r="F17" s="12" t="str">
        <f t="shared" si="5"/>
        <v>IQ278679</v>
      </c>
      <c r="G17" s="407" t="e">
        <f t="shared" ca="1" si="6"/>
        <v>#NAME?</v>
      </c>
      <c r="H17" s="592"/>
      <c r="I17" s="592"/>
      <c r="J17" s="12" t="e">
        <f t="shared" ca="1" si="7"/>
        <v>#NAME?</v>
      </c>
      <c r="K17" s="12" t="s">
        <v>565</v>
      </c>
      <c r="L17" s="12" t="s">
        <v>628</v>
      </c>
      <c r="M17" s="12" t="s">
        <v>627</v>
      </c>
      <c r="N17" s="12" t="s">
        <v>629</v>
      </c>
      <c r="O17" s="592" t="s">
        <v>630</v>
      </c>
      <c r="P17" s="592" t="e">
        <f t="shared" ca="1" si="8"/>
        <v>#NAME?</v>
      </c>
      <c r="Q17" s="592" t="s">
        <v>569</v>
      </c>
      <c r="R17" s="592" t="s">
        <v>631</v>
      </c>
      <c r="S17" s="592" t="s">
        <v>632</v>
      </c>
      <c r="T17" s="592" t="s">
        <v>633</v>
      </c>
      <c r="U17" s="592" t="s">
        <v>634</v>
      </c>
      <c r="V17" s="12"/>
      <c r="W17" s="12"/>
      <c r="X17" s="12"/>
      <c r="Y17" s="12"/>
      <c r="Z17" s="12"/>
      <c r="AA17" s="12"/>
      <c r="AB17" s="12"/>
      <c r="AC17" s="12"/>
    </row>
    <row r="18" spans="1:29" ht="12.75" customHeight="1">
      <c r="A18" s="12"/>
      <c r="B18" s="586" t="s">
        <v>635</v>
      </c>
      <c r="C18" s="452" t="e">
        <f t="shared" ca="1" si="3"/>
        <v>#NAME?</v>
      </c>
      <c r="D18" s="586">
        <v>1</v>
      </c>
      <c r="E18" s="12" t="str">
        <f t="shared" si="4"/>
        <v>Roper Technologies, Inc.</v>
      </c>
      <c r="F18" s="12" t="str">
        <f t="shared" si="5"/>
        <v>IQ22751</v>
      </c>
      <c r="G18" s="407" t="e">
        <f t="shared" ca="1" si="6"/>
        <v>#NAME?</v>
      </c>
      <c r="H18" s="592"/>
      <c r="I18" s="592"/>
      <c r="J18" s="12" t="e">
        <f t="shared" ca="1" si="7"/>
        <v>#NAME?</v>
      </c>
      <c r="K18" s="12" t="s">
        <v>635</v>
      </c>
      <c r="L18" s="12" t="s">
        <v>636</v>
      </c>
      <c r="M18" s="12" t="s">
        <v>637</v>
      </c>
      <c r="N18" s="12" t="s">
        <v>638</v>
      </c>
      <c r="O18" s="592"/>
      <c r="P18" s="592" t="e">
        <f t="shared" ca="1" si="8"/>
        <v>#NAME?</v>
      </c>
      <c r="Q18" s="592" t="s">
        <v>589</v>
      </c>
      <c r="R18" s="592" t="s">
        <v>639</v>
      </c>
      <c r="S18" s="592" t="s">
        <v>640</v>
      </c>
      <c r="T18" s="592" t="s">
        <v>641</v>
      </c>
      <c r="U18" s="592"/>
      <c r="V18" s="12"/>
      <c r="W18" s="12"/>
      <c r="X18" s="12"/>
      <c r="Y18" s="12"/>
      <c r="Z18" s="12"/>
      <c r="AA18" s="12"/>
      <c r="AB18" s="12"/>
      <c r="AC18" s="12"/>
    </row>
    <row r="19" spans="1:29" ht="12.75" customHeight="1">
      <c r="A19" s="12"/>
      <c r="B19" s="586" t="s">
        <v>642</v>
      </c>
      <c r="C19" s="452" t="e">
        <f t="shared" ca="1" si="3"/>
        <v>#NAME?</v>
      </c>
      <c r="D19" s="586">
        <v>1</v>
      </c>
      <c r="E19" s="12" t="str">
        <f t="shared" si="4"/>
        <v>Emerson Electric Co.</v>
      </c>
      <c r="F19" s="12" t="str">
        <f t="shared" si="5"/>
        <v>IQ269231</v>
      </c>
      <c r="G19" s="407" t="e">
        <f t="shared" ca="1" si="6"/>
        <v>#NAME?</v>
      </c>
      <c r="H19" s="592"/>
      <c r="I19" s="592"/>
      <c r="J19" s="12" t="e">
        <f t="shared" ca="1" si="7"/>
        <v>#NAME?</v>
      </c>
      <c r="K19" s="12" t="s">
        <v>642</v>
      </c>
      <c r="L19" s="12" t="s">
        <v>643</v>
      </c>
      <c r="M19" s="12" t="s">
        <v>644</v>
      </c>
      <c r="N19" s="12" t="s">
        <v>645</v>
      </c>
      <c r="O19" s="592" t="s">
        <v>646</v>
      </c>
      <c r="P19" s="592" t="e">
        <f t="shared" ca="1" si="8"/>
        <v>#NAME?</v>
      </c>
      <c r="Q19" s="592" t="s">
        <v>595</v>
      </c>
      <c r="R19" s="592" t="s">
        <v>647</v>
      </c>
      <c r="S19" s="592" t="s">
        <v>648</v>
      </c>
      <c r="T19" s="592" t="s">
        <v>649</v>
      </c>
      <c r="U19" s="592" t="s">
        <v>650</v>
      </c>
      <c r="V19" s="12"/>
      <c r="W19" s="12"/>
      <c r="X19" s="12"/>
      <c r="Y19" s="12"/>
      <c r="Z19" s="12"/>
      <c r="AA19" s="12"/>
      <c r="AB19" s="12"/>
      <c r="AC19" s="12"/>
    </row>
    <row r="20" spans="1:29" ht="12.75" customHeight="1">
      <c r="A20" s="12"/>
      <c r="B20" s="586" t="s">
        <v>572</v>
      </c>
      <c r="C20" s="452" t="e">
        <f t="shared" ca="1" si="3"/>
        <v>#NAME?</v>
      </c>
      <c r="D20" s="586">
        <v>1</v>
      </c>
      <c r="E20" s="12" t="str">
        <f t="shared" si="4"/>
        <v>Apple Inc.</v>
      </c>
      <c r="F20" s="12" t="str">
        <f t="shared" si="5"/>
        <v>IQ24937</v>
      </c>
      <c r="G20" s="407" t="e">
        <f t="shared" ca="1" si="6"/>
        <v>#NAME?</v>
      </c>
      <c r="H20" s="592"/>
      <c r="I20" s="592"/>
      <c r="J20" s="12" t="e">
        <f t="shared" ca="1" si="7"/>
        <v>#NAME?</v>
      </c>
      <c r="K20" s="12" t="s">
        <v>651</v>
      </c>
      <c r="L20" s="12" t="s">
        <v>572</v>
      </c>
      <c r="M20" s="12" t="s">
        <v>652</v>
      </c>
      <c r="N20" s="12" t="s">
        <v>653</v>
      </c>
      <c r="O20" s="592" t="s">
        <v>651</v>
      </c>
      <c r="P20" s="592" t="e">
        <f t="shared" ca="1" si="8"/>
        <v>#NAME?</v>
      </c>
      <c r="Q20" s="592" t="s">
        <v>654</v>
      </c>
      <c r="R20" s="592" t="s">
        <v>655</v>
      </c>
      <c r="S20" s="592" t="s">
        <v>656</v>
      </c>
      <c r="T20" s="592" t="s">
        <v>657</v>
      </c>
      <c r="U20" s="592" t="s">
        <v>658</v>
      </c>
      <c r="V20" s="12"/>
      <c r="W20" s="12"/>
      <c r="X20" s="12"/>
      <c r="Y20" s="12"/>
      <c r="Z20" s="12"/>
      <c r="AA20" s="12"/>
      <c r="AB20" s="12"/>
      <c r="AC20" s="12"/>
    </row>
    <row r="21" spans="1:29" ht="12.75" customHeight="1">
      <c r="A21" s="12"/>
      <c r="B21" s="586" t="s">
        <v>659</v>
      </c>
      <c r="C21" s="452" t="e">
        <f t="shared" ca="1" si="3"/>
        <v>#NAME?</v>
      </c>
      <c r="D21" s="586">
        <v>1</v>
      </c>
      <c r="E21" s="12" t="str">
        <f t="shared" si="4"/>
        <v>Oracle Corporation</v>
      </c>
      <c r="F21" s="12" t="str">
        <f t="shared" si="5"/>
        <v>IQ22247</v>
      </c>
      <c r="G21" s="407" t="e">
        <f t="shared" ca="1" si="6"/>
        <v>#NAME?</v>
      </c>
      <c r="H21" s="592"/>
      <c r="I21" s="592"/>
      <c r="J21" s="12" t="e">
        <f t="shared" ca="1" si="7"/>
        <v>#NAME?</v>
      </c>
      <c r="K21" s="12" t="s">
        <v>660</v>
      </c>
      <c r="L21" s="12" t="s">
        <v>661</v>
      </c>
      <c r="M21" s="12" t="s">
        <v>662</v>
      </c>
      <c r="N21" s="12" t="s">
        <v>663</v>
      </c>
      <c r="O21" s="592" t="s">
        <v>664</v>
      </c>
      <c r="P21" s="592" t="e">
        <f t="shared" ca="1" si="8"/>
        <v>#NAME?</v>
      </c>
      <c r="Q21" s="592" t="s">
        <v>665</v>
      </c>
      <c r="R21" s="592" t="s">
        <v>666</v>
      </c>
      <c r="S21" s="592" t="s">
        <v>667</v>
      </c>
      <c r="T21" s="592" t="s">
        <v>668</v>
      </c>
      <c r="U21" s="592" t="s">
        <v>669</v>
      </c>
      <c r="V21" s="12"/>
      <c r="W21" s="12"/>
      <c r="X21" s="12"/>
      <c r="Y21" s="12"/>
      <c r="Z21" s="12"/>
      <c r="AA21" s="12"/>
      <c r="AB21" s="12"/>
      <c r="AC21" s="12"/>
    </row>
    <row r="22" spans="1:29" ht="12.75" customHeight="1">
      <c r="A22" s="12"/>
      <c r="B22" s="586" t="s">
        <v>670</v>
      </c>
      <c r="C22" s="452" t="e">
        <f t="shared" ca="1" si="3"/>
        <v>#NAME?</v>
      </c>
      <c r="D22" s="586">
        <v>1</v>
      </c>
      <c r="E22" s="12" t="str">
        <f t="shared" si="4"/>
        <v>Citrix Systems, Inc.</v>
      </c>
      <c r="F22" s="12" t="str">
        <f t="shared" si="5"/>
        <v>IQ26524</v>
      </c>
      <c r="G22" s="407" t="e">
        <f t="shared" ca="1" si="6"/>
        <v>#NAME?</v>
      </c>
      <c r="H22" s="592"/>
      <c r="I22" s="592"/>
      <c r="J22" s="12" t="e">
        <f t="shared" ca="1" si="7"/>
        <v>#NAME?</v>
      </c>
      <c r="K22" s="12" t="s">
        <v>671</v>
      </c>
      <c r="L22" s="12" t="s">
        <v>672</v>
      </c>
      <c r="M22" s="12" t="s">
        <v>673</v>
      </c>
      <c r="N22" s="12" t="s">
        <v>674</v>
      </c>
      <c r="O22" s="592" t="s">
        <v>675</v>
      </c>
      <c r="P22" s="592" t="e">
        <f t="shared" ca="1" si="8"/>
        <v>#NAME?</v>
      </c>
      <c r="Q22" s="592" t="s">
        <v>676</v>
      </c>
      <c r="R22" s="592" t="s">
        <v>677</v>
      </c>
      <c r="S22" s="592" t="s">
        <v>678</v>
      </c>
      <c r="T22" s="592" t="s">
        <v>679</v>
      </c>
      <c r="U22" s="592" t="s">
        <v>680</v>
      </c>
      <c r="V22" s="12"/>
      <c r="W22" s="12"/>
      <c r="X22" s="12"/>
      <c r="Y22" s="12"/>
      <c r="Z22" s="12"/>
      <c r="AA22" s="12"/>
      <c r="AB22" s="12"/>
      <c r="AC22" s="12"/>
    </row>
    <row r="23" spans="1:29" ht="12.75" customHeight="1">
      <c r="A23" s="12"/>
      <c r="B23" s="586" t="s">
        <v>681</v>
      </c>
      <c r="C23" s="452" t="e">
        <f t="shared" ca="1" si="3"/>
        <v>#NAME?</v>
      </c>
      <c r="D23" s="586">
        <v>1</v>
      </c>
      <c r="E23" s="12" t="str">
        <f t="shared" si="4"/>
        <v>Cyren Ltd.</v>
      </c>
      <c r="F23" s="12" t="str">
        <f t="shared" si="5"/>
        <v>IQ26767</v>
      </c>
      <c r="G23" s="407" t="e">
        <f t="shared" ca="1" si="6"/>
        <v>#NAME?</v>
      </c>
      <c r="H23" s="592"/>
      <c r="I23" s="592"/>
      <c r="J23" s="12" t="e">
        <f t="shared" ca="1" si="7"/>
        <v>#NAME?</v>
      </c>
      <c r="K23" s="12" t="s">
        <v>682</v>
      </c>
      <c r="L23" s="12" t="s">
        <v>683</v>
      </c>
      <c r="M23" s="12" t="s">
        <v>684</v>
      </c>
      <c r="N23" s="12" t="s">
        <v>685</v>
      </c>
      <c r="O23" s="592" t="s">
        <v>686</v>
      </c>
      <c r="P23" s="592" t="e">
        <f t="shared" ca="1" si="8"/>
        <v>#NAME?</v>
      </c>
      <c r="Q23" s="592" t="s">
        <v>687</v>
      </c>
      <c r="R23" s="592" t="s">
        <v>688</v>
      </c>
      <c r="S23" s="592" t="s">
        <v>689</v>
      </c>
      <c r="T23" s="592" t="s">
        <v>690</v>
      </c>
      <c r="U23" s="592" t="s">
        <v>691</v>
      </c>
      <c r="V23" s="12"/>
      <c r="W23" s="12"/>
      <c r="X23" s="12"/>
      <c r="Y23" s="12"/>
      <c r="Z23" s="12"/>
      <c r="AA23" s="12"/>
      <c r="AB23" s="12"/>
      <c r="AC23" s="12"/>
    </row>
    <row r="24" spans="1:29" ht="12.75" customHeight="1">
      <c r="A24" s="12"/>
      <c r="B24" s="586" t="s">
        <v>692</v>
      </c>
      <c r="C24" s="452" t="e">
        <f t="shared" ca="1" si="3"/>
        <v>#NAME?</v>
      </c>
      <c r="D24" s="586">
        <v>1</v>
      </c>
      <c r="E24" s="12" t="str">
        <f t="shared" si="4"/>
        <v>Commvault Systems, Inc.</v>
      </c>
      <c r="F24" s="12" t="str">
        <f t="shared" si="5"/>
        <v>IQ26789</v>
      </c>
      <c r="G24" s="407" t="e">
        <f t="shared" ca="1" si="6"/>
        <v>#NAME?</v>
      </c>
      <c r="H24" s="592"/>
      <c r="I24" s="592"/>
      <c r="J24" s="12" t="e">
        <f t="shared" ca="1" si="7"/>
        <v>#NAME?</v>
      </c>
      <c r="K24" s="12" t="s">
        <v>693</v>
      </c>
      <c r="L24" s="12" t="s">
        <v>694</v>
      </c>
      <c r="M24" s="12" t="s">
        <v>695</v>
      </c>
      <c r="N24" s="12" t="s">
        <v>696</v>
      </c>
      <c r="O24" s="592" t="s">
        <v>697</v>
      </c>
      <c r="P24" s="592" t="e">
        <f t="shared" ca="1" si="8"/>
        <v>#NAME?</v>
      </c>
      <c r="Q24" s="592" t="s">
        <v>698</v>
      </c>
      <c r="R24" s="592" t="s">
        <v>699</v>
      </c>
      <c r="S24" s="592" t="s">
        <v>700</v>
      </c>
      <c r="T24" s="592" t="s">
        <v>701</v>
      </c>
      <c r="U24" s="592" t="s">
        <v>702</v>
      </c>
      <c r="V24" s="12"/>
      <c r="W24" s="12"/>
      <c r="X24" s="12"/>
      <c r="Y24" s="12"/>
      <c r="Z24" s="12"/>
      <c r="AA24" s="12"/>
      <c r="AB24" s="12"/>
      <c r="AC24" s="12"/>
    </row>
    <row r="25" spans="1:29" ht="12.75" customHeight="1">
      <c r="A25" s="12"/>
      <c r="B25" s="586" t="s">
        <v>703</v>
      </c>
      <c r="C25" s="452" t="e">
        <f t="shared" ca="1" si="3"/>
        <v>#NAME?</v>
      </c>
      <c r="D25" s="586">
        <v>1</v>
      </c>
      <c r="E25" s="12" t="str">
        <f t="shared" si="4"/>
        <v>eGain Corporation</v>
      </c>
      <c r="F25" s="12" t="str">
        <f t="shared" si="5"/>
        <v>IQ27928</v>
      </c>
      <c r="G25" s="407" t="e">
        <f t="shared" ca="1" si="6"/>
        <v>#NAME?</v>
      </c>
      <c r="H25" s="592"/>
      <c r="I25" s="592"/>
      <c r="J25" s="12" t="e">
        <f t="shared" ca="1" si="7"/>
        <v>#NAME?</v>
      </c>
      <c r="K25" s="12" t="s">
        <v>703</v>
      </c>
      <c r="L25" s="12" t="s">
        <v>704</v>
      </c>
      <c r="M25" s="12" t="s">
        <v>705</v>
      </c>
      <c r="N25" s="12" t="s">
        <v>706</v>
      </c>
      <c r="O25" s="592" t="s">
        <v>707</v>
      </c>
      <c r="P25" s="592" t="e">
        <f t="shared" ca="1" si="8"/>
        <v>#NAME?</v>
      </c>
      <c r="Q25" s="592" t="s">
        <v>708</v>
      </c>
      <c r="R25" s="592" t="s">
        <v>709</v>
      </c>
      <c r="S25" s="592" t="s">
        <v>710</v>
      </c>
      <c r="T25" s="592" t="s">
        <v>711</v>
      </c>
      <c r="U25" s="592" t="s">
        <v>712</v>
      </c>
      <c r="V25" s="12"/>
      <c r="W25" s="12"/>
      <c r="X25" s="12"/>
      <c r="Y25" s="12"/>
      <c r="Z25" s="12"/>
      <c r="AA25" s="12"/>
      <c r="AB25" s="12"/>
      <c r="AC25" s="12"/>
    </row>
    <row r="26" spans="1:29" ht="12.75" customHeight="1">
      <c r="A26" s="12"/>
      <c r="B26" s="586" t="s">
        <v>713</v>
      </c>
      <c r="C26" s="452" t="e">
        <f t="shared" ca="1" si="3"/>
        <v>#NAME?</v>
      </c>
      <c r="D26" s="586">
        <v>1</v>
      </c>
      <c r="E26" s="12" t="str">
        <f t="shared" si="4"/>
        <v>Harmonic Inc.</v>
      </c>
      <c r="F26" s="12" t="str">
        <f t="shared" si="5"/>
        <v>IQ29282</v>
      </c>
      <c r="G26" s="407" t="e">
        <f t="shared" ca="1" si="6"/>
        <v>#NAME?</v>
      </c>
      <c r="H26" s="592"/>
      <c r="I26" s="592"/>
      <c r="J26" s="12" t="e">
        <f t="shared" ca="1" si="7"/>
        <v>#NAME?</v>
      </c>
      <c r="K26" s="12" t="s">
        <v>714</v>
      </c>
      <c r="L26" s="12" t="s">
        <v>715</v>
      </c>
      <c r="M26" s="12" t="s">
        <v>716</v>
      </c>
      <c r="N26" s="12" t="s">
        <v>717</v>
      </c>
      <c r="O26" s="592" t="s">
        <v>718</v>
      </c>
      <c r="P26" s="592" t="e">
        <f t="shared" ca="1" si="8"/>
        <v>#NAME?</v>
      </c>
      <c r="Q26" s="592" t="s">
        <v>719</v>
      </c>
      <c r="R26" s="592" t="s">
        <v>720</v>
      </c>
      <c r="S26" s="592" t="s">
        <v>721</v>
      </c>
      <c r="T26" s="592" t="s">
        <v>722</v>
      </c>
      <c r="U26" s="592" t="s">
        <v>723</v>
      </c>
      <c r="V26" s="12"/>
      <c r="W26" s="12"/>
      <c r="X26" s="12"/>
      <c r="Y26" s="12"/>
      <c r="Z26" s="12"/>
      <c r="AA26" s="12"/>
      <c r="AB26" s="12"/>
      <c r="AC26" s="12"/>
    </row>
    <row r="27" spans="1:29" ht="12.75" customHeight="1">
      <c r="A27" s="12"/>
      <c r="B27" s="586" t="s">
        <v>724</v>
      </c>
      <c r="C27" s="452" t="e">
        <f t="shared" ca="1" si="3"/>
        <v>#NAME?</v>
      </c>
      <c r="D27" s="586">
        <v>1</v>
      </c>
      <c r="E27" s="12" t="str">
        <f t="shared" si="4"/>
        <v>NetApp, Inc.</v>
      </c>
      <c r="F27" s="12" t="str">
        <f t="shared" si="5"/>
        <v>IQ32052</v>
      </c>
      <c r="G27" s="407" t="e">
        <f t="shared" ca="1" si="6"/>
        <v>#NAME?</v>
      </c>
      <c r="H27" s="592"/>
      <c r="I27" s="592"/>
      <c r="J27" s="12" t="e">
        <f t="shared" ca="1" si="7"/>
        <v>#NAME?</v>
      </c>
      <c r="K27" s="12" t="s">
        <v>725</v>
      </c>
      <c r="L27" s="12" t="s">
        <v>726</v>
      </c>
      <c r="M27" s="12" t="s">
        <v>727</v>
      </c>
      <c r="N27" s="12" t="s">
        <v>728</v>
      </c>
      <c r="O27" s="592" t="s">
        <v>729</v>
      </c>
      <c r="P27" s="592" t="e">
        <f t="shared" ca="1" si="8"/>
        <v>#NAME?</v>
      </c>
      <c r="Q27" s="592" t="s">
        <v>730</v>
      </c>
      <c r="R27" s="592" t="s">
        <v>731</v>
      </c>
      <c r="S27" s="592" t="s">
        <v>732</v>
      </c>
      <c r="T27" s="592" t="s">
        <v>733</v>
      </c>
      <c r="U27" s="592" t="s">
        <v>734</v>
      </c>
      <c r="V27" s="12"/>
      <c r="W27" s="12"/>
      <c r="X27" s="12"/>
      <c r="Y27" s="12"/>
      <c r="Z27" s="12"/>
      <c r="AA27" s="12"/>
      <c r="AB27" s="12"/>
      <c r="AC27" s="12"/>
    </row>
    <row r="28" spans="1:29" ht="12.75" customHeight="1">
      <c r="A28" s="12"/>
      <c r="B28" s="586" t="s">
        <v>735</v>
      </c>
      <c r="C28" s="452" t="e">
        <f t="shared" ca="1" si="3"/>
        <v>#NAME?</v>
      </c>
      <c r="D28" s="586">
        <v>1</v>
      </c>
      <c r="E28" s="12" t="str">
        <f t="shared" si="4"/>
        <v>Inseego Corp.</v>
      </c>
      <c r="F28" s="12" t="str">
        <f t="shared" si="5"/>
        <v>IQ32261</v>
      </c>
      <c r="G28" s="407" t="e">
        <f t="shared" ca="1" si="6"/>
        <v>#NAME?</v>
      </c>
      <c r="H28" s="592"/>
      <c r="I28" s="592"/>
      <c r="J28" s="12" t="e">
        <f t="shared" ca="1" si="7"/>
        <v>#NAME?</v>
      </c>
      <c r="K28" s="12" t="s">
        <v>736</v>
      </c>
      <c r="L28" s="12" t="s">
        <v>737</v>
      </c>
      <c r="M28" s="12" t="s">
        <v>738</v>
      </c>
      <c r="N28" s="12" t="s">
        <v>739</v>
      </c>
      <c r="O28" s="592" t="s">
        <v>740</v>
      </c>
      <c r="P28" s="592" t="e">
        <f t="shared" ca="1" si="8"/>
        <v>#NAME?</v>
      </c>
      <c r="Q28" s="592" t="s">
        <v>741</v>
      </c>
      <c r="R28" s="592" t="s">
        <v>742</v>
      </c>
      <c r="S28" s="592" t="s">
        <v>743</v>
      </c>
      <c r="T28" s="592" t="s">
        <v>744</v>
      </c>
      <c r="U28" s="592" t="s">
        <v>745</v>
      </c>
      <c r="V28" s="12"/>
      <c r="W28" s="12"/>
      <c r="X28" s="12"/>
      <c r="Y28" s="12"/>
      <c r="Z28" s="12"/>
      <c r="AA28" s="12"/>
      <c r="AB28" s="12"/>
      <c r="AC28" s="12"/>
    </row>
    <row r="29" spans="1:29" ht="12.75" customHeight="1">
      <c r="A29" s="12"/>
      <c r="B29" s="586" t="s">
        <v>746</v>
      </c>
      <c r="C29" s="452" t="e">
        <f t="shared" ca="1" si="3"/>
        <v>#NAME?</v>
      </c>
      <c r="D29" s="586">
        <v>1</v>
      </c>
      <c r="E29" s="12" t="str">
        <f t="shared" si="4"/>
        <v>Intouch Insight Ltd.</v>
      </c>
      <c r="F29" s="12" t="str">
        <f t="shared" si="5"/>
        <v>IQ3160034</v>
      </c>
      <c r="G29" s="407" t="e">
        <f t="shared" ca="1" si="6"/>
        <v>#NAME?</v>
      </c>
      <c r="H29" s="592"/>
      <c r="I29" s="592"/>
      <c r="J29" s="12" t="e">
        <f t="shared" ca="1" si="7"/>
        <v>#NAME?</v>
      </c>
      <c r="K29" s="12" t="s">
        <v>747</v>
      </c>
      <c r="L29" s="12" t="s">
        <v>748</v>
      </c>
      <c r="M29" s="12"/>
      <c r="N29" s="12"/>
      <c r="O29" s="592"/>
      <c r="P29" s="592" t="e">
        <f t="shared" ca="1" si="8"/>
        <v>#NAME?</v>
      </c>
      <c r="Q29" s="592" t="s">
        <v>749</v>
      </c>
      <c r="R29" s="592" t="s">
        <v>750</v>
      </c>
      <c r="S29" s="592"/>
      <c r="T29" s="592"/>
      <c r="U29" s="592"/>
      <c r="V29" s="12"/>
      <c r="W29" s="12"/>
      <c r="X29" s="12"/>
      <c r="Y29" s="12"/>
      <c r="Z29" s="12"/>
      <c r="AA29" s="12"/>
      <c r="AB29" s="12"/>
      <c r="AC29" s="12"/>
    </row>
    <row r="30" spans="1:29" ht="12.75" customHeight="1">
      <c r="A30" s="12"/>
      <c r="B30" s="586" t="s">
        <v>751</v>
      </c>
      <c r="C30" s="452" t="e">
        <f t="shared" ca="1" si="3"/>
        <v>#NAME?</v>
      </c>
      <c r="D30" s="586">
        <v>1</v>
      </c>
      <c r="E30" s="12" t="str">
        <f t="shared" si="4"/>
        <v>Energy Plug Technologies Corp.</v>
      </c>
      <c r="F30" s="12" t="str">
        <f t="shared" si="5"/>
        <v>IQ282167789</v>
      </c>
      <c r="G30" s="407" t="e">
        <f t="shared" ca="1" si="6"/>
        <v>#NAME?</v>
      </c>
      <c r="H30" s="592"/>
      <c r="I30" s="592"/>
      <c r="J30" s="12" t="e">
        <f t="shared" ca="1" si="7"/>
        <v>#NAME?</v>
      </c>
      <c r="K30" s="12" t="s">
        <v>752</v>
      </c>
      <c r="L30" s="12"/>
      <c r="M30" s="12"/>
      <c r="N30" s="12"/>
      <c r="O30" s="592"/>
      <c r="P30" s="592" t="e">
        <f t="shared" ca="1" si="8"/>
        <v>#NAME?</v>
      </c>
      <c r="Q30" s="592" t="s">
        <v>753</v>
      </c>
      <c r="R30" s="592"/>
      <c r="S30" s="592"/>
      <c r="T30" s="592"/>
      <c r="U30" s="592"/>
      <c r="V30" s="12"/>
      <c r="W30" s="12"/>
      <c r="X30" s="12"/>
      <c r="Y30" s="12"/>
      <c r="Z30" s="12"/>
      <c r="AA30" s="12"/>
      <c r="AB30" s="12"/>
      <c r="AC30" s="12"/>
    </row>
    <row r="31" spans="1:29" ht="12.75" customHeight="1">
      <c r="A31" s="12"/>
      <c r="B31" s="12"/>
      <c r="C31" s="12"/>
      <c r="D31" s="12"/>
      <c r="E31" s="12"/>
      <c r="F31" s="12"/>
      <c r="G31" s="12"/>
      <c r="H31" s="592"/>
      <c r="I31" s="592"/>
      <c r="J31" s="592"/>
      <c r="K31" s="592"/>
      <c r="L31" s="592"/>
      <c r="M31" s="592"/>
      <c r="N31" s="592"/>
      <c r="O31" s="592"/>
      <c r="P31" s="592"/>
      <c r="Q31" s="592"/>
      <c r="R31" s="592"/>
      <c r="S31" s="592"/>
      <c r="T31" s="592"/>
      <c r="U31" s="12"/>
      <c r="V31" s="12"/>
      <c r="W31" s="12"/>
      <c r="X31" s="12"/>
      <c r="Y31" s="12"/>
      <c r="Z31" s="12"/>
      <c r="AA31" s="12"/>
      <c r="AB31" s="12"/>
      <c r="AC31" s="12"/>
    </row>
    <row r="32" spans="1:29" ht="12.75" customHeight="1">
      <c r="A32" s="12"/>
      <c r="B32" s="12"/>
      <c r="C32" s="12"/>
      <c r="D32" s="12"/>
      <c r="E32" s="12"/>
      <c r="F32" s="12"/>
      <c r="G32" s="12"/>
      <c r="H32" s="592"/>
      <c r="I32" s="592"/>
      <c r="J32" s="592"/>
      <c r="K32" s="592"/>
      <c r="L32" s="592"/>
      <c r="M32" s="592"/>
      <c r="N32" s="592"/>
      <c r="O32" s="592"/>
      <c r="P32" s="592"/>
      <c r="Q32" s="592"/>
      <c r="R32" s="592"/>
      <c r="S32" s="592"/>
      <c r="T32" s="592"/>
      <c r="U32" s="12"/>
      <c r="V32" s="12"/>
      <c r="W32" s="12"/>
      <c r="X32" s="12"/>
      <c r="Y32" s="12"/>
      <c r="Z32" s="12"/>
      <c r="AA32" s="12"/>
      <c r="AB32" s="12"/>
      <c r="AC32" s="12"/>
    </row>
    <row r="33" spans="1:29" ht="12.75" customHeight="1">
      <c r="A33" s="12"/>
      <c r="B33" s="12"/>
      <c r="C33" s="12"/>
      <c r="D33" s="12"/>
      <c r="E33" s="12"/>
      <c r="F33" s="12"/>
      <c r="G33" s="12"/>
      <c r="H33" s="592"/>
      <c r="I33" s="592"/>
      <c r="J33" s="592"/>
      <c r="K33" s="592"/>
      <c r="L33" s="592"/>
      <c r="M33" s="592"/>
      <c r="N33" s="592"/>
      <c r="O33" s="592"/>
      <c r="P33" s="592"/>
      <c r="Q33" s="592"/>
      <c r="R33" s="592"/>
      <c r="S33" s="592"/>
      <c r="T33" s="592"/>
      <c r="U33" s="12"/>
      <c r="V33" s="12"/>
      <c r="W33" s="12"/>
      <c r="X33" s="12"/>
      <c r="Y33" s="12"/>
      <c r="Z33" s="12"/>
      <c r="AA33" s="12"/>
      <c r="AB33" s="12"/>
      <c r="AC33" s="12"/>
    </row>
    <row r="34" spans="1:29" ht="12.75" customHeight="1">
      <c r="A34" s="12"/>
      <c r="B34" s="12"/>
      <c r="C34" s="12"/>
      <c r="D34" s="12"/>
      <c r="E34" s="12"/>
      <c r="F34" s="12"/>
      <c r="G34" s="12"/>
      <c r="H34" s="592"/>
      <c r="I34" s="592"/>
      <c r="J34" s="592"/>
      <c r="K34" s="592"/>
      <c r="L34" s="592"/>
      <c r="M34" s="592"/>
      <c r="N34" s="592"/>
      <c r="O34" s="592"/>
      <c r="P34" s="592"/>
      <c r="Q34" s="592"/>
      <c r="R34" s="592"/>
      <c r="S34" s="592"/>
      <c r="T34" s="592"/>
      <c r="U34" s="12"/>
      <c r="V34" s="12"/>
      <c r="W34" s="12"/>
      <c r="X34" s="12"/>
      <c r="Y34" s="12"/>
      <c r="Z34" s="12"/>
      <c r="AA34" s="12"/>
      <c r="AB34" s="12"/>
      <c r="AC34" s="12"/>
    </row>
    <row r="35" spans="1:29" ht="12.75" customHeight="1">
      <c r="A35" s="12"/>
      <c r="B35" s="12"/>
      <c r="C35" s="12"/>
      <c r="D35" s="12"/>
      <c r="E35" s="12"/>
      <c r="F35" s="12"/>
      <c r="G35" s="12"/>
      <c r="H35" s="592"/>
      <c r="I35" s="592"/>
      <c r="J35" s="592"/>
      <c r="K35" s="592"/>
      <c r="L35" s="592"/>
      <c r="M35" s="592"/>
      <c r="N35" s="592"/>
      <c r="O35" s="592"/>
      <c r="P35" s="592"/>
      <c r="Q35" s="592"/>
      <c r="R35" s="592"/>
      <c r="S35" s="592"/>
      <c r="T35" s="592"/>
      <c r="U35" s="12"/>
      <c r="V35" s="12"/>
      <c r="W35" s="12"/>
      <c r="X35" s="12"/>
      <c r="Y35" s="12"/>
      <c r="Z35" s="12"/>
      <c r="AA35" s="12"/>
      <c r="AB35" s="12"/>
      <c r="AC35" s="12"/>
    </row>
    <row r="36" spans="1:29" ht="12.75" customHeight="1">
      <c r="A36" s="12"/>
      <c r="B36" s="12"/>
      <c r="C36" s="12"/>
      <c r="D36" s="12"/>
      <c r="E36" s="12"/>
      <c r="F36" s="12"/>
      <c r="G36" s="12"/>
      <c r="H36" s="592"/>
      <c r="I36" s="592"/>
      <c r="J36" s="592"/>
      <c r="K36" s="592"/>
      <c r="L36" s="592"/>
      <c r="M36" s="592"/>
      <c r="N36" s="592"/>
      <c r="O36" s="592"/>
      <c r="P36" s="592"/>
      <c r="Q36" s="592"/>
      <c r="R36" s="592"/>
      <c r="S36" s="592"/>
      <c r="T36" s="592"/>
      <c r="U36" s="12"/>
      <c r="V36" s="12"/>
      <c r="W36" s="12"/>
      <c r="X36" s="12"/>
      <c r="Y36" s="12"/>
      <c r="Z36" s="12"/>
      <c r="AA36" s="12"/>
      <c r="AB36" s="12"/>
      <c r="AC36" s="12"/>
    </row>
    <row r="37" spans="1:29" ht="12.75" customHeight="1">
      <c r="A37" s="12"/>
      <c r="B37" s="12"/>
      <c r="C37" s="12"/>
      <c r="D37" s="12"/>
      <c r="E37" s="12"/>
      <c r="F37" s="12"/>
      <c r="G37" s="12"/>
      <c r="H37" s="592"/>
      <c r="I37" s="592"/>
      <c r="J37" s="592"/>
      <c r="K37" s="592"/>
      <c r="L37" s="592"/>
      <c r="M37" s="592"/>
      <c r="N37" s="592"/>
      <c r="O37" s="592"/>
      <c r="P37" s="592"/>
      <c r="Q37" s="592"/>
      <c r="R37" s="592"/>
      <c r="S37" s="592"/>
      <c r="T37" s="592"/>
      <c r="U37" s="12"/>
      <c r="V37" s="12"/>
      <c r="W37" s="12"/>
      <c r="X37" s="12"/>
      <c r="Y37" s="12"/>
      <c r="Z37" s="12"/>
      <c r="AA37" s="12"/>
      <c r="AB37" s="12"/>
      <c r="AC37" s="12"/>
    </row>
    <row r="38" spans="1:29" ht="12.75" customHeight="1">
      <c r="A38" s="12"/>
      <c r="B38" s="12"/>
      <c r="C38" s="12"/>
      <c r="D38" s="12"/>
      <c r="E38" s="12"/>
      <c r="F38" s="12"/>
      <c r="G38" s="12"/>
      <c r="H38" s="592"/>
      <c r="I38" s="592"/>
      <c r="J38" s="592"/>
      <c r="K38" s="592"/>
      <c r="L38" s="592"/>
      <c r="M38" s="592"/>
      <c r="N38" s="592"/>
      <c r="O38" s="592"/>
      <c r="P38" s="592"/>
      <c r="Q38" s="592"/>
      <c r="R38" s="592"/>
      <c r="S38" s="592"/>
      <c r="T38" s="592"/>
      <c r="U38" s="12"/>
      <c r="V38" s="12"/>
      <c r="W38" s="12"/>
      <c r="X38" s="12"/>
      <c r="Y38" s="12"/>
      <c r="Z38" s="12"/>
      <c r="AA38" s="12"/>
      <c r="AB38" s="12"/>
      <c r="AC38" s="12"/>
    </row>
    <row r="39" spans="1:29" ht="12.75" customHeight="1">
      <c r="A39" s="12"/>
      <c r="B39" s="12"/>
      <c r="C39" s="12"/>
      <c r="D39" s="12"/>
      <c r="E39" s="12"/>
      <c r="F39" s="12"/>
      <c r="G39" s="12"/>
      <c r="H39" s="592"/>
      <c r="I39" s="592"/>
      <c r="J39" s="592"/>
      <c r="K39" s="592"/>
      <c r="L39" s="592"/>
      <c r="M39" s="592"/>
      <c r="N39" s="592"/>
      <c r="O39" s="592"/>
      <c r="P39" s="592"/>
      <c r="Q39" s="592"/>
      <c r="R39" s="592"/>
      <c r="S39" s="592"/>
      <c r="T39" s="592"/>
      <c r="U39" s="12"/>
      <c r="V39" s="12"/>
      <c r="W39" s="12"/>
      <c r="X39" s="12"/>
      <c r="Y39" s="12"/>
      <c r="Z39" s="12"/>
      <c r="AA39" s="12"/>
      <c r="AB39" s="12"/>
      <c r="AC39" s="12"/>
    </row>
    <row r="40" spans="1:29" ht="12.75" customHeight="1">
      <c r="A40" s="12"/>
      <c r="B40" s="12"/>
      <c r="C40" s="12"/>
      <c r="D40" s="12"/>
      <c r="E40" s="12"/>
      <c r="F40" s="12"/>
      <c r="G40" s="12"/>
      <c r="H40" s="592"/>
      <c r="I40" s="592"/>
      <c r="J40" s="592"/>
      <c r="K40" s="592"/>
      <c r="L40" s="592"/>
      <c r="M40" s="592"/>
      <c r="N40" s="592"/>
      <c r="O40" s="592"/>
      <c r="P40" s="592"/>
      <c r="Q40" s="592"/>
      <c r="R40" s="592"/>
      <c r="S40" s="592"/>
      <c r="T40" s="592"/>
      <c r="U40" s="12"/>
      <c r="V40" s="12"/>
      <c r="W40" s="12"/>
      <c r="X40" s="12"/>
      <c r="Y40" s="12"/>
      <c r="Z40" s="12"/>
      <c r="AA40" s="12"/>
      <c r="AB40" s="12"/>
      <c r="AC40" s="12"/>
    </row>
    <row r="41" spans="1:29" ht="12.75" customHeight="1">
      <c r="A41" s="12"/>
      <c r="B41" s="12"/>
      <c r="C41" s="12"/>
      <c r="D41" s="12"/>
      <c r="E41" s="12"/>
      <c r="F41" s="12"/>
      <c r="G41" s="12"/>
      <c r="H41" s="592"/>
      <c r="I41" s="592"/>
      <c r="J41" s="592"/>
      <c r="K41" s="592"/>
      <c r="L41" s="592"/>
      <c r="M41" s="592"/>
      <c r="N41" s="592"/>
      <c r="O41" s="592"/>
      <c r="P41" s="592"/>
      <c r="Q41" s="592"/>
      <c r="R41" s="592"/>
      <c r="S41" s="592"/>
      <c r="T41" s="592"/>
      <c r="U41" s="12"/>
      <c r="V41" s="12"/>
      <c r="W41" s="12"/>
      <c r="X41" s="12"/>
      <c r="Y41" s="12"/>
      <c r="Z41" s="12"/>
      <c r="AA41" s="12"/>
      <c r="AB41" s="12"/>
      <c r="AC41" s="12"/>
    </row>
    <row r="42" spans="1:29" ht="12.75" customHeight="1">
      <c r="A42" s="12"/>
      <c r="B42" s="12"/>
      <c r="C42" s="12"/>
      <c r="D42" s="12"/>
      <c r="E42" s="12"/>
      <c r="F42" s="12"/>
      <c r="G42" s="12"/>
      <c r="H42" s="592"/>
      <c r="I42" s="592"/>
      <c r="J42" s="592"/>
      <c r="K42" s="592"/>
      <c r="L42" s="592"/>
      <c r="M42" s="592"/>
      <c r="N42" s="592"/>
      <c r="O42" s="592"/>
      <c r="P42" s="592"/>
      <c r="Q42" s="592"/>
      <c r="R42" s="592"/>
      <c r="S42" s="592"/>
      <c r="T42" s="592"/>
      <c r="U42" s="12"/>
      <c r="V42" s="12"/>
      <c r="W42" s="12"/>
      <c r="X42" s="12"/>
      <c r="Y42" s="12"/>
      <c r="Z42" s="12"/>
      <c r="AA42" s="12"/>
      <c r="AB42" s="12"/>
      <c r="AC42" s="12"/>
    </row>
    <row r="43" spans="1:29" ht="12.75" customHeight="1">
      <c r="A43" s="12"/>
      <c r="B43" s="12"/>
      <c r="C43" s="12"/>
      <c r="D43" s="12"/>
      <c r="E43" s="12"/>
      <c r="F43" s="12"/>
      <c r="G43" s="12"/>
      <c r="H43" s="592"/>
      <c r="I43" s="592"/>
      <c r="J43" s="592"/>
      <c r="K43" s="592"/>
      <c r="L43" s="592"/>
      <c r="M43" s="592"/>
      <c r="N43" s="592"/>
      <c r="O43" s="592"/>
      <c r="P43" s="592"/>
      <c r="Q43" s="592"/>
      <c r="R43" s="592"/>
      <c r="S43" s="592"/>
      <c r="T43" s="592"/>
      <c r="U43" s="12"/>
      <c r="V43" s="12"/>
      <c r="W43" s="12"/>
      <c r="X43" s="12"/>
      <c r="Y43" s="12"/>
      <c r="Z43" s="12"/>
      <c r="AA43" s="12"/>
      <c r="AB43" s="12"/>
      <c r="AC43" s="12"/>
    </row>
    <row r="44" spans="1:29" ht="12.75" customHeight="1">
      <c r="A44" s="12"/>
      <c r="B44" s="12"/>
      <c r="C44" s="12"/>
      <c r="D44" s="12"/>
      <c r="E44" s="12"/>
      <c r="F44" s="12"/>
      <c r="G44" s="12"/>
      <c r="H44" s="592"/>
      <c r="I44" s="592"/>
      <c r="J44" s="592"/>
      <c r="K44" s="592"/>
      <c r="L44" s="592"/>
      <c r="M44" s="592"/>
      <c r="N44" s="592"/>
      <c r="O44" s="592"/>
      <c r="P44" s="592"/>
      <c r="Q44" s="592"/>
      <c r="R44" s="592"/>
      <c r="S44" s="592"/>
      <c r="T44" s="592"/>
      <c r="U44" s="12"/>
      <c r="V44" s="12"/>
      <c r="W44" s="12"/>
      <c r="X44" s="12"/>
      <c r="Y44" s="12"/>
      <c r="Z44" s="12"/>
      <c r="AA44" s="12"/>
      <c r="AB44" s="12"/>
      <c r="AC44" s="12"/>
    </row>
    <row r="45" spans="1:29" ht="12.75" customHeight="1">
      <c r="A45" s="12"/>
      <c r="B45" s="12"/>
      <c r="C45" s="12"/>
      <c r="D45" s="12"/>
      <c r="E45" s="12"/>
      <c r="F45" s="12"/>
      <c r="G45" s="12"/>
      <c r="H45" s="592"/>
      <c r="I45" s="592"/>
      <c r="J45" s="592"/>
      <c r="K45" s="592"/>
      <c r="L45" s="592"/>
      <c r="M45" s="592"/>
      <c r="N45" s="592"/>
      <c r="O45" s="592"/>
      <c r="P45" s="592"/>
      <c r="Q45" s="592"/>
      <c r="R45" s="592"/>
      <c r="S45" s="592"/>
      <c r="T45" s="592"/>
      <c r="U45" s="12"/>
      <c r="V45" s="12"/>
      <c r="W45" s="12"/>
      <c r="X45" s="12"/>
      <c r="Y45" s="12"/>
      <c r="Z45" s="12"/>
      <c r="AA45" s="12"/>
      <c r="AB45" s="12"/>
      <c r="AC45" s="12"/>
    </row>
    <row r="46" spans="1:29" ht="12.75" customHeight="1">
      <c r="A46" s="12"/>
      <c r="B46" s="12"/>
      <c r="C46" s="12"/>
      <c r="D46" s="12"/>
      <c r="E46" s="12"/>
      <c r="F46" s="12"/>
      <c r="G46" s="12"/>
      <c r="H46" s="592"/>
      <c r="I46" s="592"/>
      <c r="J46" s="592"/>
      <c r="K46" s="592"/>
      <c r="L46" s="592"/>
      <c r="M46" s="592"/>
      <c r="N46" s="592"/>
      <c r="O46" s="592"/>
      <c r="P46" s="592"/>
      <c r="Q46" s="592"/>
      <c r="R46" s="592"/>
      <c r="S46" s="592"/>
      <c r="T46" s="592"/>
      <c r="U46" s="12"/>
      <c r="V46" s="12"/>
      <c r="W46" s="12"/>
      <c r="X46" s="12"/>
      <c r="Y46" s="12"/>
      <c r="Z46" s="12"/>
      <c r="AA46" s="12"/>
      <c r="AB46" s="12"/>
      <c r="AC46" s="12"/>
    </row>
    <row r="47" spans="1:29" ht="12.75" customHeight="1">
      <c r="A47" s="12"/>
      <c r="B47" s="12"/>
      <c r="C47" s="12"/>
      <c r="D47" s="12"/>
      <c r="E47" s="12"/>
      <c r="F47" s="12"/>
      <c r="G47" s="12"/>
      <c r="H47" s="592"/>
      <c r="I47" s="592"/>
      <c r="J47" s="592"/>
      <c r="K47" s="592"/>
      <c r="L47" s="592"/>
      <c r="M47" s="592"/>
      <c r="N47" s="592"/>
      <c r="O47" s="592"/>
      <c r="P47" s="592"/>
      <c r="Q47" s="592"/>
      <c r="R47" s="592"/>
      <c r="S47" s="592"/>
      <c r="T47" s="592"/>
      <c r="U47" s="12"/>
      <c r="V47" s="12"/>
      <c r="W47" s="12"/>
      <c r="X47" s="12"/>
      <c r="Y47" s="12"/>
      <c r="Z47" s="12"/>
      <c r="AA47" s="12"/>
      <c r="AB47" s="12"/>
      <c r="AC47" s="12"/>
    </row>
    <row r="48" spans="1:29" ht="12.75" customHeight="1">
      <c r="A48" s="12"/>
      <c r="B48" s="12"/>
      <c r="C48" s="12"/>
      <c r="D48" s="12"/>
      <c r="E48" s="12"/>
      <c r="F48" s="12"/>
      <c r="G48" s="12"/>
      <c r="H48" s="592"/>
      <c r="I48" s="592"/>
      <c r="J48" s="592"/>
      <c r="K48" s="592"/>
      <c r="L48" s="592"/>
      <c r="M48" s="592"/>
      <c r="N48" s="592"/>
      <c r="O48" s="592"/>
      <c r="P48" s="592"/>
      <c r="Q48" s="592"/>
      <c r="R48" s="592"/>
      <c r="S48" s="592"/>
      <c r="T48" s="592"/>
      <c r="U48" s="12"/>
      <c r="V48" s="12"/>
      <c r="W48" s="12"/>
      <c r="X48" s="12"/>
      <c r="Y48" s="12"/>
      <c r="Z48" s="12"/>
      <c r="AA48" s="12"/>
      <c r="AB48" s="12"/>
      <c r="AC48" s="12"/>
    </row>
    <row r="49" spans="1:29" ht="12.75" customHeight="1">
      <c r="A49" s="12"/>
      <c r="B49" s="12"/>
      <c r="C49" s="12"/>
      <c r="D49" s="12"/>
      <c r="E49" s="12"/>
      <c r="F49" s="12"/>
      <c r="G49" s="12"/>
      <c r="H49" s="592"/>
      <c r="I49" s="592"/>
      <c r="J49" s="592"/>
      <c r="K49" s="592"/>
      <c r="L49" s="592"/>
      <c r="M49" s="592"/>
      <c r="N49" s="592"/>
      <c r="O49" s="592"/>
      <c r="P49" s="592"/>
      <c r="Q49" s="592"/>
      <c r="R49" s="592"/>
      <c r="S49" s="592"/>
      <c r="T49" s="592"/>
      <c r="U49" s="12"/>
      <c r="V49" s="12"/>
      <c r="W49" s="12"/>
      <c r="X49" s="12"/>
      <c r="Y49" s="12"/>
      <c r="Z49" s="12"/>
      <c r="AA49" s="12"/>
      <c r="AB49" s="12"/>
      <c r="AC49" s="12"/>
    </row>
    <row r="50" spans="1:29" ht="12.75" customHeight="1">
      <c r="A50" s="12"/>
      <c r="B50" s="12"/>
      <c r="C50" s="12"/>
      <c r="D50" s="12"/>
      <c r="E50" s="12"/>
      <c r="F50" s="12"/>
      <c r="G50" s="12"/>
      <c r="H50" s="592"/>
      <c r="I50" s="592"/>
      <c r="J50" s="592"/>
      <c r="K50" s="592"/>
      <c r="L50" s="592"/>
      <c r="M50" s="592"/>
      <c r="N50" s="592"/>
      <c r="O50" s="592"/>
      <c r="P50" s="592"/>
      <c r="Q50" s="592"/>
      <c r="R50" s="592"/>
      <c r="S50" s="592"/>
      <c r="T50" s="592"/>
      <c r="U50" s="12"/>
      <c r="V50" s="12"/>
      <c r="W50" s="12"/>
      <c r="X50" s="12"/>
      <c r="Y50" s="12"/>
      <c r="Z50" s="12"/>
      <c r="AA50" s="12"/>
      <c r="AB50" s="12"/>
      <c r="AC50" s="12"/>
    </row>
    <row r="51" spans="1:29" ht="12.75" customHeight="1">
      <c r="A51" s="12"/>
      <c r="B51" s="12"/>
      <c r="C51" s="12"/>
      <c r="D51" s="12"/>
      <c r="E51" s="12"/>
      <c r="F51" s="12"/>
      <c r="G51" s="12"/>
      <c r="H51" s="592"/>
      <c r="I51" s="592"/>
      <c r="J51" s="592"/>
      <c r="K51" s="592"/>
      <c r="L51" s="592"/>
      <c r="M51" s="592"/>
      <c r="N51" s="592"/>
      <c r="O51" s="592"/>
      <c r="P51" s="592"/>
      <c r="Q51" s="592"/>
      <c r="R51" s="592"/>
      <c r="S51" s="592"/>
      <c r="T51" s="592"/>
      <c r="U51" s="12"/>
      <c r="V51" s="12"/>
      <c r="W51" s="12"/>
      <c r="X51" s="12"/>
      <c r="Y51" s="12"/>
      <c r="Z51" s="12"/>
      <c r="AA51" s="12"/>
      <c r="AB51" s="12"/>
      <c r="AC51" s="12"/>
    </row>
    <row r="52" spans="1:29" ht="12.75" customHeight="1">
      <c r="A52" s="12"/>
      <c r="B52" s="12"/>
      <c r="C52" s="12"/>
      <c r="D52" s="12"/>
      <c r="E52" s="12"/>
      <c r="F52" s="12"/>
      <c r="G52" s="12"/>
      <c r="H52" s="592"/>
      <c r="I52" s="592"/>
      <c r="J52" s="592"/>
      <c r="K52" s="592"/>
      <c r="L52" s="592"/>
      <c r="M52" s="592"/>
      <c r="N52" s="592"/>
      <c r="O52" s="592"/>
      <c r="P52" s="592"/>
      <c r="Q52" s="592"/>
      <c r="R52" s="592"/>
      <c r="S52" s="592"/>
      <c r="T52" s="592"/>
      <c r="U52" s="12"/>
      <c r="V52" s="12"/>
      <c r="W52" s="12"/>
      <c r="X52" s="12"/>
      <c r="Y52" s="12"/>
      <c r="Z52" s="12"/>
      <c r="AA52" s="12"/>
      <c r="AB52" s="12"/>
      <c r="AC52" s="12"/>
    </row>
    <row r="53" spans="1:29" ht="12.75" customHeight="1">
      <c r="A53" s="12"/>
      <c r="B53" s="12"/>
      <c r="C53" s="12"/>
      <c r="D53" s="12"/>
      <c r="E53" s="12"/>
      <c r="F53" s="12"/>
      <c r="G53" s="12"/>
      <c r="H53" s="592"/>
      <c r="I53" s="592"/>
      <c r="J53" s="592"/>
      <c r="K53" s="592"/>
      <c r="L53" s="592"/>
      <c r="M53" s="592"/>
      <c r="N53" s="592"/>
      <c r="O53" s="592"/>
      <c r="P53" s="592"/>
      <c r="Q53" s="592"/>
      <c r="R53" s="592"/>
      <c r="S53" s="592"/>
      <c r="T53" s="592"/>
      <c r="U53" s="12"/>
      <c r="V53" s="12"/>
      <c r="W53" s="12"/>
      <c r="X53" s="12"/>
      <c r="Y53" s="12"/>
      <c r="Z53" s="12"/>
      <c r="AA53" s="12"/>
      <c r="AB53" s="12"/>
      <c r="AC53" s="12"/>
    </row>
    <row r="54" spans="1:29" ht="12.75" customHeight="1">
      <c r="A54" s="12"/>
      <c r="B54" s="12"/>
      <c r="C54" s="12"/>
      <c r="D54" s="12"/>
      <c r="E54" s="12"/>
      <c r="F54" s="12"/>
      <c r="G54" s="12"/>
      <c r="H54" s="592"/>
      <c r="I54" s="592"/>
      <c r="J54" s="592"/>
      <c r="K54" s="592"/>
      <c r="L54" s="592"/>
      <c r="M54" s="592"/>
      <c r="N54" s="592"/>
      <c r="O54" s="592"/>
      <c r="P54" s="592"/>
      <c r="Q54" s="592"/>
      <c r="R54" s="592"/>
      <c r="S54" s="592"/>
      <c r="T54" s="592"/>
      <c r="U54" s="12"/>
      <c r="V54" s="12"/>
      <c r="W54" s="12"/>
      <c r="X54" s="12"/>
      <c r="Y54" s="12"/>
      <c r="Z54" s="12"/>
      <c r="AA54" s="12"/>
      <c r="AB54" s="12"/>
      <c r="AC54" s="12"/>
    </row>
    <row r="55" spans="1:29" ht="12.75" customHeight="1">
      <c r="A55" s="12"/>
      <c r="B55" s="12"/>
      <c r="C55" s="12"/>
      <c r="D55" s="12"/>
      <c r="E55" s="12"/>
      <c r="F55" s="12"/>
      <c r="G55" s="12"/>
      <c r="H55" s="592"/>
      <c r="I55" s="592"/>
      <c r="J55" s="592"/>
      <c r="K55" s="592"/>
      <c r="L55" s="592"/>
      <c r="M55" s="592"/>
      <c r="N55" s="592"/>
      <c r="O55" s="592"/>
      <c r="P55" s="592"/>
      <c r="Q55" s="592"/>
      <c r="R55" s="592"/>
      <c r="S55" s="592"/>
      <c r="T55" s="592"/>
      <c r="U55" s="12"/>
      <c r="V55" s="12"/>
      <c r="W55" s="12"/>
      <c r="X55" s="12"/>
      <c r="Y55" s="12"/>
      <c r="Z55" s="12"/>
      <c r="AA55" s="12"/>
      <c r="AB55" s="12"/>
      <c r="AC55" s="12"/>
    </row>
    <row r="56" spans="1:29" ht="12.75" customHeight="1">
      <c r="A56" s="12"/>
      <c r="B56" s="12"/>
      <c r="C56" s="12"/>
      <c r="D56" s="12"/>
      <c r="E56" s="12"/>
      <c r="F56" s="12"/>
      <c r="G56" s="12"/>
      <c r="H56" s="592"/>
      <c r="I56" s="592"/>
      <c r="J56" s="592"/>
      <c r="K56" s="592"/>
      <c r="L56" s="592"/>
      <c r="M56" s="592"/>
      <c r="N56" s="592"/>
      <c r="O56" s="592"/>
      <c r="P56" s="592"/>
      <c r="Q56" s="592"/>
      <c r="R56" s="592"/>
      <c r="S56" s="592"/>
      <c r="T56" s="592"/>
      <c r="U56" s="12"/>
      <c r="V56" s="12"/>
      <c r="W56" s="12"/>
      <c r="X56" s="12"/>
      <c r="Y56" s="12"/>
      <c r="Z56" s="12"/>
      <c r="AA56" s="12"/>
      <c r="AB56" s="12"/>
      <c r="AC56" s="12"/>
    </row>
    <row r="57" spans="1:29" ht="12.75" customHeight="1">
      <c r="A57" s="12"/>
      <c r="B57" s="12"/>
      <c r="C57" s="12"/>
      <c r="D57" s="12"/>
      <c r="E57" s="12"/>
      <c r="F57" s="12"/>
      <c r="G57" s="12"/>
      <c r="H57" s="592"/>
      <c r="I57" s="592"/>
      <c r="J57" s="592"/>
      <c r="K57" s="592"/>
      <c r="L57" s="592"/>
      <c r="M57" s="592"/>
      <c r="N57" s="592"/>
      <c r="O57" s="592"/>
      <c r="P57" s="592"/>
      <c r="Q57" s="592"/>
      <c r="R57" s="592"/>
      <c r="S57" s="592"/>
      <c r="T57" s="592"/>
      <c r="U57" s="12"/>
      <c r="V57" s="12"/>
      <c r="W57" s="12"/>
      <c r="X57" s="12"/>
      <c r="Y57" s="12"/>
      <c r="Z57" s="12"/>
      <c r="AA57" s="12"/>
      <c r="AB57" s="12"/>
      <c r="AC57" s="12"/>
    </row>
    <row r="58" spans="1:29" ht="12.75" customHeight="1">
      <c r="A58" s="12"/>
      <c r="B58" s="12"/>
      <c r="C58" s="12"/>
      <c r="D58" s="12"/>
      <c r="E58" s="12"/>
      <c r="F58" s="12"/>
      <c r="G58" s="12"/>
      <c r="H58" s="592"/>
      <c r="I58" s="592"/>
      <c r="J58" s="592"/>
      <c r="K58" s="592"/>
      <c r="L58" s="592"/>
      <c r="M58" s="592"/>
      <c r="N58" s="592"/>
      <c r="O58" s="592"/>
      <c r="P58" s="592"/>
      <c r="Q58" s="592"/>
      <c r="R58" s="592"/>
      <c r="S58" s="592"/>
      <c r="T58" s="592"/>
      <c r="U58" s="12"/>
      <c r="V58" s="12"/>
      <c r="W58" s="12"/>
      <c r="X58" s="12"/>
      <c r="Y58" s="12"/>
      <c r="Z58" s="12"/>
      <c r="AA58" s="12"/>
      <c r="AB58" s="12"/>
      <c r="AC58" s="12"/>
    </row>
    <row r="59" spans="1:29" ht="12.75" customHeight="1">
      <c r="A59" s="12"/>
      <c r="B59" s="12"/>
      <c r="C59" s="12"/>
      <c r="D59" s="12"/>
      <c r="E59" s="12"/>
      <c r="F59" s="12"/>
      <c r="G59" s="12"/>
      <c r="H59" s="592"/>
      <c r="I59" s="592"/>
      <c r="J59" s="592"/>
      <c r="K59" s="592"/>
      <c r="L59" s="592"/>
      <c r="M59" s="592"/>
      <c r="N59" s="592"/>
      <c r="O59" s="592"/>
      <c r="P59" s="592"/>
      <c r="Q59" s="592"/>
      <c r="R59" s="592"/>
      <c r="S59" s="592"/>
      <c r="T59" s="592"/>
      <c r="U59" s="12"/>
      <c r="V59" s="12"/>
      <c r="W59" s="12"/>
      <c r="X59" s="12"/>
      <c r="Y59" s="12"/>
      <c r="Z59" s="12"/>
      <c r="AA59" s="12"/>
      <c r="AB59" s="12"/>
      <c r="AC59" s="12"/>
    </row>
    <row r="60" spans="1:29" ht="12.75" customHeight="1">
      <c r="A60" s="12"/>
      <c r="B60" s="12"/>
      <c r="C60" s="12"/>
      <c r="D60" s="12"/>
      <c r="E60" s="12"/>
      <c r="F60" s="12"/>
      <c r="G60" s="12"/>
      <c r="H60" s="592"/>
      <c r="I60" s="592"/>
      <c r="J60" s="592"/>
      <c r="K60" s="592"/>
      <c r="L60" s="592"/>
      <c r="M60" s="592"/>
      <c r="N60" s="592"/>
      <c r="O60" s="592"/>
      <c r="P60" s="592"/>
      <c r="Q60" s="592"/>
      <c r="R60" s="592"/>
      <c r="S60" s="592"/>
      <c r="T60" s="592"/>
      <c r="U60" s="12"/>
      <c r="V60" s="12"/>
      <c r="W60" s="12"/>
      <c r="X60" s="12"/>
      <c r="Y60" s="12"/>
      <c r="Z60" s="12"/>
      <c r="AA60" s="12"/>
      <c r="AB60" s="12"/>
      <c r="AC60" s="12"/>
    </row>
    <row r="61" spans="1:29" ht="12.75" customHeight="1">
      <c r="A61" s="12"/>
      <c r="B61" s="12"/>
      <c r="C61" s="12"/>
      <c r="D61" s="12"/>
      <c r="E61" s="12"/>
      <c r="F61" s="12"/>
      <c r="G61" s="12"/>
      <c r="H61" s="592"/>
      <c r="I61" s="592"/>
      <c r="J61" s="592"/>
      <c r="K61" s="592"/>
      <c r="L61" s="592"/>
      <c r="M61" s="592"/>
      <c r="N61" s="592"/>
      <c r="O61" s="592"/>
      <c r="P61" s="592"/>
      <c r="Q61" s="592"/>
      <c r="R61" s="592"/>
      <c r="S61" s="592"/>
      <c r="T61" s="592"/>
      <c r="U61" s="12"/>
      <c r="V61" s="12"/>
      <c r="W61" s="12"/>
      <c r="X61" s="12"/>
      <c r="Y61" s="12"/>
      <c r="Z61" s="12"/>
      <c r="AA61" s="12"/>
      <c r="AB61" s="12"/>
      <c r="AC61" s="12"/>
    </row>
    <row r="62" spans="1:29" ht="12.75" customHeight="1">
      <c r="A62" s="12"/>
      <c r="B62" s="12"/>
      <c r="C62" s="12"/>
      <c r="D62" s="12"/>
      <c r="E62" s="12"/>
      <c r="F62" s="12"/>
      <c r="G62" s="12"/>
      <c r="H62" s="592"/>
      <c r="I62" s="592"/>
      <c r="J62" s="592"/>
      <c r="K62" s="592"/>
      <c r="L62" s="592"/>
      <c r="M62" s="592"/>
      <c r="N62" s="592"/>
      <c r="O62" s="592"/>
      <c r="P62" s="592"/>
      <c r="Q62" s="592"/>
      <c r="R62" s="592"/>
      <c r="S62" s="592"/>
      <c r="T62" s="592"/>
      <c r="U62" s="12"/>
      <c r="V62" s="12"/>
      <c r="W62" s="12"/>
      <c r="X62" s="12"/>
      <c r="Y62" s="12"/>
      <c r="Z62" s="12"/>
      <c r="AA62" s="12"/>
      <c r="AB62" s="12"/>
      <c r="AC62" s="12"/>
    </row>
    <row r="63" spans="1:29" ht="12.75" customHeight="1">
      <c r="A63" s="12"/>
      <c r="B63" s="12"/>
      <c r="C63" s="12"/>
      <c r="D63" s="12"/>
      <c r="E63" s="12"/>
      <c r="F63" s="12"/>
      <c r="G63" s="12"/>
      <c r="H63" s="592"/>
      <c r="I63" s="592"/>
      <c r="J63" s="592"/>
      <c r="K63" s="592"/>
      <c r="L63" s="592"/>
      <c r="M63" s="592"/>
      <c r="N63" s="592"/>
      <c r="O63" s="592"/>
      <c r="P63" s="592"/>
      <c r="Q63" s="592"/>
      <c r="R63" s="592"/>
      <c r="S63" s="592"/>
      <c r="T63" s="592"/>
      <c r="U63" s="12"/>
      <c r="V63" s="12"/>
      <c r="W63" s="12"/>
      <c r="X63" s="12"/>
      <c r="Y63" s="12"/>
      <c r="Z63" s="12"/>
      <c r="AA63" s="12"/>
      <c r="AB63" s="12"/>
      <c r="AC63" s="12"/>
    </row>
    <row r="64" spans="1:29" ht="12.75" customHeight="1">
      <c r="A64" s="12"/>
      <c r="B64" s="12"/>
      <c r="C64" s="12"/>
      <c r="D64" s="12"/>
      <c r="E64" s="12"/>
      <c r="F64" s="12"/>
      <c r="G64" s="12"/>
      <c r="H64" s="592"/>
      <c r="I64" s="592"/>
      <c r="J64" s="592"/>
      <c r="K64" s="592"/>
      <c r="L64" s="592"/>
      <c r="M64" s="592"/>
      <c r="N64" s="592"/>
      <c r="O64" s="592"/>
      <c r="P64" s="592"/>
      <c r="Q64" s="592"/>
      <c r="R64" s="592"/>
      <c r="S64" s="592"/>
      <c r="T64" s="592"/>
      <c r="U64" s="12"/>
      <c r="V64" s="12"/>
      <c r="W64" s="12"/>
      <c r="X64" s="12"/>
      <c r="Y64" s="12"/>
      <c r="Z64" s="12"/>
      <c r="AA64" s="12"/>
      <c r="AB64" s="12"/>
      <c r="AC64" s="12"/>
    </row>
    <row r="65" spans="1:29" ht="12.75" customHeight="1">
      <c r="A65" s="12"/>
      <c r="B65" s="12"/>
      <c r="C65" s="12"/>
      <c r="D65" s="12"/>
      <c r="E65" s="12"/>
      <c r="F65" s="12"/>
      <c r="G65" s="12"/>
      <c r="H65" s="592"/>
      <c r="I65" s="592"/>
      <c r="J65" s="592"/>
      <c r="K65" s="592"/>
      <c r="L65" s="592"/>
      <c r="M65" s="592"/>
      <c r="N65" s="592"/>
      <c r="O65" s="592"/>
      <c r="P65" s="592"/>
      <c r="Q65" s="592"/>
      <c r="R65" s="592"/>
      <c r="S65" s="592"/>
      <c r="T65" s="592"/>
      <c r="U65" s="12"/>
      <c r="V65" s="12"/>
      <c r="W65" s="12"/>
      <c r="X65" s="12"/>
      <c r="Y65" s="12"/>
      <c r="Z65" s="12"/>
      <c r="AA65" s="12"/>
      <c r="AB65" s="12"/>
      <c r="AC65" s="12"/>
    </row>
    <row r="66" spans="1:29" ht="12.75" customHeight="1">
      <c r="A66" s="12"/>
      <c r="B66" s="12"/>
      <c r="C66" s="12"/>
      <c r="D66" s="12"/>
      <c r="E66" s="12"/>
      <c r="F66" s="12"/>
      <c r="G66" s="12"/>
      <c r="H66" s="592"/>
      <c r="I66" s="592"/>
      <c r="J66" s="592"/>
      <c r="K66" s="592"/>
      <c r="L66" s="592"/>
      <c r="M66" s="592"/>
      <c r="N66" s="592"/>
      <c r="O66" s="592"/>
      <c r="P66" s="592"/>
      <c r="Q66" s="592"/>
      <c r="R66" s="592"/>
      <c r="S66" s="592"/>
      <c r="T66" s="592"/>
      <c r="U66" s="12"/>
      <c r="V66" s="12"/>
      <c r="W66" s="12"/>
      <c r="X66" s="12"/>
      <c r="Y66" s="12"/>
      <c r="Z66" s="12"/>
      <c r="AA66" s="12"/>
      <c r="AB66" s="12"/>
      <c r="AC66" s="12"/>
    </row>
    <row r="67" spans="1:29" ht="12.75" customHeight="1">
      <c r="A67" s="12"/>
      <c r="B67" s="12"/>
      <c r="C67" s="12"/>
      <c r="D67" s="12"/>
      <c r="E67" s="12"/>
      <c r="F67" s="12"/>
      <c r="G67" s="12"/>
      <c r="H67" s="592"/>
      <c r="I67" s="592"/>
      <c r="J67" s="592"/>
      <c r="K67" s="592"/>
      <c r="L67" s="592"/>
      <c r="M67" s="592"/>
      <c r="N67" s="592"/>
      <c r="O67" s="592"/>
      <c r="P67" s="592"/>
      <c r="Q67" s="592"/>
      <c r="R67" s="592"/>
      <c r="S67" s="592"/>
      <c r="T67" s="592"/>
      <c r="U67" s="12"/>
      <c r="V67" s="12"/>
      <c r="W67" s="12"/>
      <c r="X67" s="12"/>
      <c r="Y67" s="12"/>
      <c r="Z67" s="12"/>
      <c r="AA67" s="12"/>
      <c r="AB67" s="12"/>
      <c r="AC67" s="12"/>
    </row>
    <row r="68" spans="1:29" ht="12.75" customHeight="1">
      <c r="A68" s="12"/>
      <c r="B68" s="12"/>
      <c r="C68" s="12"/>
      <c r="D68" s="12"/>
      <c r="E68" s="12"/>
      <c r="F68" s="12"/>
      <c r="G68" s="12"/>
      <c r="H68" s="592"/>
      <c r="I68" s="592"/>
      <c r="J68" s="592"/>
      <c r="K68" s="592"/>
      <c r="L68" s="592"/>
      <c r="M68" s="592"/>
      <c r="N68" s="592"/>
      <c r="O68" s="592"/>
      <c r="P68" s="592"/>
      <c r="Q68" s="592"/>
      <c r="R68" s="592"/>
      <c r="S68" s="592"/>
      <c r="T68" s="592"/>
      <c r="U68" s="12"/>
      <c r="V68" s="12"/>
      <c r="W68" s="12"/>
      <c r="X68" s="12"/>
      <c r="Y68" s="12"/>
      <c r="Z68" s="12"/>
      <c r="AA68" s="12"/>
      <c r="AB68" s="12"/>
      <c r="AC68" s="12"/>
    </row>
    <row r="69" spans="1:29" ht="12.75" customHeight="1">
      <c r="A69" s="12"/>
      <c r="B69" s="12"/>
      <c r="C69" s="12"/>
      <c r="D69" s="12"/>
      <c r="E69" s="12"/>
      <c r="F69" s="12"/>
      <c r="G69" s="12"/>
      <c r="H69" s="592"/>
      <c r="I69" s="592"/>
      <c r="J69" s="592"/>
      <c r="K69" s="592"/>
      <c r="L69" s="592"/>
      <c r="M69" s="592"/>
      <c r="N69" s="592"/>
      <c r="O69" s="592"/>
      <c r="P69" s="592"/>
      <c r="Q69" s="592"/>
      <c r="R69" s="592"/>
      <c r="S69" s="592"/>
      <c r="T69" s="592"/>
      <c r="U69" s="12"/>
      <c r="V69" s="12"/>
      <c r="W69" s="12"/>
      <c r="X69" s="12"/>
      <c r="Y69" s="12"/>
      <c r="Z69" s="12"/>
      <c r="AA69" s="12"/>
      <c r="AB69" s="12"/>
      <c r="AC69" s="12"/>
    </row>
    <row r="70" spans="1:29" ht="12.75" customHeight="1">
      <c r="A70" s="12"/>
      <c r="B70" s="12"/>
      <c r="C70" s="12"/>
      <c r="D70" s="12"/>
      <c r="E70" s="12"/>
      <c r="F70" s="12"/>
      <c r="G70" s="12"/>
      <c r="H70" s="592"/>
      <c r="I70" s="592"/>
      <c r="J70" s="592"/>
      <c r="K70" s="592"/>
      <c r="L70" s="592"/>
      <c r="M70" s="592"/>
      <c r="N70" s="592"/>
      <c r="O70" s="592"/>
      <c r="P70" s="592"/>
      <c r="Q70" s="592"/>
      <c r="R70" s="592"/>
      <c r="S70" s="592"/>
      <c r="T70" s="592"/>
      <c r="U70" s="12"/>
      <c r="V70" s="12"/>
      <c r="W70" s="12"/>
      <c r="X70" s="12"/>
      <c r="Y70" s="12"/>
      <c r="Z70" s="12"/>
      <c r="AA70" s="12"/>
      <c r="AB70" s="12"/>
      <c r="AC70" s="12"/>
    </row>
    <row r="71" spans="1:29" ht="12.75" customHeight="1">
      <c r="A71" s="12"/>
      <c r="B71" s="12"/>
      <c r="C71" s="12"/>
      <c r="D71" s="12"/>
      <c r="E71" s="12"/>
      <c r="F71" s="12"/>
      <c r="G71" s="12"/>
      <c r="H71" s="592"/>
      <c r="I71" s="592"/>
      <c r="J71" s="592"/>
      <c r="K71" s="592"/>
      <c r="L71" s="592"/>
      <c r="M71" s="592"/>
      <c r="N71" s="592"/>
      <c r="O71" s="592"/>
      <c r="P71" s="592"/>
      <c r="Q71" s="592"/>
      <c r="R71" s="592"/>
      <c r="S71" s="592"/>
      <c r="T71" s="592"/>
      <c r="U71" s="12"/>
      <c r="V71" s="12"/>
      <c r="W71" s="12"/>
      <c r="X71" s="12"/>
      <c r="Y71" s="12"/>
      <c r="Z71" s="12"/>
      <c r="AA71" s="12"/>
      <c r="AB71" s="12"/>
      <c r="AC71" s="12"/>
    </row>
    <row r="72" spans="1:29" ht="12.75" customHeight="1">
      <c r="A72" s="12"/>
      <c r="B72" s="12"/>
      <c r="C72" s="12"/>
      <c r="D72" s="12"/>
      <c r="E72" s="12"/>
      <c r="F72" s="12"/>
      <c r="G72" s="12"/>
      <c r="H72" s="592"/>
      <c r="I72" s="592"/>
      <c r="J72" s="592"/>
      <c r="K72" s="592"/>
      <c r="L72" s="592"/>
      <c r="M72" s="592"/>
      <c r="N72" s="592"/>
      <c r="O72" s="592"/>
      <c r="P72" s="592"/>
      <c r="Q72" s="592"/>
      <c r="R72" s="592"/>
      <c r="S72" s="592"/>
      <c r="T72" s="592"/>
      <c r="U72" s="12"/>
      <c r="V72" s="12"/>
      <c r="W72" s="12"/>
      <c r="X72" s="12"/>
      <c r="Y72" s="12"/>
      <c r="Z72" s="12"/>
      <c r="AA72" s="12"/>
      <c r="AB72" s="12"/>
      <c r="AC72" s="12"/>
    </row>
    <row r="73" spans="1:29" ht="12.75" customHeight="1">
      <c r="A73" s="12"/>
      <c r="B73" s="12"/>
      <c r="C73" s="12"/>
      <c r="D73" s="12"/>
      <c r="E73" s="12"/>
      <c r="F73" s="12"/>
      <c r="G73" s="12"/>
      <c r="H73" s="592"/>
      <c r="I73" s="592"/>
      <c r="J73" s="592"/>
      <c r="K73" s="592"/>
      <c r="L73" s="592"/>
      <c r="M73" s="592"/>
      <c r="N73" s="592"/>
      <c r="O73" s="592"/>
      <c r="P73" s="592"/>
      <c r="Q73" s="592"/>
      <c r="R73" s="592"/>
      <c r="S73" s="592"/>
      <c r="T73" s="592"/>
      <c r="U73" s="12"/>
      <c r="V73" s="12"/>
      <c r="W73" s="12"/>
      <c r="X73" s="12"/>
      <c r="Y73" s="12"/>
      <c r="Z73" s="12"/>
      <c r="AA73" s="12"/>
      <c r="AB73" s="12"/>
      <c r="AC73" s="12"/>
    </row>
    <row r="74" spans="1:29" ht="12.75" customHeight="1">
      <c r="A74" s="12"/>
      <c r="B74" s="12"/>
      <c r="C74" s="12"/>
      <c r="D74" s="12"/>
      <c r="E74" s="12"/>
      <c r="F74" s="12"/>
      <c r="G74" s="12"/>
      <c r="H74" s="592"/>
      <c r="I74" s="592"/>
      <c r="J74" s="592"/>
      <c r="K74" s="592"/>
      <c r="L74" s="592"/>
      <c r="M74" s="592"/>
      <c r="N74" s="592"/>
      <c r="O74" s="592"/>
      <c r="P74" s="592"/>
      <c r="Q74" s="592"/>
      <c r="R74" s="592"/>
      <c r="S74" s="592"/>
      <c r="T74" s="592"/>
      <c r="U74" s="12"/>
      <c r="V74" s="12"/>
      <c r="W74" s="12"/>
      <c r="X74" s="12"/>
      <c r="Y74" s="12"/>
      <c r="Z74" s="12"/>
      <c r="AA74" s="12"/>
      <c r="AB74" s="12"/>
      <c r="AC74" s="12"/>
    </row>
    <row r="75" spans="1:29" ht="12.75" customHeight="1">
      <c r="A75" s="12"/>
      <c r="B75" s="12"/>
      <c r="C75" s="12"/>
      <c r="D75" s="12"/>
      <c r="E75" s="12"/>
      <c r="F75" s="12"/>
      <c r="G75" s="12"/>
      <c r="H75" s="592"/>
      <c r="I75" s="592"/>
      <c r="J75" s="592"/>
      <c r="K75" s="592"/>
      <c r="L75" s="592"/>
      <c r="M75" s="592"/>
      <c r="N75" s="592"/>
      <c r="O75" s="592"/>
      <c r="P75" s="592"/>
      <c r="Q75" s="592"/>
      <c r="R75" s="592"/>
      <c r="S75" s="592"/>
      <c r="T75" s="592"/>
      <c r="U75" s="12"/>
      <c r="V75" s="12"/>
      <c r="W75" s="12"/>
      <c r="X75" s="12"/>
      <c r="Y75" s="12"/>
      <c r="Z75" s="12"/>
      <c r="AA75" s="12"/>
      <c r="AB75" s="12"/>
      <c r="AC75" s="12"/>
    </row>
    <row r="76" spans="1:29" ht="12.75" customHeight="1">
      <c r="A76" s="12"/>
      <c r="B76" s="12"/>
      <c r="C76" s="12"/>
      <c r="D76" s="12"/>
      <c r="E76" s="12"/>
      <c r="F76" s="12"/>
      <c r="G76" s="12"/>
      <c r="H76" s="592"/>
      <c r="I76" s="592"/>
      <c r="J76" s="592"/>
      <c r="K76" s="592"/>
      <c r="L76" s="592"/>
      <c r="M76" s="592"/>
      <c r="N76" s="592"/>
      <c r="O76" s="592"/>
      <c r="P76" s="592"/>
      <c r="Q76" s="592"/>
      <c r="R76" s="592"/>
      <c r="S76" s="592"/>
      <c r="T76" s="592"/>
      <c r="U76" s="12"/>
      <c r="V76" s="12"/>
      <c r="W76" s="12"/>
      <c r="X76" s="12"/>
      <c r="Y76" s="12"/>
      <c r="Z76" s="12"/>
      <c r="AA76" s="12"/>
      <c r="AB76" s="12"/>
      <c r="AC76" s="12"/>
    </row>
    <row r="77" spans="1:29" ht="12.75" customHeight="1">
      <c r="A77" s="12"/>
      <c r="B77" s="12"/>
      <c r="C77" s="12"/>
      <c r="D77" s="12"/>
      <c r="E77" s="12"/>
      <c r="F77" s="12"/>
      <c r="G77" s="12"/>
      <c r="H77" s="592"/>
      <c r="I77" s="592"/>
      <c r="J77" s="592"/>
      <c r="K77" s="592"/>
      <c r="L77" s="592"/>
      <c r="M77" s="592"/>
      <c r="N77" s="592"/>
      <c r="O77" s="592"/>
      <c r="P77" s="592"/>
      <c r="Q77" s="592"/>
      <c r="R77" s="592"/>
      <c r="S77" s="592"/>
      <c r="T77" s="592"/>
      <c r="U77" s="12"/>
      <c r="V77" s="12"/>
      <c r="W77" s="12"/>
      <c r="X77" s="12"/>
      <c r="Y77" s="12"/>
      <c r="Z77" s="12"/>
      <c r="AA77" s="12"/>
      <c r="AB77" s="12"/>
      <c r="AC77" s="12"/>
    </row>
    <row r="78" spans="1:29" ht="12.75" customHeight="1">
      <c r="A78" s="12"/>
      <c r="B78" s="12"/>
      <c r="C78" s="12"/>
      <c r="D78" s="12"/>
      <c r="E78" s="12"/>
      <c r="F78" s="12"/>
      <c r="G78" s="12"/>
      <c r="H78" s="592"/>
      <c r="I78" s="592"/>
      <c r="J78" s="592"/>
      <c r="K78" s="592"/>
      <c r="L78" s="592"/>
      <c r="M78" s="592"/>
      <c r="N78" s="592"/>
      <c r="O78" s="592"/>
      <c r="P78" s="592"/>
      <c r="Q78" s="592"/>
      <c r="R78" s="592"/>
      <c r="S78" s="592"/>
      <c r="T78" s="592"/>
      <c r="U78" s="12"/>
      <c r="V78" s="12"/>
      <c r="W78" s="12"/>
      <c r="X78" s="12"/>
      <c r="Y78" s="12"/>
      <c r="Z78" s="12"/>
      <c r="AA78" s="12"/>
      <c r="AB78" s="12"/>
      <c r="AC78" s="12"/>
    </row>
    <row r="79" spans="1:29" ht="12.75" customHeight="1">
      <c r="A79" s="12"/>
      <c r="B79" s="12"/>
      <c r="C79" s="12"/>
      <c r="D79" s="12"/>
      <c r="E79" s="12"/>
      <c r="F79" s="12"/>
      <c r="G79" s="12"/>
      <c r="H79" s="592"/>
      <c r="I79" s="592"/>
      <c r="J79" s="592"/>
      <c r="K79" s="592"/>
      <c r="L79" s="592"/>
      <c r="M79" s="592"/>
      <c r="N79" s="592"/>
      <c r="O79" s="592"/>
      <c r="P79" s="592"/>
      <c r="Q79" s="592"/>
      <c r="R79" s="592"/>
      <c r="S79" s="592"/>
      <c r="T79" s="592"/>
      <c r="U79" s="12"/>
      <c r="V79" s="12"/>
      <c r="W79" s="12"/>
      <c r="X79" s="12"/>
      <c r="Y79" s="12"/>
      <c r="Z79" s="12"/>
      <c r="AA79" s="12"/>
      <c r="AB79" s="12"/>
      <c r="AC79" s="12"/>
    </row>
    <row r="80" spans="1:29" ht="12.75" customHeight="1">
      <c r="A80" s="12"/>
      <c r="B80" s="12"/>
      <c r="C80" s="12"/>
      <c r="D80" s="12"/>
      <c r="E80" s="12"/>
      <c r="F80" s="12"/>
      <c r="G80" s="12"/>
      <c r="H80" s="592"/>
      <c r="I80" s="592"/>
      <c r="J80" s="592"/>
      <c r="K80" s="592"/>
      <c r="L80" s="592"/>
      <c r="M80" s="592"/>
      <c r="N80" s="592"/>
      <c r="O80" s="592"/>
      <c r="P80" s="592"/>
      <c r="Q80" s="592"/>
      <c r="R80" s="592"/>
      <c r="S80" s="592"/>
      <c r="T80" s="592"/>
      <c r="U80" s="12"/>
      <c r="V80" s="12"/>
      <c r="W80" s="12"/>
      <c r="X80" s="12"/>
      <c r="Y80" s="12"/>
      <c r="Z80" s="12"/>
      <c r="AA80" s="12"/>
      <c r="AB80" s="12"/>
      <c r="AC80" s="12"/>
    </row>
    <row r="81" spans="1:29" ht="12.75" customHeight="1">
      <c r="A81" s="12"/>
      <c r="B81" s="12"/>
      <c r="C81" s="12"/>
      <c r="D81" s="12"/>
      <c r="E81" s="12"/>
      <c r="F81" s="12"/>
      <c r="G81" s="12"/>
      <c r="H81" s="592"/>
      <c r="I81" s="592"/>
      <c r="J81" s="592"/>
      <c r="K81" s="592"/>
      <c r="L81" s="592"/>
      <c r="M81" s="592"/>
      <c r="N81" s="592"/>
      <c r="O81" s="592"/>
      <c r="P81" s="592"/>
      <c r="Q81" s="592"/>
      <c r="R81" s="592"/>
      <c r="S81" s="592"/>
      <c r="T81" s="592"/>
      <c r="U81" s="12"/>
      <c r="V81" s="12"/>
      <c r="W81" s="12"/>
      <c r="X81" s="12"/>
      <c r="Y81" s="12"/>
      <c r="Z81" s="12"/>
      <c r="AA81" s="12"/>
      <c r="AB81" s="12"/>
      <c r="AC81" s="12"/>
    </row>
    <row r="82" spans="1:29" ht="12.75" customHeight="1">
      <c r="A82" s="12"/>
      <c r="B82" s="12"/>
      <c r="C82" s="12"/>
      <c r="D82" s="12"/>
      <c r="E82" s="12"/>
      <c r="F82" s="12"/>
      <c r="G82" s="12"/>
      <c r="H82" s="592"/>
      <c r="I82" s="592"/>
      <c r="J82" s="592"/>
      <c r="K82" s="592"/>
      <c r="L82" s="592"/>
      <c r="M82" s="592"/>
      <c r="N82" s="592"/>
      <c r="O82" s="592"/>
      <c r="P82" s="592"/>
      <c r="Q82" s="592"/>
      <c r="R82" s="592"/>
      <c r="S82" s="592"/>
      <c r="T82" s="592"/>
      <c r="U82" s="12"/>
      <c r="V82" s="12"/>
      <c r="W82" s="12"/>
      <c r="X82" s="12"/>
      <c r="Y82" s="12"/>
      <c r="Z82" s="12"/>
      <c r="AA82" s="12"/>
      <c r="AB82" s="12"/>
      <c r="AC82" s="12"/>
    </row>
    <row r="83" spans="1:29" ht="12.75" customHeight="1">
      <c r="A83" s="12"/>
      <c r="B83" s="12"/>
      <c r="C83" s="12"/>
      <c r="D83" s="12"/>
      <c r="E83" s="12"/>
      <c r="F83" s="12"/>
      <c r="G83" s="12"/>
      <c r="H83" s="592"/>
      <c r="I83" s="592"/>
      <c r="J83" s="592"/>
      <c r="K83" s="592"/>
      <c r="L83" s="592"/>
      <c r="M83" s="592"/>
      <c r="N83" s="592"/>
      <c r="O83" s="592"/>
      <c r="P83" s="592"/>
      <c r="Q83" s="592"/>
      <c r="R83" s="592"/>
      <c r="S83" s="592"/>
      <c r="T83" s="592"/>
      <c r="U83" s="12"/>
      <c r="V83" s="12"/>
      <c r="W83" s="12"/>
      <c r="X83" s="12"/>
      <c r="Y83" s="12"/>
      <c r="Z83" s="12"/>
      <c r="AA83" s="12"/>
      <c r="AB83" s="12"/>
      <c r="AC83" s="12"/>
    </row>
    <row r="84" spans="1:29" ht="12.75" customHeight="1">
      <c r="A84" s="12"/>
      <c r="B84" s="12"/>
      <c r="C84" s="12"/>
      <c r="D84" s="12"/>
      <c r="E84" s="12"/>
      <c r="F84" s="12"/>
      <c r="G84" s="12"/>
      <c r="H84" s="592"/>
      <c r="I84" s="592"/>
      <c r="J84" s="592"/>
      <c r="K84" s="592"/>
      <c r="L84" s="592"/>
      <c r="M84" s="592"/>
      <c r="N84" s="592"/>
      <c r="O84" s="592"/>
      <c r="P84" s="592"/>
      <c r="Q84" s="592"/>
      <c r="R84" s="592"/>
      <c r="S84" s="592"/>
      <c r="T84" s="592"/>
      <c r="U84" s="12"/>
      <c r="V84" s="12"/>
      <c r="W84" s="12"/>
      <c r="X84" s="12"/>
      <c r="Y84" s="12"/>
      <c r="Z84" s="12"/>
      <c r="AA84" s="12"/>
      <c r="AB84" s="12"/>
      <c r="AC84" s="12"/>
    </row>
    <row r="85" spans="1:29" ht="12.75" customHeight="1">
      <c r="A85" s="12"/>
      <c r="B85" s="12"/>
      <c r="C85" s="12"/>
      <c r="D85" s="12"/>
      <c r="E85" s="12"/>
      <c r="F85" s="12"/>
      <c r="G85" s="12"/>
      <c r="H85" s="592"/>
      <c r="I85" s="592"/>
      <c r="J85" s="592"/>
      <c r="K85" s="592"/>
      <c r="L85" s="592"/>
      <c r="M85" s="592"/>
      <c r="N85" s="592"/>
      <c r="O85" s="592"/>
      <c r="P85" s="592"/>
      <c r="Q85" s="592"/>
      <c r="R85" s="592"/>
      <c r="S85" s="592"/>
      <c r="T85" s="592"/>
      <c r="U85" s="12"/>
      <c r="V85" s="12"/>
      <c r="W85" s="12"/>
      <c r="X85" s="12"/>
      <c r="Y85" s="12"/>
      <c r="Z85" s="12"/>
      <c r="AA85" s="12"/>
      <c r="AB85" s="12"/>
      <c r="AC85" s="12"/>
    </row>
    <row r="86" spans="1:29" ht="12.75" customHeight="1">
      <c r="A86" s="12"/>
      <c r="B86" s="12"/>
      <c r="C86" s="12"/>
      <c r="D86" s="12"/>
      <c r="E86" s="12"/>
      <c r="F86" s="12"/>
      <c r="G86" s="12"/>
      <c r="H86" s="592"/>
      <c r="I86" s="592"/>
      <c r="J86" s="592"/>
      <c r="K86" s="592"/>
      <c r="L86" s="592"/>
      <c r="M86" s="592"/>
      <c r="N86" s="592"/>
      <c r="O86" s="592"/>
      <c r="P86" s="592"/>
      <c r="Q86" s="592"/>
      <c r="R86" s="592"/>
      <c r="S86" s="592"/>
      <c r="T86" s="592"/>
      <c r="U86" s="12"/>
      <c r="V86" s="12"/>
      <c r="W86" s="12"/>
      <c r="X86" s="12"/>
      <c r="Y86" s="12"/>
      <c r="Z86" s="12"/>
      <c r="AA86" s="12"/>
      <c r="AB86" s="12"/>
      <c r="AC86" s="12"/>
    </row>
    <row r="87" spans="1:29" ht="12.75" customHeight="1">
      <c r="A87" s="12"/>
      <c r="B87" s="12"/>
      <c r="C87" s="12"/>
      <c r="D87" s="12"/>
      <c r="E87" s="12"/>
      <c r="F87" s="12"/>
      <c r="G87" s="12"/>
      <c r="H87" s="592"/>
      <c r="I87" s="592"/>
      <c r="J87" s="592"/>
      <c r="K87" s="592"/>
      <c r="L87" s="592"/>
      <c r="M87" s="592"/>
      <c r="N87" s="592"/>
      <c r="O87" s="592"/>
      <c r="P87" s="592"/>
      <c r="Q87" s="592"/>
      <c r="R87" s="592"/>
      <c r="S87" s="592"/>
      <c r="T87" s="592"/>
      <c r="U87" s="12"/>
      <c r="V87" s="12"/>
      <c r="W87" s="12"/>
      <c r="X87" s="12"/>
      <c r="Y87" s="12"/>
      <c r="Z87" s="12"/>
      <c r="AA87" s="12"/>
      <c r="AB87" s="12"/>
      <c r="AC87" s="12"/>
    </row>
    <row r="88" spans="1:29" ht="12.75" customHeight="1">
      <c r="A88" s="12"/>
      <c r="B88" s="12"/>
      <c r="C88" s="12"/>
      <c r="D88" s="12"/>
      <c r="E88" s="12"/>
      <c r="F88" s="12"/>
      <c r="G88" s="12"/>
      <c r="H88" s="592"/>
      <c r="I88" s="592"/>
      <c r="J88" s="592"/>
      <c r="K88" s="592"/>
      <c r="L88" s="592"/>
      <c r="M88" s="592"/>
      <c r="N88" s="592"/>
      <c r="O88" s="592"/>
      <c r="P88" s="592"/>
      <c r="Q88" s="592"/>
      <c r="R88" s="592"/>
      <c r="S88" s="592"/>
      <c r="T88" s="592"/>
      <c r="U88" s="12"/>
      <c r="V88" s="12"/>
      <c r="W88" s="12"/>
      <c r="X88" s="12"/>
      <c r="Y88" s="12"/>
      <c r="Z88" s="12"/>
      <c r="AA88" s="12"/>
      <c r="AB88" s="12"/>
      <c r="AC88" s="12"/>
    </row>
    <row r="89" spans="1:29" ht="12.75" customHeight="1">
      <c r="A89" s="12"/>
      <c r="B89" s="12"/>
      <c r="C89" s="12"/>
      <c r="D89" s="12"/>
      <c r="E89" s="12"/>
      <c r="F89" s="12"/>
      <c r="G89" s="12"/>
      <c r="H89" s="592"/>
      <c r="I89" s="592"/>
      <c r="J89" s="592"/>
      <c r="K89" s="592"/>
      <c r="L89" s="592"/>
      <c r="M89" s="592"/>
      <c r="N89" s="592"/>
      <c r="O89" s="592"/>
      <c r="P89" s="592"/>
      <c r="Q89" s="592"/>
      <c r="R89" s="592"/>
      <c r="S89" s="592"/>
      <c r="T89" s="592"/>
      <c r="U89" s="12"/>
      <c r="V89" s="12"/>
      <c r="W89" s="12"/>
      <c r="X89" s="12"/>
      <c r="Y89" s="12"/>
      <c r="Z89" s="12"/>
      <c r="AA89" s="12"/>
      <c r="AB89" s="12"/>
      <c r="AC89" s="12"/>
    </row>
    <row r="90" spans="1:29" ht="12.75" customHeight="1">
      <c r="A90" s="12"/>
      <c r="B90" s="12"/>
      <c r="C90" s="12"/>
      <c r="D90" s="12"/>
      <c r="E90" s="12"/>
      <c r="F90" s="12"/>
      <c r="G90" s="12"/>
      <c r="H90" s="592"/>
      <c r="I90" s="592"/>
      <c r="J90" s="592"/>
      <c r="K90" s="592"/>
      <c r="L90" s="592"/>
      <c r="M90" s="592"/>
      <c r="N90" s="592"/>
      <c r="O90" s="592"/>
      <c r="P90" s="592"/>
      <c r="Q90" s="592"/>
      <c r="R90" s="592"/>
      <c r="S90" s="592"/>
      <c r="T90" s="592"/>
      <c r="U90" s="12"/>
      <c r="V90" s="12"/>
      <c r="W90" s="12"/>
      <c r="X90" s="12"/>
      <c r="Y90" s="12"/>
      <c r="Z90" s="12"/>
      <c r="AA90" s="12"/>
      <c r="AB90" s="12"/>
      <c r="AC90" s="12"/>
    </row>
    <row r="91" spans="1:29" ht="12.75" customHeight="1">
      <c r="A91" s="12"/>
      <c r="B91" s="12"/>
      <c r="C91" s="12"/>
      <c r="D91" s="12"/>
      <c r="E91" s="12"/>
      <c r="F91" s="12"/>
      <c r="G91" s="12"/>
      <c r="H91" s="592"/>
      <c r="I91" s="592"/>
      <c r="J91" s="592"/>
      <c r="K91" s="592"/>
      <c r="L91" s="592"/>
      <c r="M91" s="592"/>
      <c r="N91" s="592"/>
      <c r="O91" s="592"/>
      <c r="P91" s="592"/>
      <c r="Q91" s="592"/>
      <c r="R91" s="592"/>
      <c r="S91" s="592"/>
      <c r="T91" s="592"/>
      <c r="U91" s="12"/>
      <c r="V91" s="12"/>
      <c r="W91" s="12"/>
      <c r="X91" s="12"/>
      <c r="Y91" s="12"/>
      <c r="Z91" s="12"/>
      <c r="AA91" s="12"/>
      <c r="AB91" s="12"/>
      <c r="AC91" s="12"/>
    </row>
    <row r="92" spans="1:29" ht="12.75" customHeight="1">
      <c r="A92" s="12"/>
      <c r="B92" s="12"/>
      <c r="C92" s="12"/>
      <c r="D92" s="12"/>
      <c r="E92" s="12"/>
      <c r="F92" s="12"/>
      <c r="G92" s="12"/>
      <c r="H92" s="592"/>
      <c r="I92" s="592"/>
      <c r="J92" s="592"/>
      <c r="K92" s="592"/>
      <c r="L92" s="592"/>
      <c r="M92" s="592"/>
      <c r="N92" s="592"/>
      <c r="O92" s="592"/>
      <c r="P92" s="592"/>
      <c r="Q92" s="592"/>
      <c r="R92" s="592"/>
      <c r="S92" s="592"/>
      <c r="T92" s="592"/>
      <c r="U92" s="12"/>
      <c r="V92" s="12"/>
      <c r="W92" s="12"/>
      <c r="X92" s="12"/>
      <c r="Y92" s="12"/>
      <c r="Z92" s="12"/>
      <c r="AA92" s="12"/>
      <c r="AB92" s="12"/>
      <c r="AC92" s="12"/>
    </row>
    <row r="93" spans="1:29" ht="12.75" customHeight="1">
      <c r="A93" s="12"/>
      <c r="B93" s="12"/>
      <c r="C93" s="12"/>
      <c r="D93" s="12"/>
      <c r="E93" s="12"/>
      <c r="F93" s="12"/>
      <c r="G93" s="12"/>
      <c r="H93" s="592"/>
      <c r="I93" s="592"/>
      <c r="J93" s="592"/>
      <c r="K93" s="592"/>
      <c r="L93" s="592"/>
      <c r="M93" s="592"/>
      <c r="N93" s="592"/>
      <c r="O93" s="592"/>
      <c r="P93" s="592"/>
      <c r="Q93" s="592"/>
      <c r="R93" s="592"/>
      <c r="S93" s="592"/>
      <c r="T93" s="592"/>
      <c r="U93" s="12"/>
      <c r="V93" s="12"/>
      <c r="W93" s="12"/>
      <c r="X93" s="12"/>
      <c r="Y93" s="12"/>
      <c r="Z93" s="12"/>
      <c r="AA93" s="12"/>
      <c r="AB93" s="12"/>
      <c r="AC93" s="12"/>
    </row>
    <row r="94" spans="1:29" ht="12.75" customHeight="1">
      <c r="A94" s="12"/>
      <c r="B94" s="12"/>
      <c r="C94" s="12"/>
      <c r="D94" s="12"/>
      <c r="E94" s="12"/>
      <c r="F94" s="12"/>
      <c r="G94" s="12"/>
      <c r="H94" s="592"/>
      <c r="I94" s="592"/>
      <c r="J94" s="592"/>
      <c r="K94" s="592"/>
      <c r="L94" s="592"/>
      <c r="M94" s="592"/>
      <c r="N94" s="592"/>
      <c r="O94" s="592"/>
      <c r="P94" s="592"/>
      <c r="Q94" s="592"/>
      <c r="R94" s="592"/>
      <c r="S94" s="592"/>
      <c r="T94" s="592"/>
      <c r="U94" s="12"/>
      <c r="V94" s="12"/>
      <c r="W94" s="12"/>
      <c r="X94" s="12"/>
      <c r="Y94" s="12"/>
      <c r="Z94" s="12"/>
      <c r="AA94" s="12"/>
      <c r="AB94" s="12"/>
      <c r="AC94" s="12"/>
    </row>
    <row r="95" spans="1:29" ht="12.75" customHeight="1">
      <c r="A95" s="12"/>
      <c r="B95" s="12"/>
      <c r="C95" s="12"/>
      <c r="D95" s="12"/>
      <c r="E95" s="12"/>
      <c r="F95" s="12"/>
      <c r="G95" s="12"/>
      <c r="H95" s="592"/>
      <c r="I95" s="592"/>
      <c r="J95" s="592"/>
      <c r="K95" s="592"/>
      <c r="L95" s="592"/>
      <c r="M95" s="592"/>
      <c r="N95" s="592"/>
      <c r="O95" s="592"/>
      <c r="P95" s="592"/>
      <c r="Q95" s="592"/>
      <c r="R95" s="592"/>
      <c r="S95" s="592"/>
      <c r="T95" s="592"/>
      <c r="U95" s="12"/>
      <c r="V95" s="12"/>
      <c r="W95" s="12"/>
      <c r="X95" s="12"/>
      <c r="Y95" s="12"/>
      <c r="Z95" s="12"/>
      <c r="AA95" s="12"/>
      <c r="AB95" s="12"/>
      <c r="AC95" s="12"/>
    </row>
    <row r="96" spans="1:29" ht="12.75" customHeight="1">
      <c r="A96" s="12"/>
      <c r="B96" s="12"/>
      <c r="C96" s="12"/>
      <c r="D96" s="12"/>
      <c r="E96" s="12"/>
      <c r="F96" s="12"/>
      <c r="G96" s="12"/>
      <c r="H96" s="592"/>
      <c r="I96" s="592"/>
      <c r="J96" s="592"/>
      <c r="K96" s="592"/>
      <c r="L96" s="592"/>
      <c r="M96" s="592"/>
      <c r="N96" s="592"/>
      <c r="O96" s="592"/>
      <c r="P96" s="592"/>
      <c r="Q96" s="592"/>
      <c r="R96" s="592"/>
      <c r="S96" s="592"/>
      <c r="T96" s="592"/>
      <c r="U96" s="12"/>
      <c r="V96" s="12"/>
      <c r="W96" s="12"/>
      <c r="X96" s="12"/>
      <c r="Y96" s="12"/>
      <c r="Z96" s="12"/>
      <c r="AA96" s="12"/>
      <c r="AB96" s="12"/>
      <c r="AC96" s="12"/>
    </row>
    <row r="97" spans="1:29" ht="12.75" customHeight="1">
      <c r="A97" s="12"/>
      <c r="B97" s="12"/>
      <c r="C97" s="12"/>
      <c r="D97" s="12"/>
      <c r="E97" s="12"/>
      <c r="F97" s="12"/>
      <c r="G97" s="12"/>
      <c r="H97" s="592"/>
      <c r="I97" s="592"/>
      <c r="J97" s="592"/>
      <c r="K97" s="592"/>
      <c r="L97" s="592"/>
      <c r="M97" s="592"/>
      <c r="N97" s="592"/>
      <c r="O97" s="592"/>
      <c r="P97" s="592"/>
      <c r="Q97" s="592"/>
      <c r="R97" s="592"/>
      <c r="S97" s="592"/>
      <c r="T97" s="592"/>
      <c r="U97" s="12"/>
      <c r="V97" s="12"/>
      <c r="W97" s="12"/>
      <c r="X97" s="12"/>
      <c r="Y97" s="12"/>
      <c r="Z97" s="12"/>
      <c r="AA97" s="12"/>
      <c r="AB97" s="12"/>
      <c r="AC97" s="12"/>
    </row>
    <row r="98" spans="1:29" ht="12.75" customHeight="1">
      <c r="A98" s="12"/>
      <c r="B98" s="12"/>
      <c r="C98" s="12"/>
      <c r="D98" s="12"/>
      <c r="E98" s="12"/>
      <c r="F98" s="12"/>
      <c r="G98" s="12"/>
      <c r="H98" s="592"/>
      <c r="I98" s="592"/>
      <c r="J98" s="592"/>
      <c r="K98" s="592"/>
      <c r="L98" s="592"/>
      <c r="M98" s="592"/>
      <c r="N98" s="592"/>
      <c r="O98" s="592"/>
      <c r="P98" s="592"/>
      <c r="Q98" s="592"/>
      <c r="R98" s="592"/>
      <c r="S98" s="592"/>
      <c r="T98" s="592"/>
      <c r="U98" s="12"/>
      <c r="V98" s="12"/>
      <c r="W98" s="12"/>
      <c r="X98" s="12"/>
      <c r="Y98" s="12"/>
      <c r="Z98" s="12"/>
      <c r="AA98" s="12"/>
      <c r="AB98" s="12"/>
      <c r="AC98" s="12"/>
    </row>
    <row r="99" spans="1:29" ht="12.75" customHeight="1">
      <c r="A99" s="12"/>
      <c r="B99" s="12"/>
      <c r="C99" s="12"/>
      <c r="D99" s="12"/>
      <c r="E99" s="12"/>
      <c r="F99" s="12"/>
      <c r="G99" s="12"/>
      <c r="H99" s="592"/>
      <c r="I99" s="592"/>
      <c r="J99" s="592"/>
      <c r="K99" s="592"/>
      <c r="L99" s="592"/>
      <c r="M99" s="592"/>
      <c r="N99" s="592"/>
      <c r="O99" s="592"/>
      <c r="P99" s="592"/>
      <c r="Q99" s="592"/>
      <c r="R99" s="592"/>
      <c r="S99" s="592"/>
      <c r="T99" s="592"/>
      <c r="U99" s="12"/>
      <c r="V99" s="12"/>
      <c r="W99" s="12"/>
      <c r="X99" s="12"/>
      <c r="Y99" s="12"/>
      <c r="Z99" s="12"/>
      <c r="AA99" s="12"/>
      <c r="AB99" s="12"/>
      <c r="AC99" s="12"/>
    </row>
    <row r="100" spans="1:29" ht="12.75" customHeight="1">
      <c r="A100" s="12"/>
      <c r="B100" s="12"/>
      <c r="C100" s="12"/>
      <c r="D100" s="12"/>
      <c r="E100" s="12"/>
      <c r="F100" s="12"/>
      <c r="G100" s="12"/>
      <c r="H100" s="592"/>
      <c r="I100" s="592"/>
      <c r="J100" s="592"/>
      <c r="K100" s="592"/>
      <c r="L100" s="592"/>
      <c r="M100" s="592"/>
      <c r="N100" s="592"/>
      <c r="O100" s="592"/>
      <c r="P100" s="592"/>
      <c r="Q100" s="592"/>
      <c r="R100" s="592"/>
      <c r="S100" s="592"/>
      <c r="T100" s="592"/>
      <c r="U100" s="12"/>
      <c r="V100" s="12"/>
      <c r="W100" s="12"/>
      <c r="X100" s="12"/>
      <c r="Y100" s="12"/>
      <c r="Z100" s="12"/>
      <c r="AA100" s="12"/>
      <c r="AB100" s="12"/>
      <c r="AC100" s="12"/>
    </row>
    <row r="101" spans="1:29" ht="12.75" customHeight="1">
      <c r="A101" s="12"/>
      <c r="B101" s="12"/>
      <c r="C101" s="12"/>
      <c r="D101" s="12"/>
      <c r="E101" s="12"/>
      <c r="F101" s="12"/>
      <c r="G101" s="12"/>
      <c r="H101" s="592"/>
      <c r="I101" s="592"/>
      <c r="J101" s="592"/>
      <c r="K101" s="592"/>
      <c r="L101" s="592"/>
      <c r="M101" s="592"/>
      <c r="N101" s="592"/>
      <c r="O101" s="592"/>
      <c r="P101" s="592"/>
      <c r="Q101" s="592"/>
      <c r="R101" s="592"/>
      <c r="S101" s="592"/>
      <c r="T101" s="592"/>
      <c r="U101" s="12"/>
      <c r="V101" s="12"/>
      <c r="W101" s="12"/>
      <c r="X101" s="12"/>
      <c r="Y101" s="12"/>
      <c r="Z101" s="12"/>
      <c r="AA101" s="12"/>
      <c r="AB101" s="12"/>
      <c r="AC101" s="12"/>
    </row>
    <row r="102" spans="1:29" ht="12.75" customHeight="1">
      <c r="A102" s="12"/>
      <c r="B102" s="12"/>
      <c r="C102" s="12"/>
      <c r="D102" s="12"/>
      <c r="E102" s="12"/>
      <c r="F102" s="12"/>
      <c r="G102" s="12"/>
      <c r="H102" s="592"/>
      <c r="I102" s="592"/>
      <c r="J102" s="592"/>
      <c r="K102" s="592"/>
      <c r="L102" s="592"/>
      <c r="M102" s="592"/>
      <c r="N102" s="592"/>
      <c r="O102" s="592"/>
      <c r="P102" s="592"/>
      <c r="Q102" s="592"/>
      <c r="R102" s="592"/>
      <c r="S102" s="592"/>
      <c r="T102" s="592"/>
      <c r="U102" s="12"/>
      <c r="V102" s="12"/>
      <c r="W102" s="12"/>
      <c r="X102" s="12"/>
      <c r="Y102" s="12"/>
      <c r="Z102" s="12"/>
      <c r="AA102" s="12"/>
      <c r="AB102" s="12"/>
      <c r="AC102" s="12"/>
    </row>
    <row r="103" spans="1:29" ht="12.75" customHeight="1">
      <c r="A103" s="12"/>
      <c r="B103" s="12"/>
      <c r="C103" s="12"/>
      <c r="D103" s="12"/>
      <c r="E103" s="12"/>
      <c r="F103" s="12"/>
      <c r="G103" s="12"/>
      <c r="H103" s="592"/>
      <c r="I103" s="592"/>
      <c r="J103" s="592"/>
      <c r="K103" s="592"/>
      <c r="L103" s="592"/>
      <c r="M103" s="592"/>
      <c r="N103" s="592"/>
      <c r="O103" s="592"/>
      <c r="P103" s="592"/>
      <c r="Q103" s="592"/>
      <c r="R103" s="592"/>
      <c r="S103" s="592"/>
      <c r="T103" s="592"/>
      <c r="U103" s="12"/>
      <c r="V103" s="12"/>
      <c r="W103" s="12"/>
      <c r="X103" s="12"/>
      <c r="Y103" s="12"/>
      <c r="Z103" s="12"/>
      <c r="AA103" s="12"/>
      <c r="AB103" s="12"/>
      <c r="AC103" s="12"/>
    </row>
    <row r="104" spans="1:29" ht="12.75" customHeight="1">
      <c r="A104" s="12"/>
      <c r="B104" s="12"/>
      <c r="C104" s="12"/>
      <c r="D104" s="12"/>
      <c r="E104" s="12"/>
      <c r="F104" s="12"/>
      <c r="G104" s="12"/>
      <c r="H104" s="592"/>
      <c r="I104" s="592"/>
      <c r="J104" s="592"/>
      <c r="K104" s="592"/>
      <c r="L104" s="592"/>
      <c r="M104" s="592"/>
      <c r="N104" s="592"/>
      <c r="O104" s="592"/>
      <c r="P104" s="592"/>
      <c r="Q104" s="592"/>
      <c r="R104" s="592"/>
      <c r="S104" s="592"/>
      <c r="T104" s="592"/>
      <c r="U104" s="12"/>
      <c r="V104" s="12"/>
      <c r="W104" s="12"/>
      <c r="X104" s="12"/>
      <c r="Y104" s="12"/>
      <c r="Z104" s="12"/>
      <c r="AA104" s="12"/>
      <c r="AB104" s="12"/>
      <c r="AC104" s="12"/>
    </row>
    <row r="105" spans="1:29" ht="12.75" customHeight="1">
      <c r="A105" s="12"/>
      <c r="B105" s="12"/>
      <c r="C105" s="12"/>
      <c r="D105" s="12"/>
      <c r="E105" s="12"/>
      <c r="F105" s="12"/>
      <c r="G105" s="12"/>
      <c r="H105" s="592"/>
      <c r="I105" s="592"/>
      <c r="J105" s="592"/>
      <c r="K105" s="592"/>
      <c r="L105" s="592"/>
      <c r="M105" s="592"/>
      <c r="N105" s="592"/>
      <c r="O105" s="592"/>
      <c r="P105" s="592"/>
      <c r="Q105" s="592"/>
      <c r="R105" s="592"/>
      <c r="S105" s="592"/>
      <c r="T105" s="592"/>
      <c r="U105" s="12"/>
      <c r="V105" s="12"/>
      <c r="W105" s="12"/>
      <c r="X105" s="12"/>
      <c r="Y105" s="12"/>
      <c r="Z105" s="12"/>
      <c r="AA105" s="12"/>
      <c r="AB105" s="12"/>
      <c r="AC105" s="12"/>
    </row>
    <row r="106" spans="1:29" ht="12.75" customHeight="1">
      <c r="A106" s="12"/>
      <c r="B106" s="12"/>
      <c r="C106" s="12"/>
      <c r="D106" s="12"/>
      <c r="E106" s="12"/>
      <c r="F106" s="12"/>
      <c r="G106" s="12"/>
      <c r="H106" s="592"/>
      <c r="I106" s="592"/>
      <c r="J106" s="592"/>
      <c r="K106" s="592"/>
      <c r="L106" s="592"/>
      <c r="M106" s="592"/>
      <c r="N106" s="592"/>
      <c r="O106" s="592"/>
      <c r="P106" s="592"/>
      <c r="Q106" s="592"/>
      <c r="R106" s="592"/>
      <c r="S106" s="592"/>
      <c r="T106" s="592"/>
      <c r="U106" s="12"/>
      <c r="V106" s="12"/>
      <c r="W106" s="12"/>
      <c r="X106" s="12"/>
      <c r="Y106" s="12"/>
      <c r="Z106" s="12"/>
      <c r="AA106" s="12"/>
      <c r="AB106" s="12"/>
      <c r="AC106" s="12"/>
    </row>
    <row r="107" spans="1:29" ht="12.75" customHeight="1">
      <c r="A107" s="12"/>
      <c r="B107" s="12"/>
      <c r="C107" s="12"/>
      <c r="D107" s="12"/>
      <c r="E107" s="12"/>
      <c r="F107" s="12"/>
      <c r="G107" s="12"/>
      <c r="H107" s="592"/>
      <c r="I107" s="592"/>
      <c r="J107" s="592"/>
      <c r="K107" s="592"/>
      <c r="L107" s="592"/>
      <c r="M107" s="592"/>
      <c r="N107" s="592"/>
      <c r="O107" s="592"/>
      <c r="P107" s="592"/>
      <c r="Q107" s="592"/>
      <c r="R107" s="592"/>
      <c r="S107" s="592"/>
      <c r="T107" s="592"/>
      <c r="U107" s="12"/>
      <c r="V107" s="12"/>
      <c r="W107" s="12"/>
      <c r="X107" s="12"/>
      <c r="Y107" s="12"/>
      <c r="Z107" s="12"/>
      <c r="AA107" s="12"/>
      <c r="AB107" s="12"/>
      <c r="AC107" s="12"/>
    </row>
    <row r="108" spans="1:29" ht="12.75" customHeight="1">
      <c r="A108" s="12"/>
      <c r="B108" s="12"/>
      <c r="C108" s="12"/>
      <c r="D108" s="12"/>
      <c r="E108" s="12"/>
      <c r="F108" s="12"/>
      <c r="G108" s="12"/>
      <c r="H108" s="592"/>
      <c r="I108" s="592"/>
      <c r="J108" s="592"/>
      <c r="K108" s="592"/>
      <c r="L108" s="592"/>
      <c r="M108" s="592"/>
      <c r="N108" s="592"/>
      <c r="O108" s="592"/>
      <c r="P108" s="592"/>
      <c r="Q108" s="592"/>
      <c r="R108" s="592"/>
      <c r="S108" s="592"/>
      <c r="T108" s="592"/>
      <c r="U108" s="12"/>
      <c r="V108" s="12"/>
      <c r="W108" s="12"/>
      <c r="X108" s="12"/>
      <c r="Y108" s="12"/>
      <c r="Z108" s="12"/>
      <c r="AA108" s="12"/>
      <c r="AB108" s="12"/>
      <c r="AC108" s="12"/>
    </row>
    <row r="109" spans="1:29" ht="12.75" customHeight="1">
      <c r="A109" s="12"/>
      <c r="B109" s="12"/>
      <c r="C109" s="12"/>
      <c r="D109" s="12"/>
      <c r="E109" s="12"/>
      <c r="F109" s="12"/>
      <c r="G109" s="12"/>
      <c r="H109" s="592"/>
      <c r="I109" s="592"/>
      <c r="J109" s="592"/>
      <c r="K109" s="592"/>
      <c r="L109" s="592"/>
      <c r="M109" s="592"/>
      <c r="N109" s="592"/>
      <c r="O109" s="592"/>
      <c r="P109" s="592"/>
      <c r="Q109" s="592"/>
      <c r="R109" s="592"/>
      <c r="S109" s="592"/>
      <c r="T109" s="592"/>
      <c r="U109" s="12"/>
      <c r="V109" s="12"/>
      <c r="W109" s="12"/>
      <c r="X109" s="12"/>
      <c r="Y109" s="12"/>
      <c r="Z109" s="12"/>
      <c r="AA109" s="12"/>
      <c r="AB109" s="12"/>
      <c r="AC109" s="12"/>
    </row>
    <row r="110" spans="1:29" ht="12.75" customHeight="1">
      <c r="A110" s="12"/>
      <c r="B110" s="12"/>
      <c r="C110" s="12"/>
      <c r="D110" s="12"/>
      <c r="E110" s="12"/>
      <c r="F110" s="12"/>
      <c r="G110" s="12"/>
      <c r="H110" s="592"/>
      <c r="I110" s="592"/>
      <c r="J110" s="592"/>
      <c r="K110" s="592"/>
      <c r="L110" s="592"/>
      <c r="M110" s="592"/>
      <c r="N110" s="592"/>
      <c r="O110" s="592"/>
      <c r="P110" s="592"/>
      <c r="Q110" s="592"/>
      <c r="R110" s="592"/>
      <c r="S110" s="592"/>
      <c r="T110" s="592"/>
      <c r="U110" s="12"/>
      <c r="V110" s="12"/>
      <c r="W110" s="12"/>
      <c r="X110" s="12"/>
      <c r="Y110" s="12"/>
      <c r="Z110" s="12"/>
      <c r="AA110" s="12"/>
      <c r="AB110" s="12"/>
      <c r="AC110" s="12"/>
    </row>
    <row r="111" spans="1:29" ht="12.75" customHeight="1">
      <c r="A111" s="12"/>
      <c r="B111" s="12"/>
      <c r="C111" s="12"/>
      <c r="D111" s="12"/>
      <c r="E111" s="12"/>
      <c r="F111" s="12"/>
      <c r="G111" s="12"/>
      <c r="H111" s="592"/>
      <c r="I111" s="592"/>
      <c r="J111" s="592"/>
      <c r="K111" s="592"/>
      <c r="L111" s="592"/>
      <c r="M111" s="592"/>
      <c r="N111" s="592"/>
      <c r="O111" s="592"/>
      <c r="P111" s="592"/>
      <c r="Q111" s="592"/>
      <c r="R111" s="592"/>
      <c r="S111" s="592"/>
      <c r="T111" s="592"/>
      <c r="U111" s="12"/>
      <c r="V111" s="12"/>
      <c r="W111" s="12"/>
      <c r="X111" s="12"/>
      <c r="Y111" s="12"/>
      <c r="Z111" s="12"/>
      <c r="AA111" s="12"/>
      <c r="AB111" s="12"/>
      <c r="AC111" s="12"/>
    </row>
    <row r="112" spans="1:29" ht="12.75" customHeight="1">
      <c r="A112" s="12"/>
      <c r="B112" s="12"/>
      <c r="C112" s="12"/>
      <c r="D112" s="12"/>
      <c r="E112" s="12"/>
      <c r="F112" s="12"/>
      <c r="G112" s="12"/>
      <c r="H112" s="592"/>
      <c r="I112" s="592"/>
      <c r="J112" s="592"/>
      <c r="K112" s="592"/>
      <c r="L112" s="592"/>
      <c r="M112" s="592"/>
      <c r="N112" s="592"/>
      <c r="O112" s="592"/>
      <c r="P112" s="592"/>
      <c r="Q112" s="592"/>
      <c r="R112" s="592"/>
      <c r="S112" s="592"/>
      <c r="T112" s="592"/>
      <c r="U112" s="12"/>
      <c r="V112" s="12"/>
      <c r="W112" s="12"/>
      <c r="X112" s="12"/>
      <c r="Y112" s="12"/>
      <c r="Z112" s="12"/>
      <c r="AA112" s="12"/>
      <c r="AB112" s="12"/>
      <c r="AC112" s="12"/>
    </row>
    <row r="113" spans="1:29" ht="12.75" customHeight="1">
      <c r="A113" s="12"/>
      <c r="B113" s="12"/>
      <c r="C113" s="12"/>
      <c r="D113" s="12"/>
      <c r="E113" s="12"/>
      <c r="F113" s="12"/>
      <c r="G113" s="12"/>
      <c r="H113" s="592"/>
      <c r="I113" s="592"/>
      <c r="J113" s="592"/>
      <c r="K113" s="592"/>
      <c r="L113" s="592"/>
      <c r="M113" s="592"/>
      <c r="N113" s="592"/>
      <c r="O113" s="592"/>
      <c r="P113" s="592"/>
      <c r="Q113" s="592"/>
      <c r="R113" s="592"/>
      <c r="S113" s="592"/>
      <c r="T113" s="592"/>
      <c r="U113" s="12"/>
      <c r="V113" s="12"/>
      <c r="W113" s="12"/>
      <c r="X113" s="12"/>
      <c r="Y113" s="12"/>
      <c r="Z113" s="12"/>
      <c r="AA113" s="12"/>
      <c r="AB113" s="12"/>
      <c r="AC113" s="12"/>
    </row>
    <row r="114" spans="1:29" ht="12.75" customHeight="1">
      <c r="A114" s="12"/>
      <c r="B114" s="12"/>
      <c r="C114" s="12"/>
      <c r="D114" s="12"/>
      <c r="E114" s="12"/>
      <c r="F114" s="12"/>
      <c r="G114" s="12"/>
      <c r="H114" s="592"/>
      <c r="I114" s="592"/>
      <c r="J114" s="592"/>
      <c r="K114" s="592"/>
      <c r="L114" s="592"/>
      <c r="M114" s="592"/>
      <c r="N114" s="592"/>
      <c r="O114" s="592"/>
      <c r="P114" s="592"/>
      <c r="Q114" s="592"/>
      <c r="R114" s="592"/>
      <c r="S114" s="592"/>
      <c r="T114" s="592"/>
      <c r="U114" s="12"/>
      <c r="V114" s="12"/>
      <c r="W114" s="12"/>
      <c r="X114" s="12"/>
      <c r="Y114" s="12"/>
      <c r="Z114" s="12"/>
      <c r="AA114" s="12"/>
      <c r="AB114" s="12"/>
      <c r="AC114" s="12"/>
    </row>
    <row r="115" spans="1:29" ht="12.75" customHeight="1">
      <c r="A115" s="12"/>
      <c r="B115" s="12"/>
      <c r="C115" s="12"/>
      <c r="D115" s="12"/>
      <c r="E115" s="12"/>
      <c r="F115" s="12"/>
      <c r="G115" s="12"/>
      <c r="H115" s="592"/>
      <c r="I115" s="592"/>
      <c r="J115" s="592"/>
      <c r="K115" s="592"/>
      <c r="L115" s="592"/>
      <c r="M115" s="592"/>
      <c r="N115" s="592"/>
      <c r="O115" s="592"/>
      <c r="P115" s="592"/>
      <c r="Q115" s="592"/>
      <c r="R115" s="592"/>
      <c r="S115" s="592"/>
      <c r="T115" s="592"/>
      <c r="U115" s="12"/>
      <c r="V115" s="12"/>
      <c r="W115" s="12"/>
      <c r="X115" s="12"/>
      <c r="Y115" s="12"/>
      <c r="Z115" s="12"/>
      <c r="AA115" s="12"/>
      <c r="AB115" s="12"/>
      <c r="AC115" s="12"/>
    </row>
    <row r="116" spans="1:29" ht="12.75" customHeight="1">
      <c r="A116" s="12"/>
      <c r="B116" s="12"/>
      <c r="C116" s="12"/>
      <c r="D116" s="12"/>
      <c r="E116" s="12"/>
      <c r="F116" s="12"/>
      <c r="G116" s="12"/>
      <c r="H116" s="592"/>
      <c r="I116" s="592"/>
      <c r="J116" s="592"/>
      <c r="K116" s="592"/>
      <c r="L116" s="592"/>
      <c r="M116" s="592"/>
      <c r="N116" s="592"/>
      <c r="O116" s="592"/>
      <c r="P116" s="592"/>
      <c r="Q116" s="592"/>
      <c r="R116" s="592"/>
      <c r="S116" s="592"/>
      <c r="T116" s="592"/>
      <c r="U116" s="12"/>
      <c r="V116" s="12"/>
      <c r="W116" s="12"/>
      <c r="X116" s="12"/>
      <c r="Y116" s="12"/>
      <c r="Z116" s="12"/>
      <c r="AA116" s="12"/>
      <c r="AB116" s="12"/>
      <c r="AC116" s="12"/>
    </row>
    <row r="117" spans="1:29" ht="12.75" customHeight="1">
      <c r="A117" s="12"/>
      <c r="B117" s="12"/>
      <c r="C117" s="12"/>
      <c r="D117" s="12"/>
      <c r="E117" s="12"/>
      <c r="F117" s="12"/>
      <c r="G117" s="12"/>
      <c r="H117" s="592"/>
      <c r="I117" s="592"/>
      <c r="J117" s="592"/>
      <c r="K117" s="592"/>
      <c r="L117" s="592"/>
      <c r="M117" s="592"/>
      <c r="N117" s="592"/>
      <c r="O117" s="592"/>
      <c r="P117" s="592"/>
      <c r="Q117" s="592"/>
      <c r="R117" s="592"/>
      <c r="S117" s="592"/>
      <c r="T117" s="592"/>
      <c r="U117" s="12"/>
      <c r="V117" s="12"/>
      <c r="W117" s="12"/>
      <c r="X117" s="12"/>
      <c r="Y117" s="12"/>
      <c r="Z117" s="12"/>
      <c r="AA117" s="12"/>
      <c r="AB117" s="12"/>
      <c r="AC117" s="12"/>
    </row>
    <row r="118" spans="1:29" ht="12.75" customHeight="1">
      <c r="A118" s="12"/>
      <c r="B118" s="12"/>
      <c r="C118" s="12"/>
      <c r="D118" s="12"/>
      <c r="E118" s="12"/>
      <c r="F118" s="12"/>
      <c r="G118" s="12"/>
      <c r="H118" s="592"/>
      <c r="I118" s="592"/>
      <c r="J118" s="592"/>
      <c r="K118" s="592"/>
      <c r="L118" s="592"/>
      <c r="M118" s="592"/>
      <c r="N118" s="592"/>
      <c r="O118" s="592"/>
      <c r="P118" s="592"/>
      <c r="Q118" s="592"/>
      <c r="R118" s="592"/>
      <c r="S118" s="592"/>
      <c r="T118" s="592"/>
      <c r="U118" s="12"/>
      <c r="V118" s="12"/>
      <c r="W118" s="12"/>
      <c r="X118" s="12"/>
      <c r="Y118" s="12"/>
      <c r="Z118" s="12"/>
      <c r="AA118" s="12"/>
      <c r="AB118" s="12"/>
      <c r="AC118" s="12"/>
    </row>
    <row r="119" spans="1:29" ht="12.75" customHeight="1">
      <c r="A119" s="12"/>
      <c r="B119" s="12"/>
      <c r="C119" s="12"/>
      <c r="D119" s="12"/>
      <c r="E119" s="12"/>
      <c r="F119" s="12"/>
      <c r="G119" s="12"/>
      <c r="H119" s="592"/>
      <c r="I119" s="592"/>
      <c r="J119" s="592"/>
      <c r="K119" s="592"/>
      <c r="L119" s="592"/>
      <c r="M119" s="592"/>
      <c r="N119" s="592"/>
      <c r="O119" s="592"/>
      <c r="P119" s="592"/>
      <c r="Q119" s="592"/>
      <c r="R119" s="592"/>
      <c r="S119" s="592"/>
      <c r="T119" s="592"/>
      <c r="U119" s="12"/>
      <c r="V119" s="12"/>
      <c r="W119" s="12"/>
      <c r="X119" s="12"/>
      <c r="Y119" s="12"/>
      <c r="Z119" s="12"/>
      <c r="AA119" s="12"/>
      <c r="AB119" s="12"/>
      <c r="AC119" s="12"/>
    </row>
    <row r="120" spans="1:29" ht="12.75" customHeight="1">
      <c r="A120" s="12"/>
      <c r="B120" s="12"/>
      <c r="C120" s="12"/>
      <c r="D120" s="12"/>
      <c r="E120" s="12"/>
      <c r="F120" s="12"/>
      <c r="G120" s="12"/>
      <c r="H120" s="592"/>
      <c r="I120" s="592"/>
      <c r="J120" s="592"/>
      <c r="K120" s="592"/>
      <c r="L120" s="592"/>
      <c r="M120" s="592"/>
      <c r="N120" s="592"/>
      <c r="O120" s="592"/>
      <c r="P120" s="592"/>
      <c r="Q120" s="592"/>
      <c r="R120" s="592"/>
      <c r="S120" s="592"/>
      <c r="T120" s="592"/>
      <c r="U120" s="12"/>
      <c r="V120" s="12"/>
      <c r="W120" s="12"/>
      <c r="X120" s="12"/>
      <c r="Y120" s="12"/>
      <c r="Z120" s="12"/>
      <c r="AA120" s="12"/>
      <c r="AB120" s="12"/>
      <c r="AC120" s="12"/>
    </row>
    <row r="121" spans="1:29" ht="12.75" customHeight="1">
      <c r="A121" s="12"/>
      <c r="B121" s="12"/>
      <c r="C121" s="12"/>
      <c r="D121" s="12"/>
      <c r="E121" s="12"/>
      <c r="F121" s="12"/>
      <c r="G121" s="12"/>
      <c r="H121" s="592"/>
      <c r="I121" s="592"/>
      <c r="J121" s="592"/>
      <c r="K121" s="592"/>
      <c r="L121" s="592"/>
      <c r="M121" s="592"/>
      <c r="N121" s="592"/>
      <c r="O121" s="592"/>
      <c r="P121" s="592"/>
      <c r="Q121" s="592"/>
      <c r="R121" s="592"/>
      <c r="S121" s="592"/>
      <c r="T121" s="592"/>
      <c r="U121" s="12"/>
      <c r="V121" s="12"/>
      <c r="W121" s="12"/>
      <c r="X121" s="12"/>
      <c r="Y121" s="12"/>
      <c r="Z121" s="12"/>
      <c r="AA121" s="12"/>
      <c r="AB121" s="12"/>
      <c r="AC121" s="12"/>
    </row>
    <row r="122" spans="1:29" ht="12.75" customHeight="1">
      <c r="A122" s="12"/>
      <c r="B122" s="12"/>
      <c r="C122" s="12"/>
      <c r="D122" s="12"/>
      <c r="E122" s="12"/>
      <c r="F122" s="12"/>
      <c r="G122" s="12"/>
      <c r="H122" s="592"/>
      <c r="I122" s="592"/>
      <c r="J122" s="592"/>
      <c r="K122" s="592"/>
      <c r="L122" s="592"/>
      <c r="M122" s="592"/>
      <c r="N122" s="592"/>
      <c r="O122" s="592"/>
      <c r="P122" s="592"/>
      <c r="Q122" s="592"/>
      <c r="R122" s="592"/>
      <c r="S122" s="592"/>
      <c r="T122" s="592"/>
      <c r="U122" s="12"/>
      <c r="V122" s="12"/>
      <c r="W122" s="12"/>
      <c r="X122" s="12"/>
      <c r="Y122" s="12"/>
      <c r="Z122" s="12"/>
      <c r="AA122" s="12"/>
      <c r="AB122" s="12"/>
      <c r="AC122" s="12"/>
    </row>
    <row r="123" spans="1:29" ht="12.75" customHeight="1">
      <c r="A123" s="12"/>
      <c r="B123" s="12"/>
      <c r="C123" s="12"/>
      <c r="D123" s="12"/>
      <c r="E123" s="12"/>
      <c r="F123" s="12"/>
      <c r="G123" s="12"/>
      <c r="H123" s="592"/>
      <c r="I123" s="592"/>
      <c r="J123" s="592"/>
      <c r="K123" s="592"/>
      <c r="L123" s="592"/>
      <c r="M123" s="592"/>
      <c r="N123" s="592"/>
      <c r="O123" s="592"/>
      <c r="P123" s="592"/>
      <c r="Q123" s="592"/>
      <c r="R123" s="592"/>
      <c r="S123" s="592"/>
      <c r="T123" s="592"/>
      <c r="U123" s="12"/>
      <c r="V123" s="12"/>
      <c r="W123" s="12"/>
      <c r="X123" s="12"/>
      <c r="Y123" s="12"/>
      <c r="Z123" s="12"/>
      <c r="AA123" s="12"/>
      <c r="AB123" s="12"/>
      <c r="AC123" s="12"/>
    </row>
    <row r="124" spans="1:29" ht="12.75" customHeight="1">
      <c r="A124" s="12"/>
      <c r="B124" s="12"/>
      <c r="C124" s="12"/>
      <c r="D124" s="12"/>
      <c r="E124" s="12"/>
      <c r="F124" s="12"/>
      <c r="G124" s="12"/>
      <c r="H124" s="592"/>
      <c r="I124" s="592"/>
      <c r="J124" s="592"/>
      <c r="K124" s="592"/>
      <c r="L124" s="592"/>
      <c r="M124" s="592"/>
      <c r="N124" s="592"/>
      <c r="O124" s="592"/>
      <c r="P124" s="592"/>
      <c r="Q124" s="592"/>
      <c r="R124" s="592"/>
      <c r="S124" s="592"/>
      <c r="T124" s="592"/>
      <c r="U124" s="12"/>
      <c r="V124" s="12"/>
      <c r="W124" s="12"/>
      <c r="X124" s="12"/>
      <c r="Y124" s="12"/>
      <c r="Z124" s="12"/>
      <c r="AA124" s="12"/>
      <c r="AB124" s="12"/>
      <c r="AC124" s="12"/>
    </row>
    <row r="125" spans="1:29" ht="12.75" customHeight="1">
      <c r="A125" s="12"/>
      <c r="B125" s="12"/>
      <c r="C125" s="12"/>
      <c r="D125" s="12"/>
      <c r="E125" s="12"/>
      <c r="F125" s="12"/>
      <c r="G125" s="12"/>
      <c r="H125" s="592"/>
      <c r="I125" s="592"/>
      <c r="J125" s="592"/>
      <c r="K125" s="592"/>
      <c r="L125" s="592"/>
      <c r="M125" s="592"/>
      <c r="N125" s="592"/>
      <c r="O125" s="592"/>
      <c r="P125" s="592"/>
      <c r="Q125" s="592"/>
      <c r="R125" s="592"/>
      <c r="S125" s="592"/>
      <c r="T125" s="592"/>
      <c r="U125" s="12"/>
      <c r="V125" s="12"/>
      <c r="W125" s="12"/>
      <c r="X125" s="12"/>
      <c r="Y125" s="12"/>
      <c r="Z125" s="12"/>
      <c r="AA125" s="12"/>
      <c r="AB125" s="12"/>
      <c r="AC125" s="12"/>
    </row>
    <row r="126" spans="1:29" ht="12.75" customHeight="1">
      <c r="A126" s="12"/>
      <c r="B126" s="12"/>
      <c r="C126" s="12"/>
      <c r="D126" s="12"/>
      <c r="E126" s="12"/>
      <c r="F126" s="12"/>
      <c r="G126" s="12"/>
      <c r="H126" s="592"/>
      <c r="I126" s="592"/>
      <c r="J126" s="592"/>
      <c r="K126" s="592"/>
      <c r="L126" s="592"/>
      <c r="M126" s="592"/>
      <c r="N126" s="592"/>
      <c r="O126" s="592"/>
      <c r="P126" s="592"/>
      <c r="Q126" s="592"/>
      <c r="R126" s="592"/>
      <c r="S126" s="592"/>
      <c r="T126" s="592"/>
      <c r="U126" s="12"/>
      <c r="V126" s="12"/>
      <c r="W126" s="12"/>
      <c r="X126" s="12"/>
      <c r="Y126" s="12"/>
      <c r="Z126" s="12"/>
      <c r="AA126" s="12"/>
      <c r="AB126" s="12"/>
      <c r="AC126" s="12"/>
    </row>
    <row r="127" spans="1:29" ht="12.75" customHeight="1">
      <c r="A127" s="12"/>
      <c r="B127" s="12"/>
      <c r="C127" s="12"/>
      <c r="D127" s="12"/>
      <c r="E127" s="12"/>
      <c r="F127" s="12"/>
      <c r="G127" s="12"/>
      <c r="H127" s="592"/>
      <c r="I127" s="592"/>
      <c r="J127" s="592"/>
      <c r="K127" s="592"/>
      <c r="L127" s="592"/>
      <c r="M127" s="592"/>
      <c r="N127" s="592"/>
      <c r="O127" s="592"/>
      <c r="P127" s="592"/>
      <c r="Q127" s="592"/>
      <c r="R127" s="592"/>
      <c r="S127" s="592"/>
      <c r="T127" s="592"/>
      <c r="U127" s="12"/>
      <c r="V127" s="12"/>
      <c r="W127" s="12"/>
      <c r="X127" s="12"/>
      <c r="Y127" s="12"/>
      <c r="Z127" s="12"/>
      <c r="AA127" s="12"/>
      <c r="AB127" s="12"/>
      <c r="AC127" s="12"/>
    </row>
    <row r="128" spans="1:29" ht="12.75" customHeight="1">
      <c r="A128" s="12"/>
      <c r="B128" s="12"/>
      <c r="C128" s="12"/>
      <c r="D128" s="12"/>
      <c r="E128" s="12"/>
      <c r="F128" s="12"/>
      <c r="G128" s="12"/>
      <c r="H128" s="592"/>
      <c r="I128" s="592"/>
      <c r="J128" s="592"/>
      <c r="K128" s="592"/>
      <c r="L128" s="592"/>
      <c r="M128" s="592"/>
      <c r="N128" s="592"/>
      <c r="O128" s="592"/>
      <c r="P128" s="592"/>
      <c r="Q128" s="592"/>
      <c r="R128" s="592"/>
      <c r="S128" s="592"/>
      <c r="T128" s="592"/>
      <c r="U128" s="12"/>
      <c r="V128" s="12"/>
      <c r="W128" s="12"/>
      <c r="X128" s="12"/>
      <c r="Y128" s="12"/>
      <c r="Z128" s="12"/>
      <c r="AA128" s="12"/>
      <c r="AB128" s="12"/>
      <c r="AC128" s="12"/>
    </row>
    <row r="129" spans="1:29" ht="12.75" customHeight="1">
      <c r="A129" s="12"/>
      <c r="B129" s="12"/>
      <c r="C129" s="12"/>
      <c r="D129" s="12"/>
      <c r="E129" s="12"/>
      <c r="F129" s="12"/>
      <c r="G129" s="12"/>
      <c r="H129" s="592"/>
      <c r="I129" s="592"/>
      <c r="J129" s="592"/>
      <c r="K129" s="592"/>
      <c r="L129" s="592"/>
      <c r="M129" s="592"/>
      <c r="N129" s="592"/>
      <c r="O129" s="592"/>
      <c r="P129" s="592"/>
      <c r="Q129" s="592"/>
      <c r="R129" s="592"/>
      <c r="S129" s="592"/>
      <c r="T129" s="592"/>
      <c r="U129" s="12"/>
      <c r="V129" s="12"/>
      <c r="W129" s="12"/>
      <c r="X129" s="12"/>
      <c r="Y129" s="12"/>
      <c r="Z129" s="12"/>
      <c r="AA129" s="12"/>
      <c r="AB129" s="12"/>
      <c r="AC129" s="12"/>
    </row>
    <row r="130" spans="1:29" ht="12.75" customHeight="1">
      <c r="A130" s="12"/>
      <c r="B130" s="12"/>
      <c r="C130" s="12"/>
      <c r="D130" s="12"/>
      <c r="E130" s="12"/>
      <c r="F130" s="12"/>
      <c r="G130" s="12"/>
      <c r="H130" s="592"/>
      <c r="I130" s="592"/>
      <c r="J130" s="592"/>
      <c r="K130" s="592"/>
      <c r="L130" s="592"/>
      <c r="M130" s="592"/>
      <c r="N130" s="592"/>
      <c r="O130" s="592"/>
      <c r="P130" s="592"/>
      <c r="Q130" s="592"/>
      <c r="R130" s="592"/>
      <c r="S130" s="592"/>
      <c r="T130" s="592"/>
      <c r="U130" s="12"/>
      <c r="V130" s="12"/>
      <c r="W130" s="12"/>
      <c r="X130" s="12"/>
      <c r="Y130" s="12"/>
      <c r="Z130" s="12"/>
      <c r="AA130" s="12"/>
      <c r="AB130" s="12"/>
      <c r="AC130" s="12"/>
    </row>
    <row r="131" spans="1:29" ht="12.75" customHeight="1">
      <c r="A131" s="12"/>
      <c r="B131" s="12"/>
      <c r="C131" s="12"/>
      <c r="D131" s="12"/>
      <c r="E131" s="12"/>
      <c r="F131" s="12"/>
      <c r="G131" s="12"/>
      <c r="H131" s="592"/>
      <c r="I131" s="592"/>
      <c r="J131" s="592"/>
      <c r="K131" s="592"/>
      <c r="L131" s="592"/>
      <c r="M131" s="592"/>
      <c r="N131" s="592"/>
      <c r="O131" s="592"/>
      <c r="P131" s="592"/>
      <c r="Q131" s="592"/>
      <c r="R131" s="592"/>
      <c r="S131" s="592"/>
      <c r="T131" s="592"/>
      <c r="U131" s="12"/>
      <c r="V131" s="12"/>
      <c r="W131" s="12"/>
      <c r="X131" s="12"/>
      <c r="Y131" s="12"/>
      <c r="Z131" s="12"/>
      <c r="AA131" s="12"/>
      <c r="AB131" s="12"/>
      <c r="AC131" s="12"/>
    </row>
    <row r="132" spans="1:29" ht="12.75" customHeight="1">
      <c r="A132" s="12"/>
      <c r="B132" s="12"/>
      <c r="C132" s="12"/>
      <c r="D132" s="12"/>
      <c r="E132" s="12"/>
      <c r="F132" s="12"/>
      <c r="G132" s="12"/>
      <c r="H132" s="592"/>
      <c r="I132" s="592"/>
      <c r="J132" s="592"/>
      <c r="K132" s="592"/>
      <c r="L132" s="592"/>
      <c r="M132" s="592"/>
      <c r="N132" s="592"/>
      <c r="O132" s="592"/>
      <c r="P132" s="592"/>
      <c r="Q132" s="592"/>
      <c r="R132" s="592"/>
      <c r="S132" s="592"/>
      <c r="T132" s="592"/>
      <c r="U132" s="12"/>
      <c r="V132" s="12"/>
      <c r="W132" s="12"/>
      <c r="X132" s="12"/>
      <c r="Y132" s="12"/>
      <c r="Z132" s="12"/>
      <c r="AA132" s="12"/>
      <c r="AB132" s="12"/>
      <c r="AC132" s="12"/>
    </row>
    <row r="133" spans="1:29" ht="12.75" customHeight="1">
      <c r="A133" s="12"/>
      <c r="B133" s="12"/>
      <c r="C133" s="12"/>
      <c r="D133" s="12"/>
      <c r="E133" s="12"/>
      <c r="F133" s="12"/>
      <c r="G133" s="12"/>
      <c r="H133" s="592"/>
      <c r="I133" s="592"/>
      <c r="J133" s="592"/>
      <c r="K133" s="592"/>
      <c r="L133" s="592"/>
      <c r="M133" s="592"/>
      <c r="N133" s="592"/>
      <c r="O133" s="592"/>
      <c r="P133" s="592"/>
      <c r="Q133" s="592"/>
      <c r="R133" s="592"/>
      <c r="S133" s="592"/>
      <c r="T133" s="592"/>
      <c r="U133" s="12"/>
      <c r="V133" s="12"/>
      <c r="W133" s="12"/>
      <c r="X133" s="12"/>
      <c r="Y133" s="12"/>
      <c r="Z133" s="12"/>
      <c r="AA133" s="12"/>
      <c r="AB133" s="12"/>
      <c r="AC133" s="12"/>
    </row>
    <row r="134" spans="1:29" ht="12.75" customHeight="1">
      <c r="A134" s="12"/>
      <c r="B134" s="12"/>
      <c r="C134" s="12"/>
      <c r="D134" s="12"/>
      <c r="E134" s="12"/>
      <c r="F134" s="12"/>
      <c r="G134" s="12"/>
      <c r="H134" s="592"/>
      <c r="I134" s="592"/>
      <c r="J134" s="592"/>
      <c r="K134" s="592"/>
      <c r="L134" s="592"/>
      <c r="M134" s="592"/>
      <c r="N134" s="592"/>
      <c r="O134" s="592"/>
      <c r="P134" s="592"/>
      <c r="Q134" s="592"/>
      <c r="R134" s="592"/>
      <c r="S134" s="592"/>
      <c r="T134" s="592"/>
      <c r="U134" s="12"/>
      <c r="V134" s="12"/>
      <c r="W134" s="12"/>
      <c r="X134" s="12"/>
      <c r="Y134" s="12"/>
      <c r="Z134" s="12"/>
      <c r="AA134" s="12"/>
      <c r="AB134" s="12"/>
      <c r="AC134" s="12"/>
    </row>
    <row r="135" spans="1:29" ht="12.75" customHeight="1">
      <c r="A135" s="12"/>
      <c r="B135" s="12"/>
      <c r="C135" s="12"/>
      <c r="D135" s="12"/>
      <c r="E135" s="12"/>
      <c r="F135" s="12"/>
      <c r="G135" s="12"/>
      <c r="H135" s="592"/>
      <c r="I135" s="592"/>
      <c r="J135" s="592"/>
      <c r="K135" s="592"/>
      <c r="L135" s="592"/>
      <c r="M135" s="592"/>
      <c r="N135" s="592"/>
      <c r="O135" s="592"/>
      <c r="P135" s="592"/>
      <c r="Q135" s="592"/>
      <c r="R135" s="592"/>
      <c r="S135" s="592"/>
      <c r="T135" s="592"/>
      <c r="U135" s="12"/>
      <c r="V135" s="12"/>
      <c r="W135" s="12"/>
      <c r="X135" s="12"/>
      <c r="Y135" s="12"/>
      <c r="Z135" s="12"/>
      <c r="AA135" s="12"/>
      <c r="AB135" s="12"/>
      <c r="AC135" s="12"/>
    </row>
    <row r="136" spans="1:29" ht="12.75" customHeight="1">
      <c r="A136" s="12"/>
      <c r="B136" s="12"/>
      <c r="C136" s="12"/>
      <c r="D136" s="12"/>
      <c r="E136" s="12"/>
      <c r="F136" s="12"/>
      <c r="G136" s="12"/>
      <c r="H136" s="592"/>
      <c r="I136" s="592"/>
      <c r="J136" s="592"/>
      <c r="K136" s="592"/>
      <c r="L136" s="592"/>
      <c r="M136" s="592"/>
      <c r="N136" s="592"/>
      <c r="O136" s="592"/>
      <c r="P136" s="592"/>
      <c r="Q136" s="592"/>
      <c r="R136" s="592"/>
      <c r="S136" s="592"/>
      <c r="T136" s="592"/>
      <c r="U136" s="12"/>
      <c r="V136" s="12"/>
      <c r="W136" s="12"/>
      <c r="X136" s="12"/>
      <c r="Y136" s="12"/>
      <c r="Z136" s="12"/>
      <c r="AA136" s="12"/>
      <c r="AB136" s="12"/>
      <c r="AC136" s="12"/>
    </row>
    <row r="137" spans="1:29" ht="12.75" customHeight="1">
      <c r="A137" s="12"/>
      <c r="B137" s="12"/>
      <c r="C137" s="12"/>
      <c r="D137" s="12"/>
      <c r="E137" s="12"/>
      <c r="F137" s="12"/>
      <c r="G137" s="12"/>
      <c r="H137" s="592"/>
      <c r="I137" s="592"/>
      <c r="J137" s="592"/>
      <c r="K137" s="592"/>
      <c r="L137" s="592"/>
      <c r="M137" s="592"/>
      <c r="N137" s="592"/>
      <c r="O137" s="592"/>
      <c r="P137" s="592"/>
      <c r="Q137" s="592"/>
      <c r="R137" s="592"/>
      <c r="S137" s="592"/>
      <c r="T137" s="592"/>
      <c r="U137" s="12"/>
      <c r="V137" s="12"/>
      <c r="W137" s="12"/>
      <c r="X137" s="12"/>
      <c r="Y137" s="12"/>
      <c r="Z137" s="12"/>
      <c r="AA137" s="12"/>
      <c r="AB137" s="12"/>
      <c r="AC137" s="12"/>
    </row>
    <row r="138" spans="1:29" ht="12.75" customHeight="1">
      <c r="A138" s="12"/>
      <c r="B138" s="12"/>
      <c r="C138" s="12"/>
      <c r="D138" s="12"/>
      <c r="E138" s="12"/>
      <c r="F138" s="12"/>
      <c r="G138" s="12"/>
      <c r="H138" s="592"/>
      <c r="I138" s="592"/>
      <c r="J138" s="592"/>
      <c r="K138" s="592"/>
      <c r="L138" s="592"/>
      <c r="M138" s="592"/>
      <c r="N138" s="592"/>
      <c r="O138" s="592"/>
      <c r="P138" s="592"/>
      <c r="Q138" s="592"/>
      <c r="R138" s="592"/>
      <c r="S138" s="592"/>
      <c r="T138" s="592"/>
      <c r="U138" s="12"/>
      <c r="V138" s="12"/>
      <c r="W138" s="12"/>
      <c r="X138" s="12"/>
      <c r="Y138" s="12"/>
      <c r="Z138" s="12"/>
      <c r="AA138" s="12"/>
      <c r="AB138" s="12"/>
      <c r="AC138" s="12"/>
    </row>
    <row r="139" spans="1:29" ht="12.75" customHeight="1">
      <c r="A139" s="12"/>
      <c r="B139" s="12"/>
      <c r="C139" s="12"/>
      <c r="D139" s="12"/>
      <c r="E139" s="12"/>
      <c r="F139" s="12"/>
      <c r="G139" s="12"/>
      <c r="H139" s="592"/>
      <c r="I139" s="592"/>
      <c r="J139" s="592"/>
      <c r="K139" s="592"/>
      <c r="L139" s="592"/>
      <c r="M139" s="592"/>
      <c r="N139" s="592"/>
      <c r="O139" s="592"/>
      <c r="P139" s="592"/>
      <c r="Q139" s="592"/>
      <c r="R139" s="592"/>
      <c r="S139" s="592"/>
      <c r="T139" s="592"/>
      <c r="U139" s="12"/>
      <c r="V139" s="12"/>
      <c r="W139" s="12"/>
      <c r="X139" s="12"/>
      <c r="Y139" s="12"/>
      <c r="Z139" s="12"/>
      <c r="AA139" s="12"/>
      <c r="AB139" s="12"/>
      <c r="AC139" s="12"/>
    </row>
    <row r="140" spans="1:29" ht="12.75" customHeight="1">
      <c r="A140" s="12"/>
      <c r="B140" s="12"/>
      <c r="C140" s="12"/>
      <c r="D140" s="12"/>
      <c r="E140" s="12"/>
      <c r="F140" s="12"/>
      <c r="G140" s="12"/>
      <c r="H140" s="592"/>
      <c r="I140" s="592"/>
      <c r="J140" s="592"/>
      <c r="K140" s="592"/>
      <c r="L140" s="592"/>
      <c r="M140" s="592"/>
      <c r="N140" s="592"/>
      <c r="O140" s="592"/>
      <c r="P140" s="592"/>
      <c r="Q140" s="592"/>
      <c r="R140" s="592"/>
      <c r="S140" s="592"/>
      <c r="T140" s="592"/>
      <c r="U140" s="12"/>
      <c r="V140" s="12"/>
      <c r="W140" s="12"/>
      <c r="X140" s="12"/>
      <c r="Y140" s="12"/>
      <c r="Z140" s="12"/>
      <c r="AA140" s="12"/>
      <c r="AB140" s="12"/>
      <c r="AC140" s="12"/>
    </row>
    <row r="141" spans="1:29" ht="12.75" customHeight="1">
      <c r="A141" s="12"/>
      <c r="B141" s="12"/>
      <c r="C141" s="12"/>
      <c r="D141" s="12"/>
      <c r="E141" s="12"/>
      <c r="F141" s="12"/>
      <c r="G141" s="12"/>
      <c r="H141" s="592"/>
      <c r="I141" s="592"/>
      <c r="J141" s="592"/>
      <c r="K141" s="592"/>
      <c r="L141" s="592"/>
      <c r="M141" s="592"/>
      <c r="N141" s="592"/>
      <c r="O141" s="592"/>
      <c r="P141" s="592"/>
      <c r="Q141" s="592"/>
      <c r="R141" s="592"/>
      <c r="S141" s="592"/>
      <c r="T141" s="592"/>
      <c r="U141" s="12"/>
      <c r="V141" s="12"/>
      <c r="W141" s="12"/>
      <c r="X141" s="12"/>
      <c r="Y141" s="12"/>
      <c r="Z141" s="12"/>
      <c r="AA141" s="12"/>
      <c r="AB141" s="12"/>
      <c r="AC141" s="12"/>
    </row>
    <row r="142" spans="1:29" ht="12.75" customHeight="1">
      <c r="A142" s="12"/>
      <c r="B142" s="12"/>
      <c r="C142" s="12"/>
      <c r="D142" s="12"/>
      <c r="E142" s="12"/>
      <c r="F142" s="12"/>
      <c r="G142" s="12"/>
      <c r="H142" s="592"/>
      <c r="I142" s="592"/>
      <c r="J142" s="592"/>
      <c r="K142" s="592"/>
      <c r="L142" s="592"/>
      <c r="M142" s="592"/>
      <c r="N142" s="592"/>
      <c r="O142" s="592"/>
      <c r="P142" s="592"/>
      <c r="Q142" s="592"/>
      <c r="R142" s="592"/>
      <c r="S142" s="592"/>
      <c r="T142" s="592"/>
      <c r="U142" s="12"/>
      <c r="V142" s="12"/>
      <c r="W142" s="12"/>
      <c r="X142" s="12"/>
      <c r="Y142" s="12"/>
      <c r="Z142" s="12"/>
      <c r="AA142" s="12"/>
      <c r="AB142" s="12"/>
      <c r="AC142" s="12"/>
    </row>
    <row r="143" spans="1:29" ht="12.75" customHeight="1">
      <c r="A143" s="12"/>
      <c r="B143" s="12"/>
      <c r="C143" s="12"/>
      <c r="D143" s="12"/>
      <c r="E143" s="12"/>
      <c r="F143" s="12"/>
      <c r="G143" s="12"/>
      <c r="H143" s="592"/>
      <c r="I143" s="592"/>
      <c r="J143" s="592"/>
      <c r="K143" s="592"/>
      <c r="L143" s="592"/>
      <c r="M143" s="592"/>
      <c r="N143" s="592"/>
      <c r="O143" s="592"/>
      <c r="P143" s="592"/>
      <c r="Q143" s="592"/>
      <c r="R143" s="592"/>
      <c r="S143" s="592"/>
      <c r="T143" s="592"/>
      <c r="U143" s="12"/>
      <c r="V143" s="12"/>
      <c r="W143" s="12"/>
      <c r="X143" s="12"/>
      <c r="Y143" s="12"/>
      <c r="Z143" s="12"/>
      <c r="AA143" s="12"/>
      <c r="AB143" s="12"/>
      <c r="AC143" s="12"/>
    </row>
    <row r="144" spans="1:29" ht="12.75" customHeight="1">
      <c r="A144" s="12"/>
      <c r="B144" s="12"/>
      <c r="C144" s="12"/>
      <c r="D144" s="12"/>
      <c r="E144" s="12"/>
      <c r="F144" s="12"/>
      <c r="G144" s="12"/>
      <c r="H144" s="592"/>
      <c r="I144" s="592"/>
      <c r="J144" s="592"/>
      <c r="K144" s="592"/>
      <c r="L144" s="592"/>
      <c r="M144" s="592"/>
      <c r="N144" s="592"/>
      <c r="O144" s="592"/>
      <c r="P144" s="592"/>
      <c r="Q144" s="592"/>
      <c r="R144" s="592"/>
      <c r="S144" s="592"/>
      <c r="T144" s="592"/>
      <c r="U144" s="12"/>
      <c r="V144" s="12"/>
      <c r="W144" s="12"/>
      <c r="X144" s="12"/>
      <c r="Y144" s="12"/>
      <c r="Z144" s="12"/>
      <c r="AA144" s="12"/>
      <c r="AB144" s="12"/>
      <c r="AC144" s="12"/>
    </row>
    <row r="145" spans="1:29" ht="12.75" customHeight="1">
      <c r="A145" s="12"/>
      <c r="B145" s="12"/>
      <c r="C145" s="12"/>
      <c r="D145" s="12"/>
      <c r="E145" s="12"/>
      <c r="F145" s="12"/>
      <c r="G145" s="12"/>
      <c r="H145" s="592"/>
      <c r="I145" s="592"/>
      <c r="J145" s="592"/>
      <c r="K145" s="592"/>
      <c r="L145" s="592"/>
      <c r="M145" s="592"/>
      <c r="N145" s="592"/>
      <c r="O145" s="592"/>
      <c r="P145" s="592"/>
      <c r="Q145" s="592"/>
      <c r="R145" s="592"/>
      <c r="S145" s="592"/>
      <c r="T145" s="592"/>
      <c r="U145" s="12"/>
      <c r="V145" s="12"/>
      <c r="W145" s="12"/>
      <c r="X145" s="12"/>
      <c r="Y145" s="12"/>
      <c r="Z145" s="12"/>
      <c r="AA145" s="12"/>
      <c r="AB145" s="12"/>
      <c r="AC145" s="12"/>
    </row>
    <row r="146" spans="1:29" ht="12.75" customHeight="1">
      <c r="A146" s="12"/>
      <c r="B146" s="12"/>
      <c r="C146" s="12"/>
      <c r="D146" s="12"/>
      <c r="E146" s="12"/>
      <c r="F146" s="12"/>
      <c r="G146" s="12"/>
      <c r="H146" s="592"/>
      <c r="I146" s="592"/>
      <c r="J146" s="592"/>
      <c r="K146" s="592"/>
      <c r="L146" s="592"/>
      <c r="M146" s="592"/>
      <c r="N146" s="592"/>
      <c r="O146" s="592"/>
      <c r="P146" s="592"/>
      <c r="Q146" s="592"/>
      <c r="R146" s="592"/>
      <c r="S146" s="592"/>
      <c r="T146" s="592"/>
      <c r="U146" s="12"/>
      <c r="V146" s="12"/>
      <c r="W146" s="12"/>
      <c r="X146" s="12"/>
      <c r="Y146" s="12"/>
      <c r="Z146" s="12"/>
      <c r="AA146" s="12"/>
      <c r="AB146" s="12"/>
      <c r="AC146" s="12"/>
    </row>
    <row r="147" spans="1:29" ht="12.75" customHeight="1">
      <c r="A147" s="12"/>
      <c r="B147" s="12"/>
      <c r="C147" s="12"/>
      <c r="D147" s="12"/>
      <c r="E147" s="12"/>
      <c r="F147" s="12"/>
      <c r="G147" s="12"/>
      <c r="H147" s="592"/>
      <c r="I147" s="592"/>
      <c r="J147" s="592"/>
      <c r="K147" s="592"/>
      <c r="L147" s="592"/>
      <c r="M147" s="592"/>
      <c r="N147" s="592"/>
      <c r="O147" s="592"/>
      <c r="P147" s="592"/>
      <c r="Q147" s="592"/>
      <c r="R147" s="592"/>
      <c r="S147" s="592"/>
      <c r="T147" s="592"/>
      <c r="U147" s="12"/>
      <c r="V147" s="12"/>
      <c r="W147" s="12"/>
      <c r="X147" s="12"/>
      <c r="Y147" s="12"/>
      <c r="Z147" s="12"/>
      <c r="AA147" s="12"/>
      <c r="AB147" s="12"/>
      <c r="AC147" s="12"/>
    </row>
    <row r="148" spans="1:29" ht="12.75" customHeight="1">
      <c r="A148" s="12"/>
      <c r="B148" s="12"/>
      <c r="C148" s="12"/>
      <c r="D148" s="12"/>
      <c r="E148" s="12"/>
      <c r="F148" s="12"/>
      <c r="G148" s="12"/>
      <c r="H148" s="592"/>
      <c r="I148" s="592"/>
      <c r="J148" s="592"/>
      <c r="K148" s="592"/>
      <c r="L148" s="592"/>
      <c r="M148" s="592"/>
      <c r="N148" s="592"/>
      <c r="O148" s="592"/>
      <c r="P148" s="592"/>
      <c r="Q148" s="592"/>
      <c r="R148" s="592"/>
      <c r="S148" s="592"/>
      <c r="T148" s="592"/>
      <c r="U148" s="12"/>
      <c r="V148" s="12"/>
      <c r="W148" s="12"/>
      <c r="X148" s="12"/>
      <c r="Y148" s="12"/>
      <c r="Z148" s="12"/>
      <c r="AA148" s="12"/>
      <c r="AB148" s="12"/>
      <c r="AC148" s="12"/>
    </row>
    <row r="149" spans="1:29" ht="12.75" customHeight="1">
      <c r="A149" s="12"/>
      <c r="B149" s="12"/>
      <c r="C149" s="12"/>
      <c r="D149" s="12"/>
      <c r="E149" s="12"/>
      <c r="F149" s="12"/>
      <c r="G149" s="12"/>
      <c r="H149" s="592"/>
      <c r="I149" s="592"/>
      <c r="J149" s="592"/>
      <c r="K149" s="592"/>
      <c r="L149" s="592"/>
      <c r="M149" s="592"/>
      <c r="N149" s="592"/>
      <c r="O149" s="592"/>
      <c r="P149" s="592"/>
      <c r="Q149" s="592"/>
      <c r="R149" s="592"/>
      <c r="S149" s="592"/>
      <c r="T149" s="592"/>
      <c r="U149" s="12"/>
      <c r="V149" s="12"/>
      <c r="W149" s="12"/>
      <c r="X149" s="12"/>
      <c r="Y149" s="12"/>
      <c r="Z149" s="12"/>
      <c r="AA149" s="12"/>
      <c r="AB149" s="12"/>
      <c r="AC149" s="12"/>
    </row>
    <row r="150" spans="1:29" ht="12.75" customHeight="1">
      <c r="A150" s="12"/>
      <c r="B150" s="12"/>
      <c r="C150" s="12"/>
      <c r="D150" s="12"/>
      <c r="E150" s="12"/>
      <c r="F150" s="12"/>
      <c r="G150" s="12"/>
      <c r="H150" s="592"/>
      <c r="I150" s="592"/>
      <c r="J150" s="592"/>
      <c r="K150" s="592"/>
      <c r="L150" s="592"/>
      <c r="M150" s="592"/>
      <c r="N150" s="592"/>
      <c r="O150" s="592"/>
      <c r="P150" s="592"/>
      <c r="Q150" s="592"/>
      <c r="R150" s="592"/>
      <c r="S150" s="592"/>
      <c r="T150" s="592"/>
      <c r="U150" s="12"/>
      <c r="V150" s="12"/>
      <c r="W150" s="12"/>
      <c r="X150" s="12"/>
      <c r="Y150" s="12"/>
      <c r="Z150" s="12"/>
      <c r="AA150" s="12"/>
      <c r="AB150" s="12"/>
      <c r="AC150" s="12"/>
    </row>
    <row r="151" spans="1:29" ht="12.75" customHeight="1">
      <c r="A151" s="12"/>
      <c r="B151" s="12"/>
      <c r="C151" s="12"/>
      <c r="D151" s="12"/>
      <c r="E151" s="12"/>
      <c r="F151" s="12"/>
      <c r="G151" s="12"/>
      <c r="H151" s="592"/>
      <c r="I151" s="592"/>
      <c r="J151" s="592"/>
      <c r="K151" s="592"/>
      <c r="L151" s="592"/>
      <c r="M151" s="592"/>
      <c r="N151" s="592"/>
      <c r="O151" s="592"/>
      <c r="P151" s="592"/>
      <c r="Q151" s="592"/>
      <c r="R151" s="592"/>
      <c r="S151" s="592"/>
      <c r="T151" s="592"/>
      <c r="U151" s="12"/>
      <c r="V151" s="12"/>
      <c r="W151" s="12"/>
      <c r="X151" s="12"/>
      <c r="Y151" s="12"/>
      <c r="Z151" s="12"/>
      <c r="AA151" s="12"/>
      <c r="AB151" s="12"/>
      <c r="AC151" s="12"/>
    </row>
    <row r="152" spans="1:29" ht="12.75" customHeight="1">
      <c r="A152" s="12"/>
      <c r="B152" s="12"/>
      <c r="C152" s="12"/>
      <c r="D152" s="12"/>
      <c r="E152" s="12"/>
      <c r="F152" s="12"/>
      <c r="G152" s="12"/>
      <c r="H152" s="592"/>
      <c r="I152" s="592"/>
      <c r="J152" s="592"/>
      <c r="K152" s="592"/>
      <c r="L152" s="592"/>
      <c r="M152" s="592"/>
      <c r="N152" s="592"/>
      <c r="O152" s="592"/>
      <c r="P152" s="592"/>
      <c r="Q152" s="592"/>
      <c r="R152" s="592"/>
      <c r="S152" s="592"/>
      <c r="T152" s="592"/>
      <c r="U152" s="12"/>
      <c r="V152" s="12"/>
      <c r="W152" s="12"/>
      <c r="X152" s="12"/>
      <c r="Y152" s="12"/>
      <c r="Z152" s="12"/>
      <c r="AA152" s="12"/>
      <c r="AB152" s="12"/>
      <c r="AC152" s="12"/>
    </row>
    <row r="153" spans="1:29" ht="12.75" customHeight="1">
      <c r="A153" s="12"/>
      <c r="B153" s="12"/>
      <c r="C153" s="12"/>
      <c r="D153" s="12"/>
      <c r="E153" s="12"/>
      <c r="F153" s="12"/>
      <c r="G153" s="12"/>
      <c r="H153" s="592"/>
      <c r="I153" s="592"/>
      <c r="J153" s="592"/>
      <c r="K153" s="592"/>
      <c r="L153" s="592"/>
      <c r="M153" s="592"/>
      <c r="N153" s="592"/>
      <c r="O153" s="592"/>
      <c r="P153" s="592"/>
      <c r="Q153" s="592"/>
      <c r="R153" s="592"/>
      <c r="S153" s="592"/>
      <c r="T153" s="592"/>
      <c r="U153" s="12"/>
      <c r="V153" s="12"/>
      <c r="W153" s="12"/>
      <c r="X153" s="12"/>
      <c r="Y153" s="12"/>
      <c r="Z153" s="12"/>
      <c r="AA153" s="12"/>
      <c r="AB153" s="12"/>
      <c r="AC153" s="12"/>
    </row>
    <row r="154" spans="1:29" ht="12.75" customHeight="1">
      <c r="A154" s="12"/>
      <c r="B154" s="12"/>
      <c r="C154" s="12"/>
      <c r="D154" s="12"/>
      <c r="E154" s="12"/>
      <c r="F154" s="12"/>
      <c r="G154" s="12"/>
      <c r="H154" s="592"/>
      <c r="I154" s="592"/>
      <c r="J154" s="592"/>
      <c r="K154" s="592"/>
      <c r="L154" s="592"/>
      <c r="M154" s="592"/>
      <c r="N154" s="592"/>
      <c r="O154" s="592"/>
      <c r="P154" s="592"/>
      <c r="Q154" s="592"/>
      <c r="R154" s="592"/>
      <c r="S154" s="592"/>
      <c r="T154" s="592"/>
      <c r="U154" s="12"/>
      <c r="V154" s="12"/>
      <c r="W154" s="12"/>
      <c r="X154" s="12"/>
      <c r="Y154" s="12"/>
      <c r="Z154" s="12"/>
      <c r="AA154" s="12"/>
      <c r="AB154" s="12"/>
      <c r="AC154" s="12"/>
    </row>
    <row r="155" spans="1:29" ht="12.75" customHeight="1">
      <c r="A155" s="12"/>
      <c r="B155" s="12"/>
      <c r="C155" s="12"/>
      <c r="D155" s="12"/>
      <c r="E155" s="12"/>
      <c r="F155" s="12"/>
      <c r="G155" s="12"/>
      <c r="H155" s="592"/>
      <c r="I155" s="592"/>
      <c r="J155" s="592"/>
      <c r="K155" s="592"/>
      <c r="L155" s="592"/>
      <c r="M155" s="592"/>
      <c r="N155" s="592"/>
      <c r="O155" s="592"/>
      <c r="P155" s="592"/>
      <c r="Q155" s="592"/>
      <c r="R155" s="592"/>
      <c r="S155" s="592"/>
      <c r="T155" s="592"/>
      <c r="U155" s="12"/>
      <c r="V155" s="12"/>
      <c r="W155" s="12"/>
      <c r="X155" s="12"/>
      <c r="Y155" s="12"/>
      <c r="Z155" s="12"/>
      <c r="AA155" s="12"/>
      <c r="AB155" s="12"/>
      <c r="AC155" s="12"/>
    </row>
    <row r="156" spans="1:29" ht="12.75" customHeight="1">
      <c r="A156" s="12"/>
      <c r="B156" s="12"/>
      <c r="C156" s="12"/>
      <c r="D156" s="12"/>
      <c r="E156" s="12"/>
      <c r="F156" s="12"/>
      <c r="G156" s="12"/>
      <c r="H156" s="592"/>
      <c r="I156" s="592"/>
      <c r="J156" s="592"/>
      <c r="K156" s="592"/>
      <c r="L156" s="592"/>
      <c r="M156" s="592"/>
      <c r="N156" s="592"/>
      <c r="O156" s="592"/>
      <c r="P156" s="592"/>
      <c r="Q156" s="592"/>
      <c r="R156" s="592"/>
      <c r="S156" s="592"/>
      <c r="T156" s="592"/>
      <c r="U156" s="12"/>
      <c r="V156" s="12"/>
      <c r="W156" s="12"/>
      <c r="X156" s="12"/>
      <c r="Y156" s="12"/>
      <c r="Z156" s="12"/>
      <c r="AA156" s="12"/>
      <c r="AB156" s="12"/>
      <c r="AC156" s="12"/>
    </row>
    <row r="157" spans="1:29" ht="12.75" customHeight="1">
      <c r="A157" s="12"/>
      <c r="B157" s="12"/>
      <c r="C157" s="12"/>
      <c r="D157" s="12"/>
      <c r="E157" s="12"/>
      <c r="F157" s="12"/>
      <c r="G157" s="12"/>
      <c r="H157" s="592"/>
      <c r="I157" s="592"/>
      <c r="J157" s="592"/>
      <c r="K157" s="592"/>
      <c r="L157" s="592"/>
      <c r="M157" s="592"/>
      <c r="N157" s="592"/>
      <c r="O157" s="592"/>
      <c r="P157" s="592"/>
      <c r="Q157" s="592"/>
      <c r="R157" s="592"/>
      <c r="S157" s="592"/>
      <c r="T157" s="592"/>
      <c r="U157" s="12"/>
      <c r="V157" s="12"/>
      <c r="W157" s="12"/>
      <c r="X157" s="12"/>
      <c r="Y157" s="12"/>
      <c r="Z157" s="12"/>
      <c r="AA157" s="12"/>
      <c r="AB157" s="12"/>
      <c r="AC157" s="12"/>
    </row>
    <row r="158" spans="1:29" ht="12.75" customHeight="1">
      <c r="A158" s="12"/>
      <c r="B158" s="12"/>
      <c r="C158" s="12"/>
      <c r="D158" s="12"/>
      <c r="E158" s="12"/>
      <c r="F158" s="12"/>
      <c r="G158" s="12"/>
      <c r="H158" s="592"/>
      <c r="I158" s="592"/>
      <c r="J158" s="592"/>
      <c r="K158" s="592"/>
      <c r="L158" s="592"/>
      <c r="M158" s="592"/>
      <c r="N158" s="592"/>
      <c r="O158" s="592"/>
      <c r="P158" s="592"/>
      <c r="Q158" s="592"/>
      <c r="R158" s="592"/>
      <c r="S158" s="592"/>
      <c r="T158" s="592"/>
      <c r="U158" s="12"/>
      <c r="V158" s="12"/>
      <c r="W158" s="12"/>
      <c r="X158" s="12"/>
      <c r="Y158" s="12"/>
      <c r="Z158" s="12"/>
      <c r="AA158" s="12"/>
      <c r="AB158" s="12"/>
      <c r="AC158" s="12"/>
    </row>
    <row r="159" spans="1:29" ht="12.75" customHeight="1">
      <c r="A159" s="12"/>
      <c r="B159" s="12"/>
      <c r="C159" s="12"/>
      <c r="D159" s="12"/>
      <c r="E159" s="12"/>
      <c r="F159" s="12"/>
      <c r="G159" s="12"/>
      <c r="H159" s="592"/>
      <c r="I159" s="592"/>
      <c r="J159" s="592"/>
      <c r="K159" s="592"/>
      <c r="L159" s="592"/>
      <c r="M159" s="592"/>
      <c r="N159" s="592"/>
      <c r="O159" s="592"/>
      <c r="P159" s="592"/>
      <c r="Q159" s="592"/>
      <c r="R159" s="592"/>
      <c r="S159" s="592"/>
      <c r="T159" s="592"/>
      <c r="U159" s="12"/>
      <c r="V159" s="12"/>
      <c r="W159" s="12"/>
      <c r="X159" s="12"/>
      <c r="Y159" s="12"/>
      <c r="Z159" s="12"/>
      <c r="AA159" s="12"/>
      <c r="AB159" s="12"/>
      <c r="AC159" s="12"/>
    </row>
    <row r="160" spans="1:29" ht="12.75" customHeight="1">
      <c r="A160" s="12"/>
      <c r="B160" s="12"/>
      <c r="C160" s="12"/>
      <c r="D160" s="12"/>
      <c r="E160" s="12"/>
      <c r="F160" s="12"/>
      <c r="G160" s="12"/>
      <c r="H160" s="592"/>
      <c r="I160" s="592"/>
      <c r="J160" s="592"/>
      <c r="K160" s="592"/>
      <c r="L160" s="592"/>
      <c r="M160" s="592"/>
      <c r="N160" s="592"/>
      <c r="O160" s="592"/>
      <c r="P160" s="592"/>
      <c r="Q160" s="592"/>
      <c r="R160" s="592"/>
      <c r="S160" s="592"/>
      <c r="T160" s="592"/>
      <c r="U160" s="12"/>
      <c r="V160" s="12"/>
      <c r="W160" s="12"/>
      <c r="X160" s="12"/>
      <c r="Y160" s="12"/>
      <c r="Z160" s="12"/>
      <c r="AA160" s="12"/>
      <c r="AB160" s="12"/>
      <c r="AC160" s="12"/>
    </row>
    <row r="161" spans="1:29" ht="12.75" customHeight="1">
      <c r="A161" s="12"/>
      <c r="B161" s="12"/>
      <c r="C161" s="12"/>
      <c r="D161" s="12"/>
      <c r="E161" s="12"/>
      <c r="F161" s="12"/>
      <c r="G161" s="12"/>
      <c r="H161" s="592"/>
      <c r="I161" s="592"/>
      <c r="J161" s="592"/>
      <c r="K161" s="592"/>
      <c r="L161" s="592"/>
      <c r="M161" s="592"/>
      <c r="N161" s="592"/>
      <c r="O161" s="592"/>
      <c r="P161" s="592"/>
      <c r="Q161" s="592"/>
      <c r="R161" s="592"/>
      <c r="S161" s="592"/>
      <c r="T161" s="592"/>
      <c r="U161" s="12"/>
      <c r="V161" s="12"/>
      <c r="W161" s="12"/>
      <c r="X161" s="12"/>
      <c r="Y161" s="12"/>
      <c r="Z161" s="12"/>
      <c r="AA161" s="12"/>
      <c r="AB161" s="12"/>
      <c r="AC161" s="12"/>
    </row>
    <row r="162" spans="1:29" ht="12.75" customHeight="1">
      <c r="A162" s="12"/>
      <c r="B162" s="12"/>
      <c r="C162" s="12"/>
      <c r="D162" s="12"/>
      <c r="E162" s="12"/>
      <c r="F162" s="12"/>
      <c r="G162" s="12"/>
      <c r="H162" s="592"/>
      <c r="I162" s="592"/>
      <c r="J162" s="592"/>
      <c r="K162" s="592"/>
      <c r="L162" s="592"/>
      <c r="M162" s="592"/>
      <c r="N162" s="592"/>
      <c r="O162" s="592"/>
      <c r="P162" s="592"/>
      <c r="Q162" s="592"/>
      <c r="R162" s="592"/>
      <c r="S162" s="592"/>
      <c r="T162" s="592"/>
      <c r="U162" s="12"/>
      <c r="V162" s="12"/>
      <c r="W162" s="12"/>
      <c r="X162" s="12"/>
      <c r="Y162" s="12"/>
      <c r="Z162" s="12"/>
      <c r="AA162" s="12"/>
      <c r="AB162" s="12"/>
      <c r="AC162" s="12"/>
    </row>
    <row r="163" spans="1:29" ht="12.75" customHeight="1">
      <c r="A163" s="12"/>
      <c r="B163" s="12"/>
      <c r="C163" s="12"/>
      <c r="D163" s="12"/>
      <c r="E163" s="12"/>
      <c r="F163" s="12"/>
      <c r="G163" s="12"/>
      <c r="H163" s="592"/>
      <c r="I163" s="592"/>
      <c r="J163" s="592"/>
      <c r="K163" s="592"/>
      <c r="L163" s="592"/>
      <c r="M163" s="592"/>
      <c r="N163" s="592"/>
      <c r="O163" s="592"/>
      <c r="P163" s="592"/>
      <c r="Q163" s="592"/>
      <c r="R163" s="592"/>
      <c r="S163" s="592"/>
      <c r="T163" s="592"/>
      <c r="U163" s="12"/>
      <c r="V163" s="12"/>
      <c r="W163" s="12"/>
      <c r="X163" s="12"/>
      <c r="Y163" s="12"/>
      <c r="Z163" s="12"/>
      <c r="AA163" s="12"/>
      <c r="AB163" s="12"/>
      <c r="AC163" s="12"/>
    </row>
    <row r="164" spans="1:29" ht="12.75" customHeight="1">
      <c r="A164" s="12"/>
      <c r="B164" s="12"/>
      <c r="C164" s="12"/>
      <c r="D164" s="12"/>
      <c r="E164" s="12"/>
      <c r="F164" s="12"/>
      <c r="G164" s="12"/>
      <c r="H164" s="592"/>
      <c r="I164" s="592"/>
      <c r="J164" s="592"/>
      <c r="K164" s="592"/>
      <c r="L164" s="592"/>
      <c r="M164" s="592"/>
      <c r="N164" s="592"/>
      <c r="O164" s="592"/>
      <c r="P164" s="592"/>
      <c r="Q164" s="592"/>
      <c r="R164" s="592"/>
      <c r="S164" s="592"/>
      <c r="T164" s="592"/>
      <c r="U164" s="12"/>
      <c r="V164" s="12"/>
      <c r="W164" s="12"/>
      <c r="X164" s="12"/>
      <c r="Y164" s="12"/>
      <c r="Z164" s="12"/>
      <c r="AA164" s="12"/>
      <c r="AB164" s="12"/>
      <c r="AC164" s="12"/>
    </row>
    <row r="165" spans="1:29" ht="12.75" customHeight="1">
      <c r="A165" s="12"/>
      <c r="B165" s="12"/>
      <c r="C165" s="12"/>
      <c r="D165" s="12"/>
      <c r="E165" s="12"/>
      <c r="F165" s="12"/>
      <c r="G165" s="12"/>
      <c r="H165" s="592"/>
      <c r="I165" s="592"/>
      <c r="J165" s="592"/>
      <c r="K165" s="592"/>
      <c r="L165" s="592"/>
      <c r="M165" s="592"/>
      <c r="N165" s="592"/>
      <c r="O165" s="592"/>
      <c r="P165" s="592"/>
      <c r="Q165" s="592"/>
      <c r="R165" s="592"/>
      <c r="S165" s="592"/>
      <c r="T165" s="592"/>
      <c r="U165" s="12"/>
      <c r="V165" s="12"/>
      <c r="W165" s="12"/>
      <c r="X165" s="12"/>
      <c r="Y165" s="12"/>
      <c r="Z165" s="12"/>
      <c r="AA165" s="12"/>
      <c r="AB165" s="12"/>
      <c r="AC165" s="12"/>
    </row>
    <row r="166" spans="1:29" ht="12.75" customHeight="1">
      <c r="A166" s="12"/>
      <c r="B166" s="12"/>
      <c r="C166" s="12"/>
      <c r="D166" s="12"/>
      <c r="E166" s="12"/>
      <c r="F166" s="12"/>
      <c r="G166" s="12"/>
      <c r="H166" s="592"/>
      <c r="I166" s="592"/>
      <c r="J166" s="592"/>
      <c r="K166" s="592"/>
      <c r="L166" s="592"/>
      <c r="M166" s="592"/>
      <c r="N166" s="592"/>
      <c r="O166" s="592"/>
      <c r="P166" s="592"/>
      <c r="Q166" s="592"/>
      <c r="R166" s="592"/>
      <c r="S166" s="592"/>
      <c r="T166" s="592"/>
      <c r="U166" s="12"/>
      <c r="V166" s="12"/>
      <c r="W166" s="12"/>
      <c r="X166" s="12"/>
      <c r="Y166" s="12"/>
      <c r="Z166" s="12"/>
      <c r="AA166" s="12"/>
      <c r="AB166" s="12"/>
      <c r="AC166" s="12"/>
    </row>
    <row r="167" spans="1:29" ht="12.75" customHeight="1">
      <c r="A167" s="12"/>
      <c r="B167" s="12"/>
      <c r="C167" s="12"/>
      <c r="D167" s="12"/>
      <c r="E167" s="12"/>
      <c r="F167" s="12"/>
      <c r="G167" s="12"/>
      <c r="H167" s="592"/>
      <c r="I167" s="592"/>
      <c r="J167" s="592"/>
      <c r="K167" s="592"/>
      <c r="L167" s="592"/>
      <c r="M167" s="592"/>
      <c r="N167" s="592"/>
      <c r="O167" s="592"/>
      <c r="P167" s="592"/>
      <c r="Q167" s="592"/>
      <c r="R167" s="592"/>
      <c r="S167" s="592"/>
      <c r="T167" s="592"/>
      <c r="U167" s="12"/>
      <c r="V167" s="12"/>
      <c r="W167" s="12"/>
      <c r="X167" s="12"/>
      <c r="Y167" s="12"/>
      <c r="Z167" s="12"/>
      <c r="AA167" s="12"/>
      <c r="AB167" s="12"/>
      <c r="AC167" s="12"/>
    </row>
    <row r="168" spans="1:29" ht="12.75" customHeight="1">
      <c r="A168" s="12"/>
      <c r="B168" s="12"/>
      <c r="C168" s="12"/>
      <c r="D168" s="12"/>
      <c r="E168" s="12"/>
      <c r="F168" s="12"/>
      <c r="G168" s="12"/>
      <c r="H168" s="592"/>
      <c r="I168" s="592"/>
      <c r="J168" s="592"/>
      <c r="K168" s="592"/>
      <c r="L168" s="592"/>
      <c r="M168" s="592"/>
      <c r="N168" s="592"/>
      <c r="O168" s="592"/>
      <c r="P168" s="592"/>
      <c r="Q168" s="592"/>
      <c r="R168" s="592"/>
      <c r="S168" s="592"/>
      <c r="T168" s="592"/>
      <c r="U168" s="12"/>
      <c r="V168" s="12"/>
      <c r="W168" s="12"/>
      <c r="X168" s="12"/>
      <c r="Y168" s="12"/>
      <c r="Z168" s="12"/>
      <c r="AA168" s="12"/>
      <c r="AB168" s="12"/>
      <c r="AC168" s="12"/>
    </row>
    <row r="169" spans="1:29" ht="12.75" customHeight="1">
      <c r="A169" s="12"/>
      <c r="B169" s="12"/>
      <c r="C169" s="12"/>
      <c r="D169" s="12"/>
      <c r="E169" s="12"/>
      <c r="F169" s="12"/>
      <c r="G169" s="12"/>
      <c r="H169" s="592"/>
      <c r="I169" s="592"/>
      <c r="J169" s="592"/>
      <c r="K169" s="592"/>
      <c r="L169" s="592"/>
      <c r="M169" s="592"/>
      <c r="N169" s="592"/>
      <c r="O169" s="592"/>
      <c r="P169" s="592"/>
      <c r="Q169" s="592"/>
      <c r="R169" s="592"/>
      <c r="S169" s="592"/>
      <c r="T169" s="592"/>
      <c r="U169" s="12"/>
      <c r="V169" s="12"/>
      <c r="W169" s="12"/>
      <c r="X169" s="12"/>
      <c r="Y169" s="12"/>
      <c r="Z169" s="12"/>
      <c r="AA169" s="12"/>
      <c r="AB169" s="12"/>
      <c r="AC169" s="12"/>
    </row>
    <row r="170" spans="1:29" ht="12.75" customHeight="1">
      <c r="A170" s="12"/>
      <c r="B170" s="12"/>
      <c r="C170" s="12"/>
      <c r="D170" s="12"/>
      <c r="E170" s="12"/>
      <c r="F170" s="12"/>
      <c r="G170" s="12"/>
      <c r="H170" s="592"/>
      <c r="I170" s="592"/>
      <c r="J170" s="592"/>
      <c r="K170" s="592"/>
      <c r="L170" s="592"/>
      <c r="M170" s="592"/>
      <c r="N170" s="592"/>
      <c r="O170" s="592"/>
      <c r="P170" s="592"/>
      <c r="Q170" s="592"/>
      <c r="R170" s="592"/>
      <c r="S170" s="592"/>
      <c r="T170" s="592"/>
      <c r="U170" s="12"/>
      <c r="V170" s="12"/>
      <c r="W170" s="12"/>
      <c r="X170" s="12"/>
      <c r="Y170" s="12"/>
      <c r="Z170" s="12"/>
      <c r="AA170" s="12"/>
      <c r="AB170" s="12"/>
      <c r="AC170" s="12"/>
    </row>
    <row r="171" spans="1:29" ht="12.75" customHeight="1">
      <c r="A171" s="12"/>
      <c r="B171" s="12"/>
      <c r="C171" s="12"/>
      <c r="D171" s="12"/>
      <c r="E171" s="12"/>
      <c r="F171" s="12"/>
      <c r="G171" s="12"/>
      <c r="H171" s="592"/>
      <c r="I171" s="592"/>
      <c r="J171" s="592"/>
      <c r="K171" s="592"/>
      <c r="L171" s="592"/>
      <c r="M171" s="592"/>
      <c r="N171" s="592"/>
      <c r="O171" s="592"/>
      <c r="P171" s="592"/>
      <c r="Q171" s="592"/>
      <c r="R171" s="592"/>
      <c r="S171" s="592"/>
      <c r="T171" s="592"/>
      <c r="U171" s="12"/>
      <c r="V171" s="12"/>
      <c r="W171" s="12"/>
      <c r="X171" s="12"/>
      <c r="Y171" s="12"/>
      <c r="Z171" s="12"/>
      <c r="AA171" s="12"/>
      <c r="AB171" s="12"/>
      <c r="AC171" s="12"/>
    </row>
    <row r="172" spans="1:29" ht="12.75" customHeight="1">
      <c r="A172" s="12"/>
      <c r="B172" s="12"/>
      <c r="C172" s="12"/>
      <c r="D172" s="12"/>
      <c r="E172" s="12"/>
      <c r="F172" s="12"/>
      <c r="G172" s="12"/>
      <c r="H172" s="592"/>
      <c r="I172" s="592"/>
      <c r="J172" s="592"/>
      <c r="K172" s="592"/>
      <c r="L172" s="592"/>
      <c r="M172" s="592"/>
      <c r="N172" s="592"/>
      <c r="O172" s="592"/>
      <c r="P172" s="592"/>
      <c r="Q172" s="592"/>
      <c r="R172" s="592"/>
      <c r="S172" s="592"/>
      <c r="T172" s="592"/>
      <c r="U172" s="12"/>
      <c r="V172" s="12"/>
      <c r="W172" s="12"/>
      <c r="X172" s="12"/>
      <c r="Y172" s="12"/>
      <c r="Z172" s="12"/>
      <c r="AA172" s="12"/>
      <c r="AB172" s="12"/>
      <c r="AC172" s="12"/>
    </row>
    <row r="173" spans="1:29" ht="12.75" customHeight="1">
      <c r="A173" s="12"/>
      <c r="B173" s="12"/>
      <c r="C173" s="12"/>
      <c r="D173" s="12"/>
      <c r="E173" s="12"/>
      <c r="F173" s="12"/>
      <c r="G173" s="12"/>
      <c r="H173" s="592"/>
      <c r="I173" s="592"/>
      <c r="J173" s="592"/>
      <c r="K173" s="592"/>
      <c r="L173" s="592"/>
      <c r="M173" s="592"/>
      <c r="N173" s="592"/>
      <c r="O173" s="592"/>
      <c r="P173" s="592"/>
      <c r="Q173" s="592"/>
      <c r="R173" s="592"/>
      <c r="S173" s="592"/>
      <c r="T173" s="592"/>
      <c r="U173" s="12"/>
      <c r="V173" s="12"/>
      <c r="W173" s="12"/>
      <c r="X173" s="12"/>
      <c r="Y173" s="12"/>
      <c r="Z173" s="12"/>
      <c r="AA173" s="12"/>
      <c r="AB173" s="12"/>
      <c r="AC173" s="12"/>
    </row>
    <row r="174" spans="1:29" ht="12.75" customHeight="1">
      <c r="A174" s="12"/>
      <c r="B174" s="12"/>
      <c r="C174" s="12"/>
      <c r="D174" s="12"/>
      <c r="E174" s="12"/>
      <c r="F174" s="12"/>
      <c r="G174" s="12"/>
      <c r="H174" s="592"/>
      <c r="I174" s="592"/>
      <c r="J174" s="592"/>
      <c r="K174" s="592"/>
      <c r="L174" s="592"/>
      <c r="M174" s="592"/>
      <c r="N174" s="592"/>
      <c r="O174" s="592"/>
      <c r="P174" s="592"/>
      <c r="Q174" s="592"/>
      <c r="R174" s="592"/>
      <c r="S174" s="592"/>
      <c r="T174" s="592"/>
      <c r="U174" s="12"/>
      <c r="V174" s="12"/>
      <c r="W174" s="12"/>
      <c r="X174" s="12"/>
      <c r="Y174" s="12"/>
      <c r="Z174" s="12"/>
      <c r="AA174" s="12"/>
      <c r="AB174" s="12"/>
      <c r="AC174" s="12"/>
    </row>
    <row r="175" spans="1:29" ht="12.75" customHeight="1">
      <c r="A175" s="12"/>
      <c r="B175" s="12"/>
      <c r="C175" s="12"/>
      <c r="D175" s="12"/>
      <c r="E175" s="12"/>
      <c r="F175" s="12"/>
      <c r="G175" s="12"/>
      <c r="H175" s="592"/>
      <c r="I175" s="592"/>
      <c r="J175" s="592"/>
      <c r="K175" s="592"/>
      <c r="L175" s="592"/>
      <c r="M175" s="592"/>
      <c r="N175" s="592"/>
      <c r="O175" s="592"/>
      <c r="P175" s="592"/>
      <c r="Q175" s="592"/>
      <c r="R175" s="592"/>
      <c r="S175" s="592"/>
      <c r="T175" s="592"/>
      <c r="U175" s="12"/>
      <c r="V175" s="12"/>
      <c r="W175" s="12"/>
      <c r="X175" s="12"/>
      <c r="Y175" s="12"/>
      <c r="Z175" s="12"/>
      <c r="AA175" s="12"/>
      <c r="AB175" s="12"/>
      <c r="AC175" s="12"/>
    </row>
    <row r="176" spans="1:29" ht="12.75" customHeight="1">
      <c r="A176" s="12"/>
      <c r="B176" s="12"/>
      <c r="C176" s="12"/>
      <c r="D176" s="12"/>
      <c r="E176" s="12"/>
      <c r="F176" s="12"/>
      <c r="G176" s="12"/>
      <c r="H176" s="592"/>
      <c r="I176" s="592"/>
      <c r="J176" s="592"/>
      <c r="K176" s="592"/>
      <c r="L176" s="592"/>
      <c r="M176" s="592"/>
      <c r="N176" s="592"/>
      <c r="O176" s="592"/>
      <c r="P176" s="592"/>
      <c r="Q176" s="592"/>
      <c r="R176" s="592"/>
      <c r="S176" s="592"/>
      <c r="T176" s="592"/>
      <c r="U176" s="12"/>
      <c r="V176" s="12"/>
      <c r="W176" s="12"/>
      <c r="X176" s="12"/>
      <c r="Y176" s="12"/>
      <c r="Z176" s="12"/>
      <c r="AA176" s="12"/>
      <c r="AB176" s="12"/>
      <c r="AC176" s="12"/>
    </row>
    <row r="177" spans="1:29" ht="12.75" customHeight="1">
      <c r="A177" s="12"/>
      <c r="B177" s="12"/>
      <c r="C177" s="12"/>
      <c r="D177" s="12"/>
      <c r="E177" s="12"/>
      <c r="F177" s="12"/>
      <c r="G177" s="12"/>
      <c r="H177" s="592"/>
      <c r="I177" s="592"/>
      <c r="J177" s="592"/>
      <c r="K177" s="592"/>
      <c r="L177" s="592"/>
      <c r="M177" s="592"/>
      <c r="N177" s="592"/>
      <c r="O177" s="592"/>
      <c r="P177" s="592"/>
      <c r="Q177" s="592"/>
      <c r="R177" s="592"/>
      <c r="S177" s="592"/>
      <c r="T177" s="592"/>
      <c r="U177" s="12"/>
      <c r="V177" s="12"/>
      <c r="W177" s="12"/>
      <c r="X177" s="12"/>
      <c r="Y177" s="12"/>
      <c r="Z177" s="12"/>
      <c r="AA177" s="12"/>
      <c r="AB177" s="12"/>
      <c r="AC177" s="12"/>
    </row>
    <row r="178" spans="1:29" ht="12.75" customHeight="1">
      <c r="A178" s="12"/>
      <c r="B178" s="12"/>
      <c r="C178" s="12"/>
      <c r="D178" s="12"/>
      <c r="E178" s="12"/>
      <c r="F178" s="12"/>
      <c r="G178" s="12"/>
      <c r="H178" s="592"/>
      <c r="I178" s="592"/>
      <c r="J178" s="592"/>
      <c r="K178" s="592"/>
      <c r="L178" s="592"/>
      <c r="M178" s="592"/>
      <c r="N178" s="592"/>
      <c r="O178" s="592"/>
      <c r="P178" s="592"/>
      <c r="Q178" s="592"/>
      <c r="R178" s="592"/>
      <c r="S178" s="592"/>
      <c r="T178" s="592"/>
      <c r="U178" s="12"/>
      <c r="V178" s="12"/>
      <c r="W178" s="12"/>
      <c r="X178" s="12"/>
      <c r="Y178" s="12"/>
      <c r="Z178" s="12"/>
      <c r="AA178" s="12"/>
      <c r="AB178" s="12"/>
      <c r="AC178" s="12"/>
    </row>
    <row r="179" spans="1:29" ht="12.75" customHeight="1">
      <c r="A179" s="12"/>
      <c r="B179" s="12"/>
      <c r="C179" s="12"/>
      <c r="D179" s="12"/>
      <c r="E179" s="12"/>
      <c r="F179" s="12"/>
      <c r="G179" s="12"/>
      <c r="H179" s="592"/>
      <c r="I179" s="592"/>
      <c r="J179" s="592"/>
      <c r="K179" s="592"/>
      <c r="L179" s="592"/>
      <c r="M179" s="592"/>
      <c r="N179" s="592"/>
      <c r="O179" s="592"/>
      <c r="P179" s="592"/>
      <c r="Q179" s="592"/>
      <c r="R179" s="592"/>
      <c r="S179" s="592"/>
      <c r="T179" s="592"/>
      <c r="U179" s="12"/>
      <c r="V179" s="12"/>
      <c r="W179" s="12"/>
      <c r="X179" s="12"/>
      <c r="Y179" s="12"/>
      <c r="Z179" s="12"/>
      <c r="AA179" s="12"/>
      <c r="AB179" s="12"/>
      <c r="AC179" s="12"/>
    </row>
    <row r="180" spans="1:29" ht="12.75" customHeight="1">
      <c r="A180" s="12"/>
      <c r="B180" s="12"/>
      <c r="C180" s="12"/>
      <c r="D180" s="12"/>
      <c r="E180" s="12"/>
      <c r="F180" s="12"/>
      <c r="G180" s="12"/>
      <c r="H180" s="592"/>
      <c r="I180" s="592"/>
      <c r="J180" s="592"/>
      <c r="K180" s="592"/>
      <c r="L180" s="592"/>
      <c r="M180" s="592"/>
      <c r="N180" s="592"/>
      <c r="O180" s="592"/>
      <c r="P180" s="592"/>
      <c r="Q180" s="592"/>
      <c r="R180" s="592"/>
      <c r="S180" s="592"/>
      <c r="T180" s="592"/>
      <c r="U180" s="12"/>
      <c r="V180" s="12"/>
      <c r="W180" s="12"/>
      <c r="X180" s="12"/>
      <c r="Y180" s="12"/>
      <c r="Z180" s="12"/>
      <c r="AA180" s="12"/>
      <c r="AB180" s="12"/>
      <c r="AC180" s="12"/>
    </row>
    <row r="181" spans="1:29" ht="12.75" customHeight="1">
      <c r="A181" s="12"/>
      <c r="B181" s="12"/>
      <c r="C181" s="12"/>
      <c r="D181" s="12"/>
      <c r="E181" s="12"/>
      <c r="F181" s="12"/>
      <c r="G181" s="12"/>
      <c r="H181" s="592"/>
      <c r="I181" s="592"/>
      <c r="J181" s="592"/>
      <c r="K181" s="592"/>
      <c r="L181" s="592"/>
      <c r="M181" s="592"/>
      <c r="N181" s="592"/>
      <c r="O181" s="592"/>
      <c r="P181" s="592"/>
      <c r="Q181" s="592"/>
      <c r="R181" s="592"/>
      <c r="S181" s="592"/>
      <c r="T181" s="592"/>
      <c r="U181" s="12"/>
      <c r="V181" s="12"/>
      <c r="W181" s="12"/>
      <c r="X181" s="12"/>
      <c r="Y181" s="12"/>
      <c r="Z181" s="12"/>
      <c r="AA181" s="12"/>
      <c r="AB181" s="12"/>
      <c r="AC181" s="12"/>
    </row>
    <row r="182" spans="1:29" ht="12.75" customHeight="1">
      <c r="A182" s="12"/>
      <c r="B182" s="12"/>
      <c r="C182" s="12"/>
      <c r="D182" s="12"/>
      <c r="E182" s="12"/>
      <c r="F182" s="12"/>
      <c r="G182" s="12"/>
      <c r="H182" s="592"/>
      <c r="I182" s="592"/>
      <c r="J182" s="592"/>
      <c r="K182" s="592"/>
      <c r="L182" s="592"/>
      <c r="M182" s="592"/>
      <c r="N182" s="592"/>
      <c r="O182" s="592"/>
      <c r="P182" s="592"/>
      <c r="Q182" s="592"/>
      <c r="R182" s="592"/>
      <c r="S182" s="592"/>
      <c r="T182" s="592"/>
      <c r="U182" s="12"/>
      <c r="V182" s="12"/>
      <c r="W182" s="12"/>
      <c r="X182" s="12"/>
      <c r="Y182" s="12"/>
      <c r="Z182" s="12"/>
      <c r="AA182" s="12"/>
      <c r="AB182" s="12"/>
      <c r="AC182" s="12"/>
    </row>
    <row r="183" spans="1:29" ht="12.75" customHeight="1">
      <c r="A183" s="12"/>
      <c r="B183" s="12"/>
      <c r="C183" s="12"/>
      <c r="D183" s="12"/>
      <c r="E183" s="12"/>
      <c r="F183" s="12"/>
      <c r="G183" s="12"/>
      <c r="H183" s="592"/>
      <c r="I183" s="592"/>
      <c r="J183" s="592"/>
      <c r="K183" s="592"/>
      <c r="L183" s="592"/>
      <c r="M183" s="592"/>
      <c r="N183" s="592"/>
      <c r="O183" s="592"/>
      <c r="P183" s="592"/>
      <c r="Q183" s="592"/>
      <c r="R183" s="592"/>
      <c r="S183" s="592"/>
      <c r="T183" s="592"/>
      <c r="U183" s="12"/>
      <c r="V183" s="12"/>
      <c r="W183" s="12"/>
      <c r="X183" s="12"/>
      <c r="Y183" s="12"/>
      <c r="Z183" s="12"/>
      <c r="AA183" s="12"/>
      <c r="AB183" s="12"/>
      <c r="AC183" s="12"/>
    </row>
    <row r="184" spans="1:29" ht="12.75" customHeight="1">
      <c r="A184" s="12"/>
      <c r="B184" s="12"/>
      <c r="C184" s="12"/>
      <c r="D184" s="12"/>
      <c r="E184" s="12"/>
      <c r="F184" s="12"/>
      <c r="G184" s="12"/>
      <c r="H184" s="592"/>
      <c r="I184" s="592"/>
      <c r="J184" s="592"/>
      <c r="K184" s="592"/>
      <c r="L184" s="592"/>
      <c r="M184" s="592"/>
      <c r="N184" s="592"/>
      <c r="O184" s="592"/>
      <c r="P184" s="592"/>
      <c r="Q184" s="592"/>
      <c r="R184" s="592"/>
      <c r="S184" s="592"/>
      <c r="T184" s="592"/>
      <c r="U184" s="12"/>
      <c r="V184" s="12"/>
      <c r="W184" s="12"/>
      <c r="X184" s="12"/>
      <c r="Y184" s="12"/>
      <c r="Z184" s="12"/>
      <c r="AA184" s="12"/>
      <c r="AB184" s="12"/>
      <c r="AC184" s="12"/>
    </row>
    <row r="185" spans="1:29" ht="12.75" customHeight="1">
      <c r="A185" s="12"/>
      <c r="B185" s="12"/>
      <c r="C185" s="12"/>
      <c r="D185" s="12"/>
      <c r="E185" s="12"/>
      <c r="F185" s="12"/>
      <c r="G185" s="12"/>
      <c r="H185" s="592"/>
      <c r="I185" s="592"/>
      <c r="J185" s="592"/>
      <c r="K185" s="592"/>
      <c r="L185" s="592"/>
      <c r="M185" s="592"/>
      <c r="N185" s="592"/>
      <c r="O185" s="592"/>
      <c r="P185" s="592"/>
      <c r="Q185" s="592"/>
      <c r="R185" s="592"/>
      <c r="S185" s="592"/>
      <c r="T185" s="592"/>
      <c r="U185" s="12"/>
      <c r="V185" s="12"/>
      <c r="W185" s="12"/>
      <c r="X185" s="12"/>
      <c r="Y185" s="12"/>
      <c r="Z185" s="12"/>
      <c r="AA185" s="12"/>
      <c r="AB185" s="12"/>
      <c r="AC185" s="12"/>
    </row>
    <row r="186" spans="1:29" ht="12.75" customHeight="1">
      <c r="A186" s="12"/>
      <c r="B186" s="12"/>
      <c r="C186" s="12"/>
      <c r="D186" s="12"/>
      <c r="E186" s="12"/>
      <c r="F186" s="12"/>
      <c r="G186" s="12"/>
      <c r="H186" s="592"/>
      <c r="I186" s="592"/>
      <c r="J186" s="592"/>
      <c r="K186" s="592"/>
      <c r="L186" s="592"/>
      <c r="M186" s="592"/>
      <c r="N186" s="592"/>
      <c r="O186" s="592"/>
      <c r="P186" s="592"/>
      <c r="Q186" s="592"/>
      <c r="R186" s="592"/>
      <c r="S186" s="592"/>
      <c r="T186" s="592"/>
      <c r="U186" s="12"/>
      <c r="V186" s="12"/>
      <c r="W186" s="12"/>
      <c r="X186" s="12"/>
      <c r="Y186" s="12"/>
      <c r="Z186" s="12"/>
      <c r="AA186" s="12"/>
      <c r="AB186" s="12"/>
      <c r="AC186" s="12"/>
    </row>
    <row r="187" spans="1:29" ht="12.75" customHeight="1">
      <c r="A187" s="12"/>
      <c r="B187" s="12"/>
      <c r="C187" s="12"/>
      <c r="D187" s="12"/>
      <c r="E187" s="12"/>
      <c r="F187" s="12"/>
      <c r="G187" s="12"/>
      <c r="H187" s="592"/>
      <c r="I187" s="592"/>
      <c r="J187" s="592"/>
      <c r="K187" s="592"/>
      <c r="L187" s="592"/>
      <c r="M187" s="592"/>
      <c r="N187" s="592"/>
      <c r="O187" s="592"/>
      <c r="P187" s="592"/>
      <c r="Q187" s="592"/>
      <c r="R187" s="592"/>
      <c r="S187" s="592"/>
      <c r="T187" s="592"/>
      <c r="U187" s="12"/>
      <c r="V187" s="12"/>
      <c r="W187" s="12"/>
      <c r="X187" s="12"/>
      <c r="Y187" s="12"/>
      <c r="Z187" s="12"/>
      <c r="AA187" s="12"/>
      <c r="AB187" s="12"/>
      <c r="AC187" s="12"/>
    </row>
    <row r="188" spans="1:29" ht="12.75" customHeight="1">
      <c r="A188" s="12"/>
      <c r="B188" s="12"/>
      <c r="C188" s="12"/>
      <c r="D188" s="12"/>
      <c r="E188" s="12"/>
      <c r="F188" s="12"/>
      <c r="G188" s="12"/>
      <c r="H188" s="592"/>
      <c r="I188" s="592"/>
      <c r="J188" s="592"/>
      <c r="K188" s="592"/>
      <c r="L188" s="592"/>
      <c r="M188" s="592"/>
      <c r="N188" s="592"/>
      <c r="O188" s="592"/>
      <c r="P188" s="592"/>
      <c r="Q188" s="592"/>
      <c r="R188" s="592"/>
      <c r="S188" s="592"/>
      <c r="T188" s="592"/>
      <c r="U188" s="12"/>
      <c r="V188" s="12"/>
      <c r="W188" s="12"/>
      <c r="X188" s="12"/>
      <c r="Y188" s="12"/>
      <c r="Z188" s="12"/>
      <c r="AA188" s="12"/>
      <c r="AB188" s="12"/>
      <c r="AC188" s="12"/>
    </row>
    <row r="189" spans="1:29" ht="12.75" customHeight="1">
      <c r="A189" s="12"/>
      <c r="B189" s="12"/>
      <c r="C189" s="12"/>
      <c r="D189" s="12"/>
      <c r="E189" s="12"/>
      <c r="F189" s="12"/>
      <c r="G189" s="12"/>
      <c r="H189" s="592"/>
      <c r="I189" s="592"/>
      <c r="J189" s="592"/>
      <c r="K189" s="592"/>
      <c r="L189" s="592"/>
      <c r="M189" s="592"/>
      <c r="N189" s="592"/>
      <c r="O189" s="592"/>
      <c r="P189" s="592"/>
      <c r="Q189" s="592"/>
      <c r="R189" s="592"/>
      <c r="S189" s="592"/>
      <c r="T189" s="592"/>
      <c r="U189" s="12"/>
      <c r="V189" s="12"/>
      <c r="W189" s="12"/>
      <c r="X189" s="12"/>
      <c r="Y189" s="12"/>
      <c r="Z189" s="12"/>
      <c r="AA189" s="12"/>
      <c r="AB189" s="12"/>
      <c r="AC189" s="12"/>
    </row>
    <row r="190" spans="1:29" ht="12.75" customHeight="1">
      <c r="A190" s="12"/>
      <c r="B190" s="12"/>
      <c r="C190" s="12"/>
      <c r="D190" s="12"/>
      <c r="E190" s="12"/>
      <c r="F190" s="12"/>
      <c r="G190" s="12"/>
      <c r="H190" s="592"/>
      <c r="I190" s="592"/>
      <c r="J190" s="592"/>
      <c r="K190" s="592"/>
      <c r="L190" s="592"/>
      <c r="M190" s="592"/>
      <c r="N190" s="592"/>
      <c r="O190" s="592"/>
      <c r="P190" s="592"/>
      <c r="Q190" s="592"/>
      <c r="R190" s="592"/>
      <c r="S190" s="592"/>
      <c r="T190" s="592"/>
      <c r="U190" s="12"/>
      <c r="V190" s="12"/>
      <c r="W190" s="12"/>
      <c r="X190" s="12"/>
      <c r="Y190" s="12"/>
      <c r="Z190" s="12"/>
      <c r="AA190" s="12"/>
      <c r="AB190" s="12"/>
      <c r="AC190" s="12"/>
    </row>
    <row r="191" spans="1:29" ht="12.75" customHeight="1">
      <c r="A191" s="12"/>
      <c r="B191" s="12"/>
      <c r="C191" s="12"/>
      <c r="D191" s="12"/>
      <c r="E191" s="12"/>
      <c r="F191" s="12"/>
      <c r="G191" s="12"/>
      <c r="H191" s="592"/>
      <c r="I191" s="592"/>
      <c r="J191" s="592"/>
      <c r="K191" s="592"/>
      <c r="L191" s="592"/>
      <c r="M191" s="592"/>
      <c r="N191" s="592"/>
      <c r="O191" s="592"/>
      <c r="P191" s="592"/>
      <c r="Q191" s="592"/>
      <c r="R191" s="592"/>
      <c r="S191" s="592"/>
      <c r="T191" s="592"/>
      <c r="U191" s="12"/>
      <c r="V191" s="12"/>
      <c r="W191" s="12"/>
      <c r="X191" s="12"/>
      <c r="Y191" s="12"/>
      <c r="Z191" s="12"/>
      <c r="AA191" s="12"/>
      <c r="AB191" s="12"/>
      <c r="AC191" s="12"/>
    </row>
    <row r="192" spans="1:29" ht="12.75" customHeight="1">
      <c r="A192" s="12"/>
      <c r="B192" s="12"/>
      <c r="C192" s="12"/>
      <c r="D192" s="12"/>
      <c r="E192" s="12"/>
      <c r="F192" s="12"/>
      <c r="G192" s="12"/>
      <c r="H192" s="592"/>
      <c r="I192" s="592"/>
      <c r="J192" s="592"/>
      <c r="K192" s="592"/>
      <c r="L192" s="592"/>
      <c r="M192" s="592"/>
      <c r="N192" s="592"/>
      <c r="O192" s="592"/>
      <c r="P192" s="592"/>
      <c r="Q192" s="592"/>
      <c r="R192" s="592"/>
      <c r="S192" s="592"/>
      <c r="T192" s="592"/>
      <c r="U192" s="12"/>
      <c r="V192" s="12"/>
      <c r="W192" s="12"/>
      <c r="X192" s="12"/>
      <c r="Y192" s="12"/>
      <c r="Z192" s="12"/>
      <c r="AA192" s="12"/>
      <c r="AB192" s="12"/>
      <c r="AC192" s="12"/>
    </row>
    <row r="193" spans="1:29" ht="12.75" customHeight="1">
      <c r="A193" s="12"/>
      <c r="B193" s="12"/>
      <c r="C193" s="12"/>
      <c r="D193" s="12"/>
      <c r="E193" s="12"/>
      <c r="F193" s="12"/>
      <c r="G193" s="12"/>
      <c r="H193" s="592"/>
      <c r="I193" s="592"/>
      <c r="J193" s="592"/>
      <c r="K193" s="592"/>
      <c r="L193" s="592"/>
      <c r="M193" s="592"/>
      <c r="N193" s="592"/>
      <c r="O193" s="592"/>
      <c r="P193" s="592"/>
      <c r="Q193" s="592"/>
      <c r="R193" s="592"/>
      <c r="S193" s="592"/>
      <c r="T193" s="592"/>
      <c r="U193" s="12"/>
      <c r="V193" s="12"/>
      <c r="W193" s="12"/>
      <c r="X193" s="12"/>
      <c r="Y193" s="12"/>
      <c r="Z193" s="12"/>
      <c r="AA193" s="12"/>
      <c r="AB193" s="12"/>
      <c r="AC193" s="12"/>
    </row>
    <row r="194" spans="1:29" ht="12.75" customHeight="1">
      <c r="A194" s="12"/>
      <c r="B194" s="12"/>
      <c r="C194" s="12"/>
      <c r="D194" s="12"/>
      <c r="E194" s="12"/>
      <c r="F194" s="12"/>
      <c r="G194" s="12"/>
      <c r="H194" s="592"/>
      <c r="I194" s="592"/>
      <c r="J194" s="592"/>
      <c r="K194" s="592"/>
      <c r="L194" s="592"/>
      <c r="M194" s="592"/>
      <c r="N194" s="592"/>
      <c r="O194" s="592"/>
      <c r="P194" s="592"/>
      <c r="Q194" s="592"/>
      <c r="R194" s="592"/>
      <c r="S194" s="592"/>
      <c r="T194" s="592"/>
      <c r="U194" s="12"/>
      <c r="V194" s="12"/>
      <c r="W194" s="12"/>
      <c r="X194" s="12"/>
      <c r="Y194" s="12"/>
      <c r="Z194" s="12"/>
      <c r="AA194" s="12"/>
      <c r="AB194" s="12"/>
      <c r="AC194" s="12"/>
    </row>
    <row r="195" spans="1:29" ht="12.75" customHeight="1">
      <c r="A195" s="12"/>
      <c r="B195" s="12"/>
      <c r="C195" s="12"/>
      <c r="D195" s="12"/>
      <c r="E195" s="12"/>
      <c r="F195" s="12"/>
      <c r="G195" s="12"/>
      <c r="H195" s="592"/>
      <c r="I195" s="592"/>
      <c r="J195" s="592"/>
      <c r="K195" s="592"/>
      <c r="L195" s="592"/>
      <c r="M195" s="592"/>
      <c r="N195" s="592"/>
      <c r="O195" s="592"/>
      <c r="P195" s="592"/>
      <c r="Q195" s="592"/>
      <c r="R195" s="592"/>
      <c r="S195" s="592"/>
      <c r="T195" s="592"/>
      <c r="U195" s="12"/>
      <c r="V195" s="12"/>
      <c r="W195" s="12"/>
      <c r="X195" s="12"/>
      <c r="Y195" s="12"/>
      <c r="Z195" s="12"/>
      <c r="AA195" s="12"/>
      <c r="AB195" s="12"/>
      <c r="AC195" s="12"/>
    </row>
    <row r="196" spans="1:29" ht="12.75" customHeight="1">
      <c r="A196" s="12"/>
      <c r="B196" s="12"/>
      <c r="C196" s="12"/>
      <c r="D196" s="12"/>
      <c r="E196" s="12"/>
      <c r="F196" s="12"/>
      <c r="G196" s="12"/>
      <c r="H196" s="592"/>
      <c r="I196" s="592"/>
      <c r="J196" s="592"/>
      <c r="K196" s="592"/>
      <c r="L196" s="592"/>
      <c r="M196" s="592"/>
      <c r="N196" s="592"/>
      <c r="O196" s="592"/>
      <c r="P196" s="592"/>
      <c r="Q196" s="592"/>
      <c r="R196" s="592"/>
      <c r="S196" s="592"/>
      <c r="T196" s="592"/>
      <c r="U196" s="12"/>
      <c r="V196" s="12"/>
      <c r="W196" s="12"/>
      <c r="X196" s="12"/>
      <c r="Y196" s="12"/>
      <c r="Z196" s="12"/>
      <c r="AA196" s="12"/>
      <c r="AB196" s="12"/>
      <c r="AC196" s="12"/>
    </row>
    <row r="197" spans="1:29" ht="12.75" customHeight="1">
      <c r="A197" s="12"/>
      <c r="B197" s="12"/>
      <c r="C197" s="12"/>
      <c r="D197" s="12"/>
      <c r="E197" s="12"/>
      <c r="F197" s="12"/>
      <c r="G197" s="12"/>
      <c r="H197" s="592"/>
      <c r="I197" s="592"/>
      <c r="J197" s="592"/>
      <c r="K197" s="592"/>
      <c r="L197" s="592"/>
      <c r="M197" s="592"/>
      <c r="N197" s="592"/>
      <c r="O197" s="592"/>
      <c r="P197" s="592"/>
      <c r="Q197" s="592"/>
      <c r="R197" s="592"/>
      <c r="S197" s="592"/>
      <c r="T197" s="592"/>
      <c r="U197" s="12"/>
      <c r="V197" s="12"/>
      <c r="W197" s="12"/>
      <c r="X197" s="12"/>
      <c r="Y197" s="12"/>
      <c r="Z197" s="12"/>
      <c r="AA197" s="12"/>
      <c r="AB197" s="12"/>
      <c r="AC197" s="12"/>
    </row>
    <row r="198" spans="1:29" ht="12.75" customHeight="1">
      <c r="A198" s="12"/>
      <c r="B198" s="12"/>
      <c r="C198" s="12"/>
      <c r="D198" s="12"/>
      <c r="E198" s="12"/>
      <c r="F198" s="12"/>
      <c r="G198" s="12"/>
      <c r="H198" s="592"/>
      <c r="I198" s="592"/>
      <c r="J198" s="592"/>
      <c r="K198" s="592"/>
      <c r="L198" s="592"/>
      <c r="M198" s="592"/>
      <c r="N198" s="592"/>
      <c r="O198" s="592"/>
      <c r="P198" s="592"/>
      <c r="Q198" s="592"/>
      <c r="R198" s="592"/>
      <c r="S198" s="592"/>
      <c r="T198" s="592"/>
      <c r="U198" s="12"/>
      <c r="V198" s="12"/>
      <c r="W198" s="12"/>
      <c r="X198" s="12"/>
      <c r="Y198" s="12"/>
      <c r="Z198" s="12"/>
      <c r="AA198" s="12"/>
      <c r="AB198" s="12"/>
      <c r="AC198" s="12"/>
    </row>
    <row r="199" spans="1:29" ht="12.75" customHeight="1">
      <c r="A199" s="12"/>
      <c r="B199" s="12"/>
      <c r="C199" s="12"/>
      <c r="D199" s="12"/>
      <c r="E199" s="12"/>
      <c r="F199" s="12"/>
      <c r="G199" s="12"/>
      <c r="H199" s="592"/>
      <c r="I199" s="592"/>
      <c r="J199" s="592"/>
      <c r="K199" s="592"/>
      <c r="L199" s="592"/>
      <c r="M199" s="592"/>
      <c r="N199" s="592"/>
      <c r="O199" s="592"/>
      <c r="P199" s="592"/>
      <c r="Q199" s="592"/>
      <c r="R199" s="592"/>
      <c r="S199" s="592"/>
      <c r="T199" s="592"/>
      <c r="U199" s="12"/>
      <c r="V199" s="12"/>
      <c r="W199" s="12"/>
      <c r="X199" s="12"/>
      <c r="Y199" s="12"/>
      <c r="Z199" s="12"/>
      <c r="AA199" s="12"/>
      <c r="AB199" s="12"/>
      <c r="AC199" s="12"/>
    </row>
    <row r="200" spans="1:29" ht="12.75" customHeight="1">
      <c r="A200" s="12"/>
      <c r="B200" s="12"/>
      <c r="C200" s="12"/>
      <c r="D200" s="12"/>
      <c r="E200" s="12"/>
      <c r="F200" s="12"/>
      <c r="G200" s="12"/>
      <c r="H200" s="592"/>
      <c r="I200" s="592"/>
      <c r="J200" s="592"/>
      <c r="K200" s="592"/>
      <c r="L200" s="592"/>
      <c r="M200" s="592"/>
      <c r="N200" s="592"/>
      <c r="O200" s="592"/>
      <c r="P200" s="592"/>
      <c r="Q200" s="592"/>
      <c r="R200" s="592"/>
      <c r="S200" s="592"/>
      <c r="T200" s="592"/>
      <c r="U200" s="12"/>
      <c r="V200" s="12"/>
      <c r="W200" s="12"/>
      <c r="X200" s="12"/>
      <c r="Y200" s="12"/>
      <c r="Z200" s="12"/>
      <c r="AA200" s="12"/>
      <c r="AB200" s="12"/>
      <c r="AC200" s="12"/>
    </row>
    <row r="201" spans="1:29" ht="12.75" customHeight="1">
      <c r="A201" s="12"/>
      <c r="B201" s="12"/>
      <c r="C201" s="12"/>
      <c r="D201" s="12"/>
      <c r="E201" s="12"/>
      <c r="F201" s="12"/>
      <c r="G201" s="12"/>
      <c r="H201" s="592"/>
      <c r="I201" s="592"/>
      <c r="J201" s="592"/>
      <c r="K201" s="592"/>
      <c r="L201" s="592"/>
      <c r="M201" s="592"/>
      <c r="N201" s="592"/>
      <c r="O201" s="592"/>
      <c r="P201" s="592"/>
      <c r="Q201" s="592"/>
      <c r="R201" s="592"/>
      <c r="S201" s="592"/>
      <c r="T201" s="592"/>
      <c r="U201" s="12"/>
      <c r="V201" s="12"/>
      <c r="W201" s="12"/>
      <c r="X201" s="12"/>
      <c r="Y201" s="12"/>
      <c r="Z201" s="12"/>
      <c r="AA201" s="12"/>
      <c r="AB201" s="12"/>
      <c r="AC201" s="12"/>
    </row>
    <row r="202" spans="1:29" ht="12.75" customHeight="1">
      <c r="A202" s="12"/>
      <c r="B202" s="12"/>
      <c r="C202" s="12"/>
      <c r="D202" s="12"/>
      <c r="E202" s="12"/>
      <c r="F202" s="12"/>
      <c r="G202" s="12"/>
      <c r="H202" s="592"/>
      <c r="I202" s="592"/>
      <c r="J202" s="592"/>
      <c r="K202" s="592"/>
      <c r="L202" s="592"/>
      <c r="M202" s="592"/>
      <c r="N202" s="592"/>
      <c r="O202" s="592"/>
      <c r="P202" s="592"/>
      <c r="Q202" s="592"/>
      <c r="R202" s="592"/>
      <c r="S202" s="592"/>
      <c r="T202" s="592"/>
      <c r="U202" s="12"/>
      <c r="V202" s="12"/>
      <c r="W202" s="12"/>
      <c r="X202" s="12"/>
      <c r="Y202" s="12"/>
      <c r="Z202" s="12"/>
      <c r="AA202" s="12"/>
      <c r="AB202" s="12"/>
      <c r="AC202" s="12"/>
    </row>
    <row r="203" spans="1:29" ht="12.75" customHeight="1">
      <c r="A203" s="12"/>
      <c r="B203" s="12"/>
      <c r="C203" s="12"/>
      <c r="D203" s="12"/>
      <c r="E203" s="12"/>
      <c r="F203" s="12"/>
      <c r="G203" s="12"/>
      <c r="H203" s="592"/>
      <c r="I203" s="592"/>
      <c r="J203" s="592"/>
      <c r="K203" s="592"/>
      <c r="L203" s="592"/>
      <c r="M203" s="592"/>
      <c r="N203" s="592"/>
      <c r="O203" s="592"/>
      <c r="P203" s="592"/>
      <c r="Q203" s="592"/>
      <c r="R203" s="592"/>
      <c r="S203" s="592"/>
      <c r="T203" s="592"/>
      <c r="U203" s="12"/>
      <c r="V203" s="12"/>
      <c r="W203" s="12"/>
      <c r="X203" s="12"/>
      <c r="Y203" s="12"/>
      <c r="Z203" s="12"/>
      <c r="AA203" s="12"/>
      <c r="AB203" s="12"/>
      <c r="AC203" s="12"/>
    </row>
    <row r="204" spans="1:29" ht="12.75" customHeight="1">
      <c r="A204" s="12"/>
      <c r="B204" s="12"/>
      <c r="C204" s="12"/>
      <c r="D204" s="12"/>
      <c r="E204" s="12"/>
      <c r="F204" s="12"/>
      <c r="G204" s="12"/>
      <c r="H204" s="592"/>
      <c r="I204" s="592"/>
      <c r="J204" s="592"/>
      <c r="K204" s="592"/>
      <c r="L204" s="592"/>
      <c r="M204" s="592"/>
      <c r="N204" s="592"/>
      <c r="O204" s="592"/>
      <c r="P204" s="592"/>
      <c r="Q204" s="592"/>
      <c r="R204" s="592"/>
      <c r="S204" s="592"/>
      <c r="T204" s="592"/>
      <c r="U204" s="12"/>
      <c r="V204" s="12"/>
      <c r="W204" s="12"/>
      <c r="X204" s="12"/>
      <c r="Y204" s="12"/>
      <c r="Z204" s="12"/>
      <c r="AA204" s="12"/>
      <c r="AB204" s="12"/>
      <c r="AC204" s="12"/>
    </row>
    <row r="205" spans="1:29" ht="12.75" customHeight="1">
      <c r="A205" s="12"/>
      <c r="B205" s="12"/>
      <c r="C205" s="12"/>
      <c r="D205" s="12"/>
      <c r="E205" s="12"/>
      <c r="F205" s="12"/>
      <c r="G205" s="12"/>
      <c r="H205" s="592"/>
      <c r="I205" s="592"/>
      <c r="J205" s="592"/>
      <c r="K205" s="592"/>
      <c r="L205" s="592"/>
      <c r="M205" s="592"/>
      <c r="N205" s="592"/>
      <c r="O205" s="592"/>
      <c r="P205" s="592"/>
      <c r="Q205" s="592"/>
      <c r="R205" s="592"/>
      <c r="S205" s="592"/>
      <c r="T205" s="592"/>
      <c r="U205" s="12"/>
      <c r="V205" s="12"/>
      <c r="W205" s="12"/>
      <c r="X205" s="12"/>
      <c r="Y205" s="12"/>
      <c r="Z205" s="12"/>
      <c r="AA205" s="12"/>
      <c r="AB205" s="12"/>
      <c r="AC205" s="12"/>
    </row>
    <row r="206" spans="1:29" ht="12.75" customHeight="1">
      <c r="A206" s="12"/>
      <c r="B206" s="12"/>
      <c r="C206" s="12"/>
      <c r="D206" s="12"/>
      <c r="E206" s="12"/>
      <c r="F206" s="12"/>
      <c r="G206" s="12"/>
      <c r="H206" s="592"/>
      <c r="I206" s="592"/>
      <c r="J206" s="592"/>
      <c r="K206" s="592"/>
      <c r="L206" s="592"/>
      <c r="M206" s="592"/>
      <c r="N206" s="592"/>
      <c r="O206" s="592"/>
      <c r="P206" s="592"/>
      <c r="Q206" s="592"/>
      <c r="R206" s="592"/>
      <c r="S206" s="592"/>
      <c r="T206" s="592"/>
      <c r="U206" s="12"/>
      <c r="V206" s="12"/>
      <c r="W206" s="12"/>
      <c r="X206" s="12"/>
      <c r="Y206" s="12"/>
      <c r="Z206" s="12"/>
      <c r="AA206" s="12"/>
      <c r="AB206" s="12"/>
      <c r="AC206" s="12"/>
    </row>
    <row r="207" spans="1:29" ht="12.75" customHeight="1">
      <c r="A207" s="12"/>
      <c r="B207" s="12"/>
      <c r="C207" s="12"/>
      <c r="D207" s="12"/>
      <c r="E207" s="12"/>
      <c r="F207" s="12"/>
      <c r="G207" s="12"/>
      <c r="H207" s="592"/>
      <c r="I207" s="592"/>
      <c r="J207" s="592"/>
      <c r="K207" s="592"/>
      <c r="L207" s="592"/>
      <c r="M207" s="592"/>
      <c r="N207" s="592"/>
      <c r="O207" s="592"/>
      <c r="P207" s="592"/>
      <c r="Q207" s="592"/>
      <c r="R207" s="592"/>
      <c r="S207" s="592"/>
      <c r="T207" s="592"/>
      <c r="U207" s="12"/>
      <c r="V207" s="12"/>
      <c r="W207" s="12"/>
      <c r="X207" s="12"/>
      <c r="Y207" s="12"/>
      <c r="Z207" s="12"/>
      <c r="AA207" s="12"/>
      <c r="AB207" s="12"/>
      <c r="AC207" s="12"/>
    </row>
    <row r="208" spans="1:29" ht="12.75" customHeight="1">
      <c r="A208" s="12"/>
      <c r="B208" s="12"/>
      <c r="C208" s="12"/>
      <c r="D208" s="12"/>
      <c r="E208" s="12"/>
      <c r="F208" s="12"/>
      <c r="G208" s="12"/>
      <c r="H208" s="592"/>
      <c r="I208" s="592"/>
      <c r="J208" s="592"/>
      <c r="K208" s="592"/>
      <c r="L208" s="592"/>
      <c r="M208" s="592"/>
      <c r="N208" s="592"/>
      <c r="O208" s="592"/>
      <c r="P208" s="592"/>
      <c r="Q208" s="592"/>
      <c r="R208" s="592"/>
      <c r="S208" s="592"/>
      <c r="T208" s="592"/>
      <c r="U208" s="12"/>
      <c r="V208" s="12"/>
      <c r="W208" s="12"/>
      <c r="X208" s="12"/>
      <c r="Y208" s="12"/>
      <c r="Z208" s="12"/>
      <c r="AA208" s="12"/>
      <c r="AB208" s="12"/>
      <c r="AC208" s="12"/>
    </row>
    <row r="209" spans="1:29" ht="12.75" customHeight="1">
      <c r="A209" s="12"/>
      <c r="B209" s="12"/>
      <c r="C209" s="12"/>
      <c r="D209" s="12"/>
      <c r="E209" s="12"/>
      <c r="F209" s="12"/>
      <c r="G209" s="12"/>
      <c r="H209" s="592"/>
      <c r="I209" s="592"/>
      <c r="J209" s="592"/>
      <c r="K209" s="592"/>
      <c r="L209" s="592"/>
      <c r="M209" s="592"/>
      <c r="N209" s="592"/>
      <c r="O209" s="592"/>
      <c r="P209" s="592"/>
      <c r="Q209" s="592"/>
      <c r="R209" s="592"/>
      <c r="S209" s="592"/>
      <c r="T209" s="592"/>
      <c r="U209" s="12"/>
      <c r="V209" s="12"/>
      <c r="W209" s="12"/>
      <c r="X209" s="12"/>
      <c r="Y209" s="12"/>
      <c r="Z209" s="12"/>
      <c r="AA209" s="12"/>
      <c r="AB209" s="12"/>
      <c r="AC209" s="12"/>
    </row>
    <row r="210" spans="1:29" ht="12.75" customHeight="1">
      <c r="A210" s="12"/>
      <c r="B210" s="12"/>
      <c r="C210" s="12"/>
      <c r="D210" s="12"/>
      <c r="E210" s="12"/>
      <c r="F210" s="12"/>
      <c r="G210" s="12"/>
      <c r="H210" s="592"/>
      <c r="I210" s="592"/>
      <c r="J210" s="592"/>
      <c r="K210" s="592"/>
      <c r="L210" s="592"/>
      <c r="M210" s="592"/>
      <c r="N210" s="592"/>
      <c r="O210" s="592"/>
      <c r="P210" s="592"/>
      <c r="Q210" s="592"/>
      <c r="R210" s="592"/>
      <c r="S210" s="592"/>
      <c r="T210" s="592"/>
      <c r="U210" s="12"/>
      <c r="V210" s="12"/>
      <c r="W210" s="12"/>
      <c r="X210" s="12"/>
      <c r="Y210" s="12"/>
      <c r="Z210" s="12"/>
      <c r="AA210" s="12"/>
      <c r="AB210" s="12"/>
      <c r="AC210" s="12"/>
    </row>
    <row r="211" spans="1:29" ht="12.75" customHeight="1">
      <c r="A211" s="12"/>
      <c r="B211" s="12"/>
      <c r="C211" s="12"/>
      <c r="D211" s="12"/>
      <c r="E211" s="12"/>
      <c r="F211" s="12"/>
      <c r="G211" s="12"/>
      <c r="H211" s="592"/>
      <c r="I211" s="592"/>
      <c r="J211" s="592"/>
      <c r="K211" s="592"/>
      <c r="L211" s="592"/>
      <c r="M211" s="592"/>
      <c r="N211" s="592"/>
      <c r="O211" s="592"/>
      <c r="P211" s="592"/>
      <c r="Q211" s="592"/>
      <c r="R211" s="592"/>
      <c r="S211" s="592"/>
      <c r="T211" s="592"/>
      <c r="U211" s="12"/>
      <c r="V211" s="12"/>
      <c r="W211" s="12"/>
      <c r="X211" s="12"/>
      <c r="Y211" s="12"/>
      <c r="Z211" s="12"/>
      <c r="AA211" s="12"/>
      <c r="AB211" s="12"/>
      <c r="AC211" s="12"/>
    </row>
    <row r="212" spans="1:29" ht="12.75" customHeight="1">
      <c r="A212" s="12"/>
      <c r="B212" s="12"/>
      <c r="C212" s="12"/>
      <c r="D212" s="12"/>
      <c r="E212" s="12"/>
      <c r="F212" s="12"/>
      <c r="G212" s="12"/>
      <c r="H212" s="592"/>
      <c r="I212" s="592"/>
      <c r="J212" s="592"/>
      <c r="K212" s="592"/>
      <c r="L212" s="592"/>
      <c r="M212" s="592"/>
      <c r="N212" s="592"/>
      <c r="O212" s="592"/>
      <c r="P212" s="592"/>
      <c r="Q212" s="592"/>
      <c r="R212" s="592"/>
      <c r="S212" s="592"/>
      <c r="T212" s="592"/>
      <c r="U212" s="12"/>
      <c r="V212" s="12"/>
      <c r="W212" s="12"/>
      <c r="X212" s="12"/>
      <c r="Y212" s="12"/>
      <c r="Z212" s="12"/>
      <c r="AA212" s="12"/>
      <c r="AB212" s="12"/>
      <c r="AC212" s="12"/>
    </row>
    <row r="213" spans="1:29" ht="12.75" customHeight="1">
      <c r="A213" s="12"/>
      <c r="B213" s="12"/>
      <c r="C213" s="12"/>
      <c r="D213" s="12"/>
      <c r="E213" s="12"/>
      <c r="F213" s="12"/>
      <c r="G213" s="12"/>
      <c r="H213" s="592"/>
      <c r="I213" s="592"/>
      <c r="J213" s="592"/>
      <c r="K213" s="592"/>
      <c r="L213" s="592"/>
      <c r="M213" s="592"/>
      <c r="N213" s="592"/>
      <c r="O213" s="592"/>
      <c r="P213" s="592"/>
      <c r="Q213" s="592"/>
      <c r="R213" s="592"/>
      <c r="S213" s="592"/>
      <c r="T213" s="592"/>
      <c r="U213" s="12"/>
      <c r="V213" s="12"/>
      <c r="W213" s="12"/>
      <c r="X213" s="12"/>
      <c r="Y213" s="12"/>
      <c r="Z213" s="12"/>
      <c r="AA213" s="12"/>
      <c r="AB213" s="12"/>
      <c r="AC213" s="12"/>
    </row>
    <row r="214" spans="1:29" ht="12.75" customHeight="1">
      <c r="A214" s="12"/>
      <c r="B214" s="12"/>
      <c r="C214" s="12"/>
      <c r="D214" s="12"/>
      <c r="E214" s="12"/>
      <c r="F214" s="12"/>
      <c r="G214" s="12"/>
      <c r="H214" s="592"/>
      <c r="I214" s="592"/>
      <c r="J214" s="592"/>
      <c r="K214" s="592"/>
      <c r="L214" s="592"/>
      <c r="M214" s="592"/>
      <c r="N214" s="592"/>
      <c r="O214" s="592"/>
      <c r="P214" s="592"/>
      <c r="Q214" s="592"/>
      <c r="R214" s="592"/>
      <c r="S214" s="592"/>
      <c r="T214" s="592"/>
      <c r="U214" s="12"/>
      <c r="V214" s="12"/>
      <c r="W214" s="12"/>
      <c r="X214" s="12"/>
      <c r="Y214" s="12"/>
      <c r="Z214" s="12"/>
      <c r="AA214" s="12"/>
      <c r="AB214" s="12"/>
      <c r="AC214" s="12"/>
    </row>
    <row r="215" spans="1:29" ht="12.75" customHeight="1">
      <c r="A215" s="12"/>
      <c r="B215" s="12"/>
      <c r="C215" s="12"/>
      <c r="D215" s="12"/>
      <c r="E215" s="12"/>
      <c r="F215" s="12"/>
      <c r="G215" s="12"/>
      <c r="H215" s="592"/>
      <c r="I215" s="592"/>
      <c r="J215" s="592"/>
      <c r="K215" s="592"/>
      <c r="L215" s="592"/>
      <c r="M215" s="592"/>
      <c r="N215" s="592"/>
      <c r="O215" s="592"/>
      <c r="P215" s="592"/>
      <c r="Q215" s="592"/>
      <c r="R215" s="592"/>
      <c r="S215" s="592"/>
      <c r="T215" s="592"/>
      <c r="U215" s="12"/>
      <c r="V215" s="12"/>
      <c r="W215" s="12"/>
      <c r="X215" s="12"/>
      <c r="Y215" s="12"/>
      <c r="Z215" s="12"/>
      <c r="AA215" s="12"/>
      <c r="AB215" s="12"/>
      <c r="AC215" s="12"/>
    </row>
    <row r="216" spans="1:29" ht="12.75" customHeight="1">
      <c r="A216" s="12"/>
      <c r="B216" s="12"/>
      <c r="C216" s="12"/>
      <c r="D216" s="12"/>
      <c r="E216" s="12"/>
      <c r="F216" s="12"/>
      <c r="G216" s="12"/>
      <c r="H216" s="592"/>
      <c r="I216" s="592"/>
      <c r="J216" s="592"/>
      <c r="K216" s="592"/>
      <c r="L216" s="592"/>
      <c r="M216" s="592"/>
      <c r="N216" s="592"/>
      <c r="O216" s="592"/>
      <c r="P216" s="592"/>
      <c r="Q216" s="592"/>
      <c r="R216" s="592"/>
      <c r="S216" s="592"/>
      <c r="T216" s="592"/>
      <c r="U216" s="12"/>
      <c r="V216" s="12"/>
      <c r="W216" s="12"/>
      <c r="X216" s="12"/>
      <c r="Y216" s="12"/>
      <c r="Z216" s="12"/>
      <c r="AA216" s="12"/>
      <c r="AB216" s="12"/>
      <c r="AC216" s="12"/>
    </row>
    <row r="217" spans="1:29" ht="12.75" customHeight="1">
      <c r="A217" s="12"/>
      <c r="B217" s="12"/>
      <c r="C217" s="12"/>
      <c r="D217" s="12"/>
      <c r="E217" s="12"/>
      <c r="F217" s="12"/>
      <c r="G217" s="12"/>
      <c r="H217" s="592"/>
      <c r="I217" s="592"/>
      <c r="J217" s="592"/>
      <c r="K217" s="592"/>
      <c r="L217" s="592"/>
      <c r="M217" s="592"/>
      <c r="N217" s="592"/>
      <c r="O217" s="592"/>
      <c r="P217" s="592"/>
      <c r="Q217" s="592"/>
      <c r="R217" s="592"/>
      <c r="S217" s="592"/>
      <c r="T217" s="592"/>
      <c r="U217" s="12"/>
      <c r="V217" s="12"/>
      <c r="W217" s="12"/>
      <c r="X217" s="12"/>
      <c r="Y217" s="12"/>
      <c r="Z217" s="12"/>
      <c r="AA217" s="12"/>
      <c r="AB217" s="12"/>
      <c r="AC217" s="12"/>
    </row>
    <row r="218" spans="1:29" ht="12.75" customHeight="1">
      <c r="A218" s="12"/>
      <c r="B218" s="12"/>
      <c r="C218" s="12"/>
      <c r="D218" s="12"/>
      <c r="E218" s="12"/>
      <c r="F218" s="12"/>
      <c r="G218" s="12"/>
      <c r="H218" s="592"/>
      <c r="I218" s="592"/>
      <c r="J218" s="592"/>
      <c r="K218" s="592"/>
      <c r="L218" s="592"/>
      <c r="M218" s="592"/>
      <c r="N218" s="592"/>
      <c r="O218" s="592"/>
      <c r="P218" s="592"/>
      <c r="Q218" s="592"/>
      <c r="R218" s="592"/>
      <c r="S218" s="592"/>
      <c r="T218" s="592"/>
      <c r="U218" s="12"/>
      <c r="V218" s="12"/>
      <c r="W218" s="12"/>
      <c r="X218" s="12"/>
      <c r="Y218" s="12"/>
      <c r="Z218" s="12"/>
      <c r="AA218" s="12"/>
      <c r="AB218" s="12"/>
      <c r="AC218" s="12"/>
    </row>
    <row r="219" spans="1:29" ht="12.75" customHeight="1">
      <c r="A219" s="12"/>
      <c r="B219" s="12"/>
      <c r="C219" s="12"/>
      <c r="D219" s="12"/>
      <c r="E219" s="12"/>
      <c r="F219" s="12"/>
      <c r="G219" s="12"/>
      <c r="H219" s="592"/>
      <c r="I219" s="592"/>
      <c r="J219" s="592"/>
      <c r="K219" s="592"/>
      <c r="L219" s="592"/>
      <c r="M219" s="592"/>
      <c r="N219" s="592"/>
      <c r="O219" s="592"/>
      <c r="P219" s="592"/>
      <c r="Q219" s="592"/>
      <c r="R219" s="592"/>
      <c r="S219" s="592"/>
      <c r="T219" s="592"/>
      <c r="U219" s="12"/>
      <c r="V219" s="12"/>
      <c r="W219" s="12"/>
      <c r="X219" s="12"/>
      <c r="Y219" s="12"/>
      <c r="Z219" s="12"/>
      <c r="AA219" s="12"/>
      <c r="AB219" s="12"/>
      <c r="AC219" s="12"/>
    </row>
    <row r="220" spans="1:29" ht="12.75" customHeight="1">
      <c r="A220" s="12"/>
      <c r="B220" s="12"/>
      <c r="C220" s="12"/>
      <c r="D220" s="12"/>
      <c r="E220" s="12"/>
      <c r="F220" s="12"/>
      <c r="G220" s="12"/>
      <c r="H220" s="592"/>
      <c r="I220" s="592"/>
      <c r="J220" s="592"/>
      <c r="K220" s="592"/>
      <c r="L220" s="592"/>
      <c r="M220" s="592"/>
      <c r="N220" s="592"/>
      <c r="O220" s="592"/>
      <c r="P220" s="592"/>
      <c r="Q220" s="592"/>
      <c r="R220" s="592"/>
      <c r="S220" s="592"/>
      <c r="T220" s="592"/>
      <c r="U220" s="12"/>
      <c r="V220" s="12"/>
      <c r="W220" s="12"/>
      <c r="X220" s="12"/>
      <c r="Y220" s="12"/>
      <c r="Z220" s="12"/>
      <c r="AA220" s="12"/>
      <c r="AB220" s="12"/>
      <c r="AC220" s="12"/>
    </row>
    <row r="221" spans="1:29" ht="12.75" customHeight="1">
      <c r="A221" s="12"/>
      <c r="B221" s="12"/>
      <c r="C221" s="12"/>
      <c r="D221" s="12"/>
      <c r="E221" s="12"/>
      <c r="F221" s="12"/>
      <c r="G221" s="12"/>
      <c r="H221" s="592"/>
      <c r="I221" s="592"/>
      <c r="J221" s="592"/>
      <c r="K221" s="592"/>
      <c r="L221" s="592"/>
      <c r="M221" s="592"/>
      <c r="N221" s="592"/>
      <c r="O221" s="592"/>
      <c r="P221" s="592"/>
      <c r="Q221" s="592"/>
      <c r="R221" s="592"/>
      <c r="S221" s="592"/>
      <c r="T221" s="592"/>
      <c r="U221" s="12"/>
      <c r="V221" s="12"/>
      <c r="W221" s="12"/>
      <c r="X221" s="12"/>
      <c r="Y221" s="12"/>
      <c r="Z221" s="12"/>
      <c r="AA221" s="12"/>
      <c r="AB221" s="12"/>
      <c r="AC221" s="12"/>
    </row>
    <row r="222" spans="1:29" ht="12.75" customHeight="1">
      <c r="A222" s="12"/>
      <c r="B222" s="12"/>
      <c r="C222" s="12"/>
      <c r="D222" s="12"/>
      <c r="E222" s="12"/>
      <c r="F222" s="12"/>
      <c r="G222" s="12"/>
      <c r="H222" s="592"/>
      <c r="I222" s="592"/>
      <c r="J222" s="592"/>
      <c r="K222" s="592"/>
      <c r="L222" s="592"/>
      <c r="M222" s="592"/>
      <c r="N222" s="592"/>
      <c r="O222" s="592"/>
      <c r="P222" s="592"/>
      <c r="Q222" s="592"/>
      <c r="R222" s="592"/>
      <c r="S222" s="592"/>
      <c r="T222" s="592"/>
      <c r="U222" s="12"/>
      <c r="V222" s="12"/>
      <c r="W222" s="12"/>
      <c r="X222" s="12"/>
      <c r="Y222" s="12"/>
      <c r="Z222" s="12"/>
      <c r="AA222" s="12"/>
      <c r="AB222" s="12"/>
      <c r="AC222" s="12"/>
    </row>
    <row r="223" spans="1:29" ht="12.75" customHeight="1">
      <c r="A223" s="12"/>
      <c r="B223" s="12"/>
      <c r="C223" s="12"/>
      <c r="D223" s="12"/>
      <c r="E223" s="12"/>
      <c r="F223" s="12"/>
      <c r="G223" s="12"/>
      <c r="H223" s="592"/>
      <c r="I223" s="592"/>
      <c r="J223" s="592"/>
      <c r="K223" s="592"/>
      <c r="L223" s="592"/>
      <c r="M223" s="592"/>
      <c r="N223" s="592"/>
      <c r="O223" s="592"/>
      <c r="P223" s="592"/>
      <c r="Q223" s="592"/>
      <c r="R223" s="592"/>
      <c r="S223" s="592"/>
      <c r="T223" s="592"/>
      <c r="U223" s="12"/>
      <c r="V223" s="12"/>
      <c r="W223" s="12"/>
      <c r="X223" s="12"/>
      <c r="Y223" s="12"/>
      <c r="Z223" s="12"/>
      <c r="AA223" s="12"/>
      <c r="AB223" s="12"/>
      <c r="AC223" s="12"/>
    </row>
    <row r="224" spans="1:29" ht="12.75" customHeight="1">
      <c r="A224" s="12"/>
      <c r="B224" s="12"/>
      <c r="C224" s="12"/>
      <c r="D224" s="12"/>
      <c r="E224" s="12"/>
      <c r="F224" s="12"/>
      <c r="G224" s="12"/>
      <c r="H224" s="592"/>
      <c r="I224" s="592"/>
      <c r="J224" s="592"/>
      <c r="K224" s="592"/>
      <c r="L224" s="592"/>
      <c r="M224" s="592"/>
      <c r="N224" s="592"/>
      <c r="O224" s="592"/>
      <c r="P224" s="592"/>
      <c r="Q224" s="592"/>
      <c r="R224" s="592"/>
      <c r="S224" s="592"/>
      <c r="T224" s="592"/>
      <c r="U224" s="12"/>
      <c r="V224" s="12"/>
      <c r="W224" s="12"/>
      <c r="X224" s="12"/>
      <c r="Y224" s="12"/>
      <c r="Z224" s="12"/>
      <c r="AA224" s="12"/>
      <c r="AB224" s="12"/>
      <c r="AC224" s="12"/>
    </row>
    <row r="225" spans="1:29" ht="12.75" customHeight="1">
      <c r="A225" s="12"/>
      <c r="B225" s="12"/>
      <c r="C225" s="12"/>
      <c r="D225" s="12"/>
      <c r="E225" s="12"/>
      <c r="F225" s="12"/>
      <c r="G225" s="12"/>
      <c r="H225" s="592"/>
      <c r="I225" s="592"/>
      <c r="J225" s="592"/>
      <c r="K225" s="592"/>
      <c r="L225" s="592"/>
      <c r="M225" s="592"/>
      <c r="N225" s="592"/>
      <c r="O225" s="592"/>
      <c r="P225" s="592"/>
      <c r="Q225" s="592"/>
      <c r="R225" s="592"/>
      <c r="S225" s="592"/>
      <c r="T225" s="592"/>
      <c r="U225" s="12"/>
      <c r="V225" s="12"/>
      <c r="W225" s="12"/>
      <c r="X225" s="12"/>
      <c r="Y225" s="12"/>
      <c r="Z225" s="12"/>
      <c r="AA225" s="12"/>
      <c r="AB225" s="12"/>
      <c r="AC225" s="12"/>
    </row>
    <row r="226" spans="1:29" ht="12.75" customHeight="1">
      <c r="A226" s="12"/>
      <c r="B226" s="12"/>
      <c r="C226" s="12"/>
      <c r="D226" s="12"/>
      <c r="E226" s="12"/>
      <c r="F226" s="12"/>
      <c r="G226" s="12"/>
      <c r="H226" s="592"/>
      <c r="I226" s="592"/>
      <c r="J226" s="592"/>
      <c r="K226" s="592"/>
      <c r="L226" s="592"/>
      <c r="M226" s="592"/>
      <c r="N226" s="592"/>
      <c r="O226" s="592"/>
      <c r="P226" s="592"/>
      <c r="Q226" s="592"/>
      <c r="R226" s="592"/>
      <c r="S226" s="592"/>
      <c r="T226" s="592"/>
      <c r="U226" s="12"/>
      <c r="V226" s="12"/>
      <c r="W226" s="12"/>
      <c r="X226" s="12"/>
      <c r="Y226" s="12"/>
      <c r="Z226" s="12"/>
      <c r="AA226" s="12"/>
      <c r="AB226" s="12"/>
      <c r="AC226" s="12"/>
    </row>
    <row r="227" spans="1:29" ht="12.75" customHeight="1">
      <c r="A227" s="12"/>
      <c r="B227" s="12"/>
      <c r="C227" s="12"/>
      <c r="D227" s="12"/>
      <c r="E227" s="12"/>
      <c r="F227" s="12"/>
      <c r="G227" s="12"/>
      <c r="H227" s="592"/>
      <c r="I227" s="592"/>
      <c r="J227" s="592"/>
      <c r="K227" s="592"/>
      <c r="L227" s="592"/>
      <c r="M227" s="592"/>
      <c r="N227" s="592"/>
      <c r="O227" s="592"/>
      <c r="P227" s="592"/>
      <c r="Q227" s="592"/>
      <c r="R227" s="592"/>
      <c r="S227" s="592"/>
      <c r="T227" s="592"/>
      <c r="U227" s="12"/>
      <c r="V227" s="12"/>
      <c r="W227" s="12"/>
      <c r="X227" s="12"/>
      <c r="Y227" s="12"/>
      <c r="Z227" s="12"/>
      <c r="AA227" s="12"/>
      <c r="AB227" s="12"/>
      <c r="AC227" s="12"/>
    </row>
    <row r="228" spans="1:29" ht="12.75" customHeight="1">
      <c r="A228" s="12"/>
      <c r="B228" s="12"/>
      <c r="C228" s="12"/>
      <c r="D228" s="12"/>
      <c r="E228" s="12"/>
      <c r="F228" s="12"/>
      <c r="G228" s="12"/>
      <c r="H228" s="592"/>
      <c r="I228" s="592"/>
      <c r="J228" s="592"/>
      <c r="K228" s="592"/>
      <c r="L228" s="592"/>
      <c r="M228" s="592"/>
      <c r="N228" s="592"/>
      <c r="O228" s="592"/>
      <c r="P228" s="592"/>
      <c r="Q228" s="592"/>
      <c r="R228" s="592"/>
      <c r="S228" s="592"/>
      <c r="T228" s="592"/>
      <c r="U228" s="12"/>
      <c r="V228" s="12"/>
      <c r="W228" s="12"/>
      <c r="X228" s="12"/>
      <c r="Y228" s="12"/>
      <c r="Z228" s="12"/>
      <c r="AA228" s="12"/>
      <c r="AB228" s="12"/>
      <c r="AC228" s="12"/>
    </row>
    <row r="229" spans="1:29" ht="12.75" customHeight="1">
      <c r="A229" s="12"/>
      <c r="B229" s="12"/>
      <c r="C229" s="12"/>
      <c r="D229" s="12"/>
      <c r="E229" s="12"/>
      <c r="F229" s="12"/>
      <c r="G229" s="12"/>
      <c r="H229" s="592"/>
      <c r="I229" s="592"/>
      <c r="J229" s="592"/>
      <c r="K229" s="592"/>
      <c r="L229" s="592"/>
      <c r="M229" s="592"/>
      <c r="N229" s="592"/>
      <c r="O229" s="592"/>
      <c r="P229" s="592"/>
      <c r="Q229" s="592"/>
      <c r="R229" s="592"/>
      <c r="S229" s="592"/>
      <c r="T229" s="592"/>
      <c r="U229" s="12"/>
      <c r="V229" s="12"/>
      <c r="W229" s="12"/>
      <c r="X229" s="12"/>
      <c r="Y229" s="12"/>
      <c r="Z229" s="12"/>
      <c r="AA229" s="12"/>
      <c r="AB229" s="12"/>
      <c r="AC229" s="12"/>
    </row>
    <row r="230" spans="1:29" ht="12.75" customHeight="1">
      <c r="A230" s="12"/>
      <c r="B230" s="12"/>
      <c r="C230" s="12"/>
      <c r="D230" s="12"/>
      <c r="E230" s="12"/>
      <c r="F230" s="12"/>
      <c r="G230" s="12"/>
      <c r="H230" s="592"/>
      <c r="I230" s="592"/>
      <c r="J230" s="592"/>
      <c r="K230" s="592"/>
      <c r="L230" s="592"/>
      <c r="M230" s="592"/>
      <c r="N230" s="592"/>
      <c r="O230" s="592"/>
      <c r="P230" s="592"/>
      <c r="Q230" s="592"/>
      <c r="R230" s="592"/>
      <c r="S230" s="592"/>
      <c r="T230" s="592"/>
      <c r="U230" s="12"/>
      <c r="V230" s="12"/>
      <c r="W230" s="12"/>
      <c r="X230" s="12"/>
      <c r="Y230" s="12"/>
      <c r="Z230" s="12"/>
      <c r="AA230" s="12"/>
      <c r="AB230" s="12"/>
      <c r="AC230" s="12"/>
    </row>
    <row r="231" spans="1:29" ht="12.75" customHeight="1">
      <c r="A231" s="12"/>
      <c r="B231" s="12"/>
      <c r="C231" s="12"/>
      <c r="D231" s="12"/>
      <c r="E231" s="12"/>
      <c r="F231" s="12"/>
      <c r="G231" s="12"/>
      <c r="H231" s="592"/>
      <c r="I231" s="592"/>
      <c r="J231" s="592"/>
      <c r="K231" s="592"/>
      <c r="L231" s="592"/>
      <c r="M231" s="592"/>
      <c r="N231" s="592"/>
      <c r="O231" s="592"/>
      <c r="P231" s="592"/>
      <c r="Q231" s="592"/>
      <c r="R231" s="592"/>
      <c r="S231" s="592"/>
      <c r="T231" s="592"/>
      <c r="U231" s="12"/>
      <c r="V231" s="12"/>
      <c r="W231" s="12"/>
      <c r="X231" s="12"/>
      <c r="Y231" s="12"/>
      <c r="Z231" s="12"/>
      <c r="AA231" s="12"/>
      <c r="AB231" s="12"/>
      <c r="AC231" s="12"/>
    </row>
    <row r="232" spans="1:29" ht="12.75" customHeight="1">
      <c r="A232" s="12"/>
      <c r="B232" s="12"/>
      <c r="C232" s="12"/>
      <c r="D232" s="12"/>
      <c r="E232" s="12"/>
      <c r="F232" s="12"/>
      <c r="G232" s="12"/>
      <c r="H232" s="592"/>
      <c r="I232" s="592"/>
      <c r="J232" s="592"/>
      <c r="K232" s="592"/>
      <c r="L232" s="592"/>
      <c r="M232" s="592"/>
      <c r="N232" s="592"/>
      <c r="O232" s="592"/>
      <c r="P232" s="592"/>
      <c r="Q232" s="592"/>
      <c r="R232" s="592"/>
      <c r="S232" s="592"/>
      <c r="T232" s="592"/>
      <c r="U232" s="12"/>
      <c r="V232" s="12"/>
      <c r="W232" s="12"/>
      <c r="X232" s="12"/>
      <c r="Y232" s="12"/>
      <c r="Z232" s="12"/>
      <c r="AA232" s="12"/>
      <c r="AB232" s="12"/>
      <c r="AC232" s="12"/>
    </row>
    <row r="233" spans="1:29" ht="12.75" customHeight="1">
      <c r="A233" s="12"/>
      <c r="B233" s="12"/>
      <c r="C233" s="12"/>
      <c r="D233" s="12"/>
      <c r="E233" s="12"/>
      <c r="F233" s="12"/>
      <c r="G233" s="12"/>
      <c r="H233" s="592"/>
      <c r="I233" s="592"/>
      <c r="J233" s="592"/>
      <c r="K233" s="592"/>
      <c r="L233" s="592"/>
      <c r="M233" s="592"/>
      <c r="N233" s="592"/>
      <c r="O233" s="592"/>
      <c r="P233" s="592"/>
      <c r="Q233" s="592"/>
      <c r="R233" s="592"/>
      <c r="S233" s="592"/>
      <c r="T233" s="592"/>
      <c r="U233" s="12"/>
      <c r="V233" s="12"/>
      <c r="W233" s="12"/>
      <c r="X233" s="12"/>
      <c r="Y233" s="12"/>
      <c r="Z233" s="12"/>
      <c r="AA233" s="12"/>
      <c r="AB233" s="12"/>
      <c r="AC233" s="12"/>
    </row>
    <row r="234" spans="1:29" ht="12.75" customHeight="1">
      <c r="A234" s="12"/>
      <c r="B234" s="12"/>
      <c r="C234" s="12"/>
      <c r="D234" s="12"/>
      <c r="E234" s="12"/>
      <c r="F234" s="12"/>
      <c r="G234" s="12"/>
      <c r="H234" s="592"/>
      <c r="I234" s="592"/>
      <c r="J234" s="592"/>
      <c r="K234" s="592"/>
      <c r="L234" s="592"/>
      <c r="M234" s="592"/>
      <c r="N234" s="592"/>
      <c r="O234" s="592"/>
      <c r="P234" s="592"/>
      <c r="Q234" s="592"/>
      <c r="R234" s="592"/>
      <c r="S234" s="592"/>
      <c r="T234" s="592"/>
      <c r="U234" s="12"/>
      <c r="V234" s="12"/>
      <c r="W234" s="12"/>
      <c r="X234" s="12"/>
      <c r="Y234" s="12"/>
      <c r="Z234" s="12"/>
      <c r="AA234" s="12"/>
      <c r="AB234" s="12"/>
      <c r="AC234" s="12"/>
    </row>
    <row r="235" spans="1:29" ht="12.75" customHeight="1">
      <c r="A235" s="12"/>
      <c r="B235" s="12"/>
      <c r="C235" s="12"/>
      <c r="D235" s="12"/>
      <c r="E235" s="12"/>
      <c r="F235" s="12"/>
      <c r="G235" s="12"/>
      <c r="H235" s="592"/>
      <c r="I235" s="592"/>
      <c r="J235" s="592"/>
      <c r="K235" s="592"/>
      <c r="L235" s="592"/>
      <c r="M235" s="592"/>
      <c r="N235" s="592"/>
      <c r="O235" s="592"/>
      <c r="P235" s="592"/>
      <c r="Q235" s="592"/>
      <c r="R235" s="592"/>
      <c r="S235" s="592"/>
      <c r="T235" s="592"/>
      <c r="U235" s="12"/>
      <c r="V235" s="12"/>
      <c r="W235" s="12"/>
      <c r="X235" s="12"/>
      <c r="Y235" s="12"/>
      <c r="Z235" s="12"/>
      <c r="AA235" s="12"/>
      <c r="AB235" s="12"/>
      <c r="AC235" s="12"/>
    </row>
    <row r="236" spans="1:29" ht="12.75" customHeight="1">
      <c r="A236" s="12"/>
      <c r="B236" s="12"/>
      <c r="C236" s="12"/>
      <c r="D236" s="12"/>
      <c r="E236" s="12"/>
      <c r="F236" s="12"/>
      <c r="G236" s="12"/>
      <c r="H236" s="592"/>
      <c r="I236" s="592"/>
      <c r="J236" s="592"/>
      <c r="K236" s="592"/>
      <c r="L236" s="592"/>
      <c r="M236" s="592"/>
      <c r="N236" s="592"/>
      <c r="O236" s="592"/>
      <c r="P236" s="592"/>
      <c r="Q236" s="592"/>
      <c r="R236" s="592"/>
      <c r="S236" s="592"/>
      <c r="T236" s="592"/>
      <c r="U236" s="12"/>
      <c r="V236" s="12"/>
      <c r="W236" s="12"/>
      <c r="X236" s="12"/>
      <c r="Y236" s="12"/>
      <c r="Z236" s="12"/>
      <c r="AA236" s="12"/>
      <c r="AB236" s="12"/>
      <c r="AC236" s="12"/>
    </row>
    <row r="237" spans="1:29" ht="12.75" customHeight="1">
      <c r="A237" s="12"/>
      <c r="B237" s="12"/>
      <c r="C237" s="12"/>
      <c r="D237" s="12"/>
      <c r="E237" s="12"/>
      <c r="F237" s="12"/>
      <c r="G237" s="12"/>
      <c r="H237" s="592"/>
      <c r="I237" s="592"/>
      <c r="J237" s="592"/>
      <c r="K237" s="592"/>
      <c r="L237" s="592"/>
      <c r="M237" s="592"/>
      <c r="N237" s="592"/>
      <c r="O237" s="592"/>
      <c r="P237" s="592"/>
      <c r="Q237" s="592"/>
      <c r="R237" s="592"/>
      <c r="S237" s="592"/>
      <c r="T237" s="592"/>
      <c r="U237" s="12"/>
      <c r="V237" s="12"/>
      <c r="W237" s="12"/>
      <c r="X237" s="12"/>
      <c r="Y237" s="12"/>
      <c r="Z237" s="12"/>
      <c r="AA237" s="12"/>
      <c r="AB237" s="12"/>
      <c r="AC237" s="12"/>
    </row>
    <row r="238" spans="1:29" ht="12.75" customHeight="1">
      <c r="A238" s="12"/>
      <c r="B238" s="12"/>
      <c r="C238" s="12"/>
      <c r="D238" s="12"/>
      <c r="E238" s="12"/>
      <c r="F238" s="12"/>
      <c r="G238" s="12"/>
      <c r="H238" s="592"/>
      <c r="I238" s="592"/>
      <c r="J238" s="592"/>
      <c r="K238" s="592"/>
      <c r="L238" s="592"/>
      <c r="M238" s="592"/>
      <c r="N238" s="592"/>
      <c r="O238" s="592"/>
      <c r="P238" s="592"/>
      <c r="Q238" s="592"/>
      <c r="R238" s="592"/>
      <c r="S238" s="592"/>
      <c r="T238" s="592"/>
      <c r="U238" s="12"/>
      <c r="V238" s="12"/>
      <c r="W238" s="12"/>
      <c r="X238" s="12"/>
      <c r="Y238" s="12"/>
      <c r="Z238" s="12"/>
      <c r="AA238" s="12"/>
      <c r="AB238" s="12"/>
      <c r="AC238" s="12"/>
    </row>
    <row r="239" spans="1:29" ht="12.75" customHeight="1">
      <c r="A239" s="12"/>
      <c r="B239" s="12"/>
      <c r="C239" s="12"/>
      <c r="D239" s="12"/>
      <c r="E239" s="12"/>
      <c r="F239" s="12"/>
      <c r="G239" s="12"/>
      <c r="H239" s="592"/>
      <c r="I239" s="592"/>
      <c r="J239" s="592"/>
      <c r="K239" s="592"/>
      <c r="L239" s="592"/>
      <c r="M239" s="592"/>
      <c r="N239" s="592"/>
      <c r="O239" s="592"/>
      <c r="P239" s="592"/>
      <c r="Q239" s="592"/>
      <c r="R239" s="592"/>
      <c r="S239" s="592"/>
      <c r="T239" s="592"/>
      <c r="U239" s="12"/>
      <c r="V239" s="12"/>
      <c r="W239" s="12"/>
      <c r="X239" s="12"/>
      <c r="Y239" s="12"/>
      <c r="Z239" s="12"/>
      <c r="AA239" s="12"/>
      <c r="AB239" s="12"/>
      <c r="AC239" s="12"/>
    </row>
    <row r="240" spans="1:29" ht="12.75" customHeight="1">
      <c r="A240" s="12"/>
      <c r="B240" s="12"/>
      <c r="C240" s="12"/>
      <c r="D240" s="12"/>
      <c r="E240" s="12"/>
      <c r="F240" s="12"/>
      <c r="G240" s="12"/>
      <c r="H240" s="592"/>
      <c r="I240" s="592"/>
      <c r="J240" s="592"/>
      <c r="K240" s="592"/>
      <c r="L240" s="592"/>
      <c r="M240" s="592"/>
      <c r="N240" s="592"/>
      <c r="O240" s="592"/>
      <c r="P240" s="592"/>
      <c r="Q240" s="592"/>
      <c r="R240" s="592"/>
      <c r="S240" s="592"/>
      <c r="T240" s="592"/>
      <c r="U240" s="12"/>
      <c r="V240" s="12"/>
      <c r="W240" s="12"/>
      <c r="X240" s="12"/>
      <c r="Y240" s="12"/>
      <c r="Z240" s="12"/>
      <c r="AA240" s="12"/>
      <c r="AB240" s="12"/>
      <c r="AC240" s="12"/>
    </row>
    <row r="241" spans="1:29" ht="12.75" customHeight="1">
      <c r="A241" s="12"/>
      <c r="B241" s="12"/>
      <c r="C241" s="12"/>
      <c r="D241" s="12"/>
      <c r="E241" s="12"/>
      <c r="F241" s="12"/>
      <c r="G241" s="12"/>
      <c r="H241" s="592"/>
      <c r="I241" s="592"/>
      <c r="J241" s="592"/>
      <c r="K241" s="592"/>
      <c r="L241" s="592"/>
      <c r="M241" s="592"/>
      <c r="N241" s="592"/>
      <c r="O241" s="592"/>
      <c r="P241" s="592"/>
      <c r="Q241" s="592"/>
      <c r="R241" s="592"/>
      <c r="S241" s="592"/>
      <c r="T241" s="592"/>
      <c r="U241" s="12"/>
      <c r="V241" s="12"/>
      <c r="W241" s="12"/>
      <c r="X241" s="12"/>
      <c r="Y241" s="12"/>
      <c r="Z241" s="12"/>
      <c r="AA241" s="12"/>
      <c r="AB241" s="12"/>
      <c r="AC241" s="12"/>
    </row>
    <row r="242" spans="1:29" ht="12.75" customHeight="1">
      <c r="A242" s="12"/>
      <c r="B242" s="12"/>
      <c r="C242" s="12"/>
      <c r="D242" s="12"/>
      <c r="E242" s="12"/>
      <c r="F242" s="12"/>
      <c r="G242" s="12"/>
      <c r="H242" s="592"/>
      <c r="I242" s="592"/>
      <c r="J242" s="592"/>
      <c r="K242" s="592"/>
      <c r="L242" s="592"/>
      <c r="M242" s="592"/>
      <c r="N242" s="592"/>
      <c r="O242" s="592"/>
      <c r="P242" s="592"/>
      <c r="Q242" s="592"/>
      <c r="R242" s="592"/>
      <c r="S242" s="592"/>
      <c r="T242" s="592"/>
      <c r="U242" s="12"/>
      <c r="V242" s="12"/>
      <c r="W242" s="12"/>
      <c r="X242" s="12"/>
      <c r="Y242" s="12"/>
      <c r="Z242" s="12"/>
      <c r="AA242" s="12"/>
      <c r="AB242" s="12"/>
      <c r="AC242" s="12"/>
    </row>
    <row r="243" spans="1:29" ht="12.75" customHeight="1">
      <c r="A243" s="12"/>
      <c r="B243" s="12"/>
      <c r="C243" s="12"/>
      <c r="D243" s="12"/>
      <c r="E243" s="12"/>
      <c r="F243" s="12"/>
      <c r="G243" s="12"/>
      <c r="H243" s="592"/>
      <c r="I243" s="592"/>
      <c r="J243" s="592"/>
      <c r="K243" s="592"/>
      <c r="L243" s="592"/>
      <c r="M243" s="592"/>
      <c r="N243" s="592"/>
      <c r="O243" s="592"/>
      <c r="P243" s="592"/>
      <c r="Q243" s="592"/>
      <c r="R243" s="592"/>
      <c r="S243" s="592"/>
      <c r="T243" s="592"/>
      <c r="U243" s="12"/>
      <c r="V243" s="12"/>
      <c r="W243" s="12"/>
      <c r="X243" s="12"/>
      <c r="Y243" s="12"/>
      <c r="Z243" s="12"/>
      <c r="AA243" s="12"/>
      <c r="AB243" s="12"/>
      <c r="AC243" s="12"/>
    </row>
    <row r="244" spans="1:29" ht="12.75" customHeight="1">
      <c r="A244" s="12"/>
      <c r="B244" s="12"/>
      <c r="C244" s="12"/>
      <c r="D244" s="12"/>
      <c r="E244" s="12"/>
      <c r="F244" s="12"/>
      <c r="G244" s="12"/>
      <c r="H244" s="592"/>
      <c r="I244" s="592"/>
      <c r="J244" s="592"/>
      <c r="K244" s="592"/>
      <c r="L244" s="592"/>
      <c r="M244" s="592"/>
      <c r="N244" s="592"/>
      <c r="O244" s="592"/>
      <c r="P244" s="592"/>
      <c r="Q244" s="592"/>
      <c r="R244" s="592"/>
      <c r="S244" s="592"/>
      <c r="T244" s="592"/>
      <c r="U244" s="12"/>
      <c r="V244" s="12"/>
      <c r="W244" s="12"/>
      <c r="X244" s="12"/>
      <c r="Y244" s="12"/>
      <c r="Z244" s="12"/>
      <c r="AA244" s="12"/>
      <c r="AB244" s="12"/>
      <c r="AC244" s="12"/>
    </row>
    <row r="245" spans="1:29" ht="12.75" customHeight="1">
      <c r="A245" s="12"/>
      <c r="B245" s="12"/>
      <c r="C245" s="12"/>
      <c r="D245" s="12"/>
      <c r="E245" s="12"/>
      <c r="F245" s="12"/>
      <c r="G245" s="12"/>
      <c r="H245" s="592"/>
      <c r="I245" s="592"/>
      <c r="J245" s="592"/>
      <c r="K245" s="592"/>
      <c r="L245" s="592"/>
      <c r="M245" s="592"/>
      <c r="N245" s="592"/>
      <c r="O245" s="592"/>
      <c r="P245" s="592"/>
      <c r="Q245" s="592"/>
      <c r="R245" s="592"/>
      <c r="S245" s="592"/>
      <c r="T245" s="592"/>
      <c r="U245" s="12"/>
      <c r="V245" s="12"/>
      <c r="W245" s="12"/>
      <c r="X245" s="12"/>
      <c r="Y245" s="12"/>
      <c r="Z245" s="12"/>
      <c r="AA245" s="12"/>
      <c r="AB245" s="12"/>
      <c r="AC245" s="12"/>
    </row>
    <row r="246" spans="1:29" ht="12.75" customHeight="1">
      <c r="A246" s="12"/>
      <c r="B246" s="12"/>
      <c r="C246" s="12"/>
      <c r="D246" s="12"/>
      <c r="E246" s="12"/>
      <c r="F246" s="12"/>
      <c r="G246" s="12"/>
      <c r="H246" s="592"/>
      <c r="I246" s="592"/>
      <c r="J246" s="592"/>
      <c r="K246" s="592"/>
      <c r="L246" s="592"/>
      <c r="M246" s="592"/>
      <c r="N246" s="592"/>
      <c r="O246" s="592"/>
      <c r="P246" s="592"/>
      <c r="Q246" s="592"/>
      <c r="R246" s="592"/>
      <c r="S246" s="592"/>
      <c r="T246" s="592"/>
      <c r="U246" s="12"/>
      <c r="V246" s="12"/>
      <c r="W246" s="12"/>
      <c r="X246" s="12"/>
      <c r="Y246" s="12"/>
      <c r="Z246" s="12"/>
      <c r="AA246" s="12"/>
      <c r="AB246" s="12"/>
      <c r="AC246" s="12"/>
    </row>
    <row r="247" spans="1:29" ht="12.75" customHeight="1">
      <c r="A247" s="12"/>
      <c r="B247" s="12"/>
      <c r="C247" s="12"/>
      <c r="D247" s="12"/>
      <c r="E247" s="12"/>
      <c r="F247" s="12"/>
      <c r="G247" s="12"/>
      <c r="H247" s="592"/>
      <c r="I247" s="592"/>
      <c r="J247" s="592"/>
      <c r="K247" s="592"/>
      <c r="L247" s="592"/>
      <c r="M247" s="592"/>
      <c r="N247" s="592"/>
      <c r="O247" s="592"/>
      <c r="P247" s="592"/>
      <c r="Q247" s="592"/>
      <c r="R247" s="592"/>
      <c r="S247" s="592"/>
      <c r="T247" s="592"/>
      <c r="U247" s="12"/>
      <c r="V247" s="12"/>
      <c r="W247" s="12"/>
      <c r="X247" s="12"/>
      <c r="Y247" s="12"/>
      <c r="Z247" s="12"/>
      <c r="AA247" s="12"/>
      <c r="AB247" s="12"/>
      <c r="AC247" s="12"/>
    </row>
    <row r="248" spans="1:29" ht="12.75" customHeight="1">
      <c r="A248" s="12"/>
      <c r="B248" s="12"/>
      <c r="C248" s="12"/>
      <c r="D248" s="12"/>
      <c r="E248" s="12"/>
      <c r="F248" s="12"/>
      <c r="G248" s="12"/>
      <c r="H248" s="592"/>
      <c r="I248" s="592"/>
      <c r="J248" s="592"/>
      <c r="K248" s="592"/>
      <c r="L248" s="592"/>
      <c r="M248" s="592"/>
      <c r="N248" s="592"/>
      <c r="O248" s="592"/>
      <c r="P248" s="592"/>
      <c r="Q248" s="592"/>
      <c r="R248" s="592"/>
      <c r="S248" s="592"/>
      <c r="T248" s="592"/>
      <c r="U248" s="12"/>
      <c r="V248" s="12"/>
      <c r="W248" s="12"/>
      <c r="X248" s="12"/>
      <c r="Y248" s="12"/>
      <c r="Z248" s="12"/>
      <c r="AA248" s="12"/>
      <c r="AB248" s="12"/>
      <c r="AC248" s="12"/>
    </row>
    <row r="249" spans="1:29" ht="12.75" customHeight="1">
      <c r="A249" s="12"/>
      <c r="B249" s="12"/>
      <c r="C249" s="12"/>
      <c r="D249" s="12"/>
      <c r="E249" s="12"/>
      <c r="F249" s="12"/>
      <c r="G249" s="12"/>
      <c r="H249" s="592"/>
      <c r="I249" s="592"/>
      <c r="J249" s="592"/>
      <c r="K249" s="592"/>
      <c r="L249" s="592"/>
      <c r="M249" s="592"/>
      <c r="N249" s="592"/>
      <c r="O249" s="592"/>
      <c r="P249" s="592"/>
      <c r="Q249" s="592"/>
      <c r="R249" s="592"/>
      <c r="S249" s="592"/>
      <c r="T249" s="592"/>
      <c r="U249" s="12"/>
      <c r="V249" s="12"/>
      <c r="W249" s="12"/>
      <c r="X249" s="12"/>
      <c r="Y249" s="12"/>
      <c r="Z249" s="12"/>
      <c r="AA249" s="12"/>
      <c r="AB249" s="12"/>
      <c r="AC249" s="12"/>
    </row>
    <row r="250" spans="1:29" ht="12.75" customHeight="1">
      <c r="A250" s="12"/>
      <c r="B250" s="12"/>
      <c r="C250" s="12"/>
      <c r="D250" s="12"/>
      <c r="E250" s="12"/>
      <c r="F250" s="12"/>
      <c r="G250" s="12"/>
      <c r="H250" s="592"/>
      <c r="I250" s="592"/>
      <c r="J250" s="592"/>
      <c r="K250" s="592"/>
      <c r="L250" s="592"/>
      <c r="M250" s="592"/>
      <c r="N250" s="592"/>
      <c r="O250" s="592"/>
      <c r="P250" s="592"/>
      <c r="Q250" s="592"/>
      <c r="R250" s="592"/>
      <c r="S250" s="592"/>
      <c r="T250" s="592"/>
      <c r="U250" s="12"/>
      <c r="V250" s="12"/>
      <c r="W250" s="12"/>
      <c r="X250" s="12"/>
      <c r="Y250" s="12"/>
      <c r="Z250" s="12"/>
      <c r="AA250" s="12"/>
      <c r="AB250" s="12"/>
      <c r="AC250" s="12"/>
    </row>
    <row r="251" spans="1:29" ht="12.75" customHeight="1">
      <c r="A251" s="12"/>
      <c r="B251" s="12"/>
      <c r="C251" s="12"/>
      <c r="D251" s="12"/>
      <c r="E251" s="12"/>
      <c r="F251" s="12"/>
      <c r="G251" s="12"/>
      <c r="H251" s="592"/>
      <c r="I251" s="592"/>
      <c r="J251" s="592"/>
      <c r="K251" s="592"/>
      <c r="L251" s="592"/>
      <c r="M251" s="592"/>
      <c r="N251" s="592"/>
      <c r="O251" s="592"/>
      <c r="P251" s="592"/>
      <c r="Q251" s="592"/>
      <c r="R251" s="592"/>
      <c r="S251" s="592"/>
      <c r="T251" s="592"/>
      <c r="U251" s="12"/>
      <c r="V251" s="12"/>
      <c r="W251" s="12"/>
      <c r="X251" s="12"/>
      <c r="Y251" s="12"/>
      <c r="Z251" s="12"/>
      <c r="AA251" s="12"/>
      <c r="AB251" s="12"/>
      <c r="AC251" s="12"/>
    </row>
    <row r="252" spans="1:29" ht="12.75" customHeight="1">
      <c r="A252" s="12"/>
      <c r="B252" s="12"/>
      <c r="C252" s="12"/>
      <c r="D252" s="12"/>
      <c r="E252" s="12"/>
      <c r="F252" s="12"/>
      <c r="G252" s="12"/>
      <c r="H252" s="592"/>
      <c r="I252" s="592"/>
      <c r="J252" s="592"/>
      <c r="K252" s="592"/>
      <c r="L252" s="592"/>
      <c r="M252" s="592"/>
      <c r="N252" s="592"/>
      <c r="O252" s="592"/>
      <c r="P252" s="592"/>
      <c r="Q252" s="592"/>
      <c r="R252" s="592"/>
      <c r="S252" s="592"/>
      <c r="T252" s="592"/>
      <c r="U252" s="12"/>
      <c r="V252" s="12"/>
      <c r="W252" s="12"/>
      <c r="X252" s="12"/>
      <c r="Y252" s="12"/>
      <c r="Z252" s="12"/>
      <c r="AA252" s="12"/>
      <c r="AB252" s="12"/>
      <c r="AC252" s="12"/>
    </row>
    <row r="253" spans="1:29" ht="12.75" customHeight="1">
      <c r="A253" s="12"/>
      <c r="B253" s="12"/>
      <c r="C253" s="12"/>
      <c r="D253" s="12"/>
      <c r="E253" s="12"/>
      <c r="F253" s="12"/>
      <c r="G253" s="12"/>
      <c r="H253" s="592"/>
      <c r="I253" s="592"/>
      <c r="J253" s="592"/>
      <c r="K253" s="592"/>
      <c r="L253" s="592"/>
      <c r="M253" s="592"/>
      <c r="N253" s="592"/>
      <c r="O253" s="592"/>
      <c r="P253" s="592"/>
      <c r="Q253" s="592"/>
      <c r="R253" s="592"/>
      <c r="S253" s="592"/>
      <c r="T253" s="592"/>
      <c r="U253" s="12"/>
      <c r="V253" s="12"/>
      <c r="W253" s="12"/>
      <c r="X253" s="12"/>
      <c r="Y253" s="12"/>
      <c r="Z253" s="12"/>
      <c r="AA253" s="12"/>
      <c r="AB253" s="12"/>
      <c r="AC253" s="12"/>
    </row>
    <row r="254" spans="1:29" ht="12.75" customHeight="1">
      <c r="A254" s="12"/>
      <c r="B254" s="12"/>
      <c r="C254" s="12"/>
      <c r="D254" s="12"/>
      <c r="E254" s="12"/>
      <c r="F254" s="12"/>
      <c r="G254" s="12"/>
      <c r="H254" s="592"/>
      <c r="I254" s="592"/>
      <c r="J254" s="592"/>
      <c r="K254" s="592"/>
      <c r="L254" s="592"/>
      <c r="M254" s="592"/>
      <c r="N254" s="592"/>
      <c r="O254" s="592"/>
      <c r="P254" s="592"/>
      <c r="Q254" s="592"/>
      <c r="R254" s="592"/>
      <c r="S254" s="592"/>
      <c r="T254" s="592"/>
      <c r="U254" s="12"/>
      <c r="V254" s="12"/>
      <c r="W254" s="12"/>
      <c r="X254" s="12"/>
      <c r="Y254" s="12"/>
      <c r="Z254" s="12"/>
      <c r="AA254" s="12"/>
      <c r="AB254" s="12"/>
      <c r="AC254" s="12"/>
    </row>
    <row r="255" spans="1:29" ht="12.75" customHeight="1">
      <c r="A255" s="12"/>
      <c r="B255" s="12"/>
      <c r="C255" s="12"/>
      <c r="D255" s="12"/>
      <c r="E255" s="12"/>
      <c r="F255" s="12"/>
      <c r="G255" s="12"/>
      <c r="H255" s="592"/>
      <c r="I255" s="592"/>
      <c r="J255" s="592"/>
      <c r="K255" s="592"/>
      <c r="L255" s="592"/>
      <c r="M255" s="592"/>
      <c r="N255" s="592"/>
      <c r="O255" s="592"/>
      <c r="P255" s="592"/>
      <c r="Q255" s="592"/>
      <c r="R255" s="592"/>
      <c r="S255" s="592"/>
      <c r="T255" s="592"/>
      <c r="U255" s="12"/>
      <c r="V255" s="12"/>
      <c r="W255" s="12"/>
      <c r="X255" s="12"/>
      <c r="Y255" s="12"/>
      <c r="Z255" s="12"/>
      <c r="AA255" s="12"/>
      <c r="AB255" s="12"/>
      <c r="AC255" s="12"/>
    </row>
    <row r="256" spans="1:29" ht="12.75" customHeight="1">
      <c r="A256" s="12"/>
      <c r="B256" s="12"/>
      <c r="C256" s="12"/>
      <c r="D256" s="12"/>
      <c r="E256" s="12"/>
      <c r="F256" s="12"/>
      <c r="G256" s="12"/>
      <c r="H256" s="592"/>
      <c r="I256" s="592"/>
      <c r="J256" s="592"/>
      <c r="K256" s="592"/>
      <c r="L256" s="592"/>
      <c r="M256" s="592"/>
      <c r="N256" s="592"/>
      <c r="O256" s="592"/>
      <c r="P256" s="592"/>
      <c r="Q256" s="592"/>
      <c r="R256" s="592"/>
      <c r="S256" s="592"/>
      <c r="T256" s="592"/>
      <c r="U256" s="12"/>
      <c r="V256" s="12"/>
      <c r="W256" s="12"/>
      <c r="X256" s="12"/>
      <c r="Y256" s="12"/>
      <c r="Z256" s="12"/>
      <c r="AA256" s="12"/>
      <c r="AB256" s="12"/>
      <c r="AC256" s="12"/>
    </row>
    <row r="257" spans="1:29" ht="12.75" customHeight="1">
      <c r="A257" s="12"/>
      <c r="B257" s="12"/>
      <c r="C257" s="12"/>
      <c r="D257" s="12"/>
      <c r="E257" s="12"/>
      <c r="F257" s="12"/>
      <c r="G257" s="12"/>
      <c r="H257" s="592"/>
      <c r="I257" s="592"/>
      <c r="J257" s="592"/>
      <c r="K257" s="592"/>
      <c r="L257" s="592"/>
      <c r="M257" s="592"/>
      <c r="N257" s="592"/>
      <c r="O257" s="592"/>
      <c r="P257" s="592"/>
      <c r="Q257" s="592"/>
      <c r="R257" s="592"/>
      <c r="S257" s="592"/>
      <c r="T257" s="592"/>
      <c r="U257" s="12"/>
      <c r="V257" s="12"/>
      <c r="W257" s="12"/>
      <c r="X257" s="12"/>
      <c r="Y257" s="12"/>
      <c r="Z257" s="12"/>
      <c r="AA257" s="12"/>
      <c r="AB257" s="12"/>
      <c r="AC257" s="12"/>
    </row>
    <row r="258" spans="1:29" ht="12.75" customHeight="1">
      <c r="A258" s="12"/>
      <c r="B258" s="12"/>
      <c r="C258" s="12"/>
      <c r="D258" s="12"/>
      <c r="E258" s="12"/>
      <c r="F258" s="12"/>
      <c r="G258" s="12"/>
      <c r="H258" s="592"/>
      <c r="I258" s="592"/>
      <c r="J258" s="592"/>
      <c r="K258" s="592"/>
      <c r="L258" s="592"/>
      <c r="M258" s="592"/>
      <c r="N258" s="592"/>
      <c r="O258" s="592"/>
      <c r="P258" s="592"/>
      <c r="Q258" s="592"/>
      <c r="R258" s="592"/>
      <c r="S258" s="592"/>
      <c r="T258" s="592"/>
      <c r="U258" s="12"/>
      <c r="V258" s="12"/>
      <c r="W258" s="12"/>
      <c r="X258" s="12"/>
      <c r="Y258" s="12"/>
      <c r="Z258" s="12"/>
      <c r="AA258" s="12"/>
      <c r="AB258" s="12"/>
      <c r="AC258" s="12"/>
    </row>
    <row r="259" spans="1:29" ht="12.75" customHeight="1">
      <c r="A259" s="12"/>
      <c r="B259" s="12"/>
      <c r="C259" s="12"/>
      <c r="D259" s="12"/>
      <c r="E259" s="12"/>
      <c r="F259" s="12"/>
      <c r="G259" s="12"/>
      <c r="H259" s="592"/>
      <c r="I259" s="592"/>
      <c r="J259" s="592"/>
      <c r="K259" s="592"/>
      <c r="L259" s="592"/>
      <c r="M259" s="592"/>
      <c r="N259" s="592"/>
      <c r="O259" s="592"/>
      <c r="P259" s="592"/>
      <c r="Q259" s="592"/>
      <c r="R259" s="592"/>
      <c r="S259" s="592"/>
      <c r="T259" s="592"/>
      <c r="U259" s="12"/>
      <c r="V259" s="12"/>
      <c r="W259" s="12"/>
      <c r="X259" s="12"/>
      <c r="Y259" s="12"/>
      <c r="Z259" s="12"/>
      <c r="AA259" s="12"/>
      <c r="AB259" s="12"/>
      <c r="AC259" s="12"/>
    </row>
    <row r="260" spans="1:29" ht="12.75" customHeight="1">
      <c r="A260" s="12"/>
      <c r="B260" s="12"/>
      <c r="C260" s="12"/>
      <c r="D260" s="12"/>
      <c r="E260" s="12"/>
      <c r="F260" s="12"/>
      <c r="G260" s="12"/>
      <c r="H260" s="592"/>
      <c r="I260" s="592"/>
      <c r="J260" s="592"/>
      <c r="K260" s="592"/>
      <c r="L260" s="592"/>
      <c r="M260" s="592"/>
      <c r="N260" s="592"/>
      <c r="O260" s="592"/>
      <c r="P260" s="592"/>
      <c r="Q260" s="592"/>
      <c r="R260" s="592"/>
      <c r="S260" s="592"/>
      <c r="T260" s="592"/>
      <c r="U260" s="12"/>
      <c r="V260" s="12"/>
      <c r="W260" s="12"/>
      <c r="X260" s="12"/>
      <c r="Y260" s="12"/>
      <c r="Z260" s="12"/>
      <c r="AA260" s="12"/>
      <c r="AB260" s="12"/>
      <c r="AC260" s="12"/>
    </row>
    <row r="261" spans="1:29" ht="12.75" customHeight="1">
      <c r="A261" s="12"/>
      <c r="B261" s="12"/>
      <c r="C261" s="12"/>
      <c r="D261" s="12"/>
      <c r="E261" s="12"/>
      <c r="F261" s="12"/>
      <c r="G261" s="12"/>
      <c r="H261" s="592"/>
      <c r="I261" s="592"/>
      <c r="J261" s="592"/>
      <c r="K261" s="592"/>
      <c r="L261" s="592"/>
      <c r="M261" s="592"/>
      <c r="N261" s="592"/>
      <c r="O261" s="592"/>
      <c r="P261" s="592"/>
      <c r="Q261" s="592"/>
      <c r="R261" s="592"/>
      <c r="S261" s="592"/>
      <c r="T261" s="592"/>
      <c r="U261" s="12"/>
      <c r="V261" s="12"/>
      <c r="W261" s="12"/>
      <c r="X261" s="12"/>
      <c r="Y261" s="12"/>
      <c r="Z261" s="12"/>
      <c r="AA261" s="12"/>
      <c r="AB261" s="12"/>
      <c r="AC261" s="12"/>
    </row>
    <row r="262" spans="1:29" ht="12.75" customHeight="1">
      <c r="A262" s="12"/>
      <c r="B262" s="12"/>
      <c r="C262" s="12"/>
      <c r="D262" s="12"/>
      <c r="E262" s="12"/>
      <c r="F262" s="12"/>
      <c r="G262" s="12"/>
      <c r="H262" s="592"/>
      <c r="I262" s="592"/>
      <c r="J262" s="592"/>
      <c r="K262" s="592"/>
      <c r="L262" s="592"/>
      <c r="M262" s="592"/>
      <c r="N262" s="592"/>
      <c r="O262" s="592"/>
      <c r="P262" s="592"/>
      <c r="Q262" s="592"/>
      <c r="R262" s="592"/>
      <c r="S262" s="592"/>
      <c r="T262" s="592"/>
      <c r="U262" s="12"/>
      <c r="V262" s="12"/>
      <c r="W262" s="12"/>
      <c r="X262" s="12"/>
      <c r="Y262" s="12"/>
      <c r="Z262" s="12"/>
      <c r="AA262" s="12"/>
      <c r="AB262" s="12"/>
      <c r="AC262" s="12"/>
    </row>
    <row r="263" spans="1:29" ht="12.75" customHeight="1">
      <c r="A263" s="12"/>
      <c r="B263" s="12"/>
      <c r="C263" s="12"/>
      <c r="D263" s="12"/>
      <c r="E263" s="12"/>
      <c r="F263" s="12"/>
      <c r="G263" s="12"/>
      <c r="H263" s="592"/>
      <c r="I263" s="592"/>
      <c r="J263" s="592"/>
      <c r="K263" s="592"/>
      <c r="L263" s="592"/>
      <c r="M263" s="592"/>
      <c r="N263" s="592"/>
      <c r="O263" s="592"/>
      <c r="P263" s="592"/>
      <c r="Q263" s="592"/>
      <c r="R263" s="592"/>
      <c r="S263" s="592"/>
      <c r="T263" s="592"/>
      <c r="U263" s="12"/>
      <c r="V263" s="12"/>
      <c r="W263" s="12"/>
      <c r="X263" s="12"/>
      <c r="Y263" s="12"/>
      <c r="Z263" s="12"/>
      <c r="AA263" s="12"/>
      <c r="AB263" s="12"/>
      <c r="AC263" s="12"/>
    </row>
    <row r="264" spans="1:29" ht="12.75" customHeight="1">
      <c r="A264" s="12"/>
      <c r="B264" s="12"/>
      <c r="C264" s="12"/>
      <c r="D264" s="12"/>
      <c r="E264" s="12"/>
      <c r="F264" s="12"/>
      <c r="G264" s="12"/>
      <c r="H264" s="592"/>
      <c r="I264" s="592"/>
      <c r="J264" s="592"/>
      <c r="K264" s="592"/>
      <c r="L264" s="592"/>
      <c r="M264" s="592"/>
      <c r="N264" s="592"/>
      <c r="O264" s="592"/>
      <c r="P264" s="592"/>
      <c r="Q264" s="592"/>
      <c r="R264" s="592"/>
      <c r="S264" s="592"/>
      <c r="T264" s="592"/>
      <c r="U264" s="12"/>
      <c r="V264" s="12"/>
      <c r="W264" s="12"/>
      <c r="X264" s="12"/>
      <c r="Y264" s="12"/>
      <c r="Z264" s="12"/>
      <c r="AA264" s="12"/>
      <c r="AB264" s="12"/>
      <c r="AC264" s="12"/>
    </row>
    <row r="265" spans="1:29" ht="12.75" customHeight="1">
      <c r="A265" s="12"/>
      <c r="B265" s="12"/>
      <c r="C265" s="12"/>
      <c r="D265" s="12"/>
      <c r="E265" s="12"/>
      <c r="F265" s="12"/>
      <c r="G265" s="12"/>
      <c r="H265" s="592"/>
      <c r="I265" s="592"/>
      <c r="J265" s="592"/>
      <c r="K265" s="592"/>
      <c r="L265" s="592"/>
      <c r="M265" s="592"/>
      <c r="N265" s="592"/>
      <c r="O265" s="592"/>
      <c r="P265" s="592"/>
      <c r="Q265" s="592"/>
      <c r="R265" s="592"/>
      <c r="S265" s="592"/>
      <c r="T265" s="592"/>
      <c r="U265" s="12"/>
      <c r="V265" s="12"/>
      <c r="W265" s="12"/>
      <c r="X265" s="12"/>
      <c r="Y265" s="12"/>
      <c r="Z265" s="12"/>
      <c r="AA265" s="12"/>
      <c r="AB265" s="12"/>
      <c r="AC265" s="12"/>
    </row>
    <row r="266" spans="1:29" ht="12.75" customHeight="1">
      <c r="A266" s="12"/>
      <c r="B266" s="12"/>
      <c r="C266" s="12"/>
      <c r="D266" s="12"/>
      <c r="E266" s="12"/>
      <c r="F266" s="12"/>
      <c r="G266" s="12"/>
      <c r="H266" s="592"/>
      <c r="I266" s="592"/>
      <c r="J266" s="592"/>
      <c r="K266" s="592"/>
      <c r="L266" s="592"/>
      <c r="M266" s="592"/>
      <c r="N266" s="592"/>
      <c r="O266" s="592"/>
      <c r="P266" s="592"/>
      <c r="Q266" s="592"/>
      <c r="R266" s="592"/>
      <c r="S266" s="592"/>
      <c r="T266" s="592"/>
      <c r="U266" s="12"/>
      <c r="V266" s="12"/>
      <c r="W266" s="12"/>
      <c r="X266" s="12"/>
      <c r="Y266" s="12"/>
      <c r="Z266" s="12"/>
      <c r="AA266" s="12"/>
      <c r="AB266" s="12"/>
      <c r="AC266" s="12"/>
    </row>
    <row r="267" spans="1:29" ht="12.75" customHeight="1">
      <c r="A267" s="12"/>
      <c r="B267" s="12"/>
      <c r="C267" s="12"/>
      <c r="D267" s="12"/>
      <c r="E267" s="12"/>
      <c r="F267" s="12"/>
      <c r="G267" s="12"/>
      <c r="H267" s="592"/>
      <c r="I267" s="592"/>
      <c r="J267" s="592"/>
      <c r="K267" s="592"/>
      <c r="L267" s="592"/>
      <c r="M267" s="592"/>
      <c r="N267" s="592"/>
      <c r="O267" s="592"/>
      <c r="P267" s="592"/>
      <c r="Q267" s="592"/>
      <c r="R267" s="592"/>
      <c r="S267" s="592"/>
      <c r="T267" s="592"/>
      <c r="U267" s="12"/>
      <c r="V267" s="12"/>
      <c r="W267" s="12"/>
      <c r="X267" s="12"/>
      <c r="Y267" s="12"/>
      <c r="Z267" s="12"/>
      <c r="AA267" s="12"/>
      <c r="AB267" s="12"/>
      <c r="AC267" s="12"/>
    </row>
    <row r="268" spans="1:29" ht="12.75" customHeight="1">
      <c r="A268" s="12"/>
      <c r="B268" s="12"/>
      <c r="C268" s="12"/>
      <c r="D268" s="12"/>
      <c r="E268" s="12"/>
      <c r="F268" s="12"/>
      <c r="G268" s="12"/>
      <c r="H268" s="592"/>
      <c r="I268" s="592"/>
      <c r="J268" s="592"/>
      <c r="K268" s="592"/>
      <c r="L268" s="592"/>
      <c r="M268" s="592"/>
      <c r="N268" s="592"/>
      <c r="O268" s="592"/>
      <c r="P268" s="592"/>
      <c r="Q268" s="592"/>
      <c r="R268" s="592"/>
      <c r="S268" s="592"/>
      <c r="T268" s="592"/>
      <c r="U268" s="12"/>
      <c r="V268" s="12"/>
      <c r="W268" s="12"/>
      <c r="X268" s="12"/>
      <c r="Y268" s="12"/>
      <c r="Z268" s="12"/>
      <c r="AA268" s="12"/>
      <c r="AB268" s="12"/>
      <c r="AC268" s="12"/>
    </row>
    <row r="269" spans="1:29" ht="12.75" customHeight="1">
      <c r="A269" s="12"/>
      <c r="B269" s="12"/>
      <c r="C269" s="12"/>
      <c r="D269" s="12"/>
      <c r="E269" s="12"/>
      <c r="F269" s="12"/>
      <c r="G269" s="12"/>
      <c r="H269" s="592"/>
      <c r="I269" s="592"/>
      <c r="J269" s="592"/>
      <c r="K269" s="592"/>
      <c r="L269" s="592"/>
      <c r="M269" s="592"/>
      <c r="N269" s="592"/>
      <c r="O269" s="592"/>
      <c r="P269" s="592"/>
      <c r="Q269" s="592"/>
      <c r="R269" s="592"/>
      <c r="S269" s="592"/>
      <c r="T269" s="592"/>
      <c r="U269" s="12"/>
      <c r="V269" s="12"/>
      <c r="W269" s="12"/>
      <c r="X269" s="12"/>
      <c r="Y269" s="12"/>
      <c r="Z269" s="12"/>
      <c r="AA269" s="12"/>
      <c r="AB269" s="12"/>
      <c r="AC269" s="12"/>
    </row>
    <row r="270" spans="1:29" ht="12.75" customHeight="1">
      <c r="A270" s="12"/>
      <c r="B270" s="12"/>
      <c r="C270" s="12"/>
      <c r="D270" s="12"/>
      <c r="E270" s="12"/>
      <c r="F270" s="12"/>
      <c r="G270" s="12"/>
      <c r="H270" s="592"/>
      <c r="I270" s="592"/>
      <c r="J270" s="592"/>
      <c r="K270" s="592"/>
      <c r="L270" s="592"/>
      <c r="M270" s="592"/>
      <c r="N270" s="592"/>
      <c r="O270" s="592"/>
      <c r="P270" s="592"/>
      <c r="Q270" s="592"/>
      <c r="R270" s="592"/>
      <c r="S270" s="592"/>
      <c r="T270" s="592"/>
      <c r="U270" s="12"/>
      <c r="V270" s="12"/>
      <c r="W270" s="12"/>
      <c r="X270" s="12"/>
      <c r="Y270" s="12"/>
      <c r="Z270" s="12"/>
      <c r="AA270" s="12"/>
      <c r="AB270" s="12"/>
      <c r="AC270" s="12"/>
    </row>
    <row r="271" spans="1:29" ht="12.75" customHeight="1">
      <c r="A271" s="12"/>
      <c r="B271" s="12"/>
      <c r="C271" s="12"/>
      <c r="D271" s="12"/>
      <c r="E271" s="12"/>
      <c r="F271" s="12"/>
      <c r="G271" s="12"/>
      <c r="H271" s="592"/>
      <c r="I271" s="592"/>
      <c r="J271" s="592"/>
      <c r="K271" s="592"/>
      <c r="L271" s="592"/>
      <c r="M271" s="592"/>
      <c r="N271" s="592"/>
      <c r="O271" s="592"/>
      <c r="P271" s="592"/>
      <c r="Q271" s="592"/>
      <c r="R271" s="592"/>
      <c r="S271" s="592"/>
      <c r="T271" s="592"/>
      <c r="U271" s="12"/>
      <c r="V271" s="12"/>
      <c r="W271" s="12"/>
      <c r="X271" s="12"/>
      <c r="Y271" s="12"/>
      <c r="Z271" s="12"/>
      <c r="AA271" s="12"/>
      <c r="AB271" s="12"/>
      <c r="AC271" s="12"/>
    </row>
    <row r="272" spans="1:29" ht="12.75" customHeight="1">
      <c r="A272" s="12"/>
      <c r="B272" s="12"/>
      <c r="C272" s="12"/>
      <c r="D272" s="12"/>
      <c r="E272" s="12"/>
      <c r="F272" s="12"/>
      <c r="G272" s="12"/>
      <c r="H272" s="592"/>
      <c r="I272" s="592"/>
      <c r="J272" s="592"/>
      <c r="K272" s="592"/>
      <c r="L272" s="592"/>
      <c r="M272" s="592"/>
      <c r="N272" s="592"/>
      <c r="O272" s="592"/>
      <c r="P272" s="592"/>
      <c r="Q272" s="592"/>
      <c r="R272" s="592"/>
      <c r="S272" s="592"/>
      <c r="T272" s="592"/>
      <c r="U272" s="12"/>
      <c r="V272" s="12"/>
      <c r="W272" s="12"/>
      <c r="X272" s="12"/>
      <c r="Y272" s="12"/>
      <c r="Z272" s="12"/>
      <c r="AA272" s="12"/>
      <c r="AB272" s="12"/>
      <c r="AC272" s="12"/>
    </row>
    <row r="273" spans="1:29" ht="12.75" customHeight="1">
      <c r="A273" s="12"/>
      <c r="B273" s="12"/>
      <c r="C273" s="12"/>
      <c r="D273" s="12"/>
      <c r="E273" s="12"/>
      <c r="F273" s="12"/>
      <c r="G273" s="12"/>
      <c r="H273" s="592"/>
      <c r="I273" s="592"/>
      <c r="J273" s="592"/>
      <c r="K273" s="592"/>
      <c r="L273" s="592"/>
      <c r="M273" s="592"/>
      <c r="N273" s="592"/>
      <c r="O273" s="592"/>
      <c r="P273" s="592"/>
      <c r="Q273" s="592"/>
      <c r="R273" s="592"/>
      <c r="S273" s="592"/>
      <c r="T273" s="592"/>
      <c r="U273" s="12"/>
      <c r="V273" s="12"/>
      <c r="W273" s="12"/>
      <c r="X273" s="12"/>
      <c r="Y273" s="12"/>
      <c r="Z273" s="12"/>
      <c r="AA273" s="12"/>
      <c r="AB273" s="12"/>
      <c r="AC273" s="12"/>
    </row>
    <row r="274" spans="1:29" ht="12.75" customHeight="1">
      <c r="A274" s="12"/>
      <c r="B274" s="12"/>
      <c r="C274" s="12"/>
      <c r="D274" s="12"/>
      <c r="E274" s="12"/>
      <c r="F274" s="12"/>
      <c r="G274" s="12"/>
      <c r="H274" s="592"/>
      <c r="I274" s="592"/>
      <c r="J274" s="592"/>
      <c r="K274" s="592"/>
      <c r="L274" s="592"/>
      <c r="M274" s="592"/>
      <c r="N274" s="592"/>
      <c r="O274" s="592"/>
      <c r="P274" s="592"/>
      <c r="Q274" s="592"/>
      <c r="R274" s="592"/>
      <c r="S274" s="592"/>
      <c r="T274" s="592"/>
      <c r="U274" s="12"/>
      <c r="V274" s="12"/>
      <c r="W274" s="12"/>
      <c r="X274" s="12"/>
      <c r="Y274" s="12"/>
      <c r="Z274" s="12"/>
      <c r="AA274" s="12"/>
      <c r="AB274" s="12"/>
      <c r="AC274" s="12"/>
    </row>
    <row r="275" spans="1:29" ht="12.75" customHeight="1">
      <c r="A275" s="12"/>
      <c r="B275" s="12"/>
      <c r="C275" s="12"/>
      <c r="D275" s="12"/>
      <c r="E275" s="12"/>
      <c r="F275" s="12"/>
      <c r="G275" s="12"/>
      <c r="H275" s="592"/>
      <c r="I275" s="592"/>
      <c r="J275" s="592"/>
      <c r="K275" s="592"/>
      <c r="L275" s="592"/>
      <c r="M275" s="592"/>
      <c r="N275" s="592"/>
      <c r="O275" s="592"/>
      <c r="P275" s="592"/>
      <c r="Q275" s="592"/>
      <c r="R275" s="592"/>
      <c r="S275" s="592"/>
      <c r="T275" s="592"/>
      <c r="U275" s="12"/>
      <c r="V275" s="12"/>
      <c r="W275" s="12"/>
      <c r="X275" s="12"/>
      <c r="Y275" s="12"/>
      <c r="Z275" s="12"/>
      <c r="AA275" s="12"/>
      <c r="AB275" s="12"/>
      <c r="AC275" s="12"/>
    </row>
    <row r="276" spans="1:29" ht="12.75" customHeight="1">
      <c r="A276" s="12"/>
      <c r="B276" s="12"/>
      <c r="C276" s="12"/>
      <c r="D276" s="12"/>
      <c r="E276" s="12"/>
      <c r="F276" s="12"/>
      <c r="G276" s="12"/>
      <c r="H276" s="592"/>
      <c r="I276" s="592"/>
      <c r="J276" s="592"/>
      <c r="K276" s="592"/>
      <c r="L276" s="592"/>
      <c r="M276" s="592"/>
      <c r="N276" s="592"/>
      <c r="O276" s="592"/>
      <c r="P276" s="592"/>
      <c r="Q276" s="592"/>
      <c r="R276" s="592"/>
      <c r="S276" s="592"/>
      <c r="T276" s="592"/>
      <c r="U276" s="12"/>
      <c r="V276" s="12"/>
      <c r="W276" s="12"/>
      <c r="X276" s="12"/>
      <c r="Y276" s="12"/>
      <c r="Z276" s="12"/>
      <c r="AA276" s="12"/>
      <c r="AB276" s="12"/>
      <c r="AC276" s="12"/>
    </row>
    <row r="277" spans="1:29" ht="12.75" customHeight="1">
      <c r="A277" s="12"/>
      <c r="B277" s="12"/>
      <c r="C277" s="12"/>
      <c r="D277" s="12"/>
      <c r="E277" s="12"/>
      <c r="F277" s="12"/>
      <c r="G277" s="12"/>
      <c r="H277" s="592"/>
      <c r="I277" s="592"/>
      <c r="J277" s="592"/>
      <c r="K277" s="592"/>
      <c r="L277" s="592"/>
      <c r="M277" s="592"/>
      <c r="N277" s="592"/>
      <c r="O277" s="592"/>
      <c r="P277" s="592"/>
      <c r="Q277" s="592"/>
      <c r="R277" s="592"/>
      <c r="S277" s="592"/>
      <c r="T277" s="592"/>
      <c r="U277" s="12"/>
      <c r="V277" s="12"/>
      <c r="W277" s="12"/>
      <c r="X277" s="12"/>
      <c r="Y277" s="12"/>
      <c r="Z277" s="12"/>
      <c r="AA277" s="12"/>
      <c r="AB277" s="12"/>
      <c r="AC277" s="12"/>
    </row>
    <row r="278" spans="1:29" ht="12.75" customHeight="1">
      <c r="A278" s="12"/>
      <c r="B278" s="12"/>
      <c r="C278" s="12"/>
      <c r="D278" s="12"/>
      <c r="E278" s="12"/>
      <c r="F278" s="12"/>
      <c r="G278" s="12"/>
      <c r="H278" s="592"/>
      <c r="I278" s="592"/>
      <c r="J278" s="592"/>
      <c r="K278" s="592"/>
      <c r="L278" s="592"/>
      <c r="M278" s="592"/>
      <c r="N278" s="592"/>
      <c r="O278" s="592"/>
      <c r="P278" s="592"/>
      <c r="Q278" s="592"/>
      <c r="R278" s="592"/>
      <c r="S278" s="592"/>
      <c r="T278" s="592"/>
      <c r="U278" s="12"/>
      <c r="V278" s="12"/>
      <c r="W278" s="12"/>
      <c r="X278" s="12"/>
      <c r="Y278" s="12"/>
      <c r="Z278" s="12"/>
      <c r="AA278" s="12"/>
      <c r="AB278" s="12"/>
      <c r="AC278" s="12"/>
    </row>
    <row r="279" spans="1:29" ht="12.75" customHeight="1">
      <c r="A279" s="12"/>
      <c r="B279" s="12"/>
      <c r="C279" s="12"/>
      <c r="D279" s="12"/>
      <c r="E279" s="12"/>
      <c r="F279" s="12"/>
      <c r="G279" s="12"/>
      <c r="H279" s="592"/>
      <c r="I279" s="592"/>
      <c r="J279" s="592"/>
      <c r="K279" s="592"/>
      <c r="L279" s="592"/>
      <c r="M279" s="592"/>
      <c r="N279" s="592"/>
      <c r="O279" s="592"/>
      <c r="P279" s="592"/>
      <c r="Q279" s="592"/>
      <c r="R279" s="592"/>
      <c r="S279" s="592"/>
      <c r="T279" s="592"/>
      <c r="U279" s="12"/>
      <c r="V279" s="12"/>
      <c r="W279" s="12"/>
      <c r="X279" s="12"/>
      <c r="Y279" s="12"/>
      <c r="Z279" s="12"/>
      <c r="AA279" s="12"/>
      <c r="AB279" s="12"/>
      <c r="AC279" s="12"/>
    </row>
    <row r="280" spans="1:29" ht="12.75" customHeight="1">
      <c r="A280" s="12"/>
      <c r="B280" s="12"/>
      <c r="C280" s="12"/>
      <c r="D280" s="12"/>
      <c r="E280" s="12"/>
      <c r="F280" s="12"/>
      <c r="G280" s="12"/>
      <c r="H280" s="592"/>
      <c r="I280" s="592"/>
      <c r="J280" s="592"/>
      <c r="K280" s="592"/>
      <c r="L280" s="592"/>
      <c r="M280" s="592"/>
      <c r="N280" s="592"/>
      <c r="O280" s="592"/>
      <c r="P280" s="592"/>
      <c r="Q280" s="592"/>
      <c r="R280" s="592"/>
      <c r="S280" s="592"/>
      <c r="T280" s="592"/>
      <c r="U280" s="12"/>
      <c r="V280" s="12"/>
      <c r="W280" s="12"/>
      <c r="X280" s="12"/>
      <c r="Y280" s="12"/>
      <c r="Z280" s="12"/>
      <c r="AA280" s="12"/>
      <c r="AB280" s="12"/>
      <c r="AC280" s="12"/>
    </row>
    <row r="281" spans="1:29" ht="12.75" customHeight="1">
      <c r="A281" s="12"/>
      <c r="B281" s="12"/>
      <c r="C281" s="12"/>
      <c r="D281" s="12"/>
      <c r="E281" s="12"/>
      <c r="F281" s="12"/>
      <c r="G281" s="12"/>
      <c r="H281" s="592"/>
      <c r="I281" s="592"/>
      <c r="J281" s="592"/>
      <c r="K281" s="592"/>
      <c r="L281" s="592"/>
      <c r="M281" s="592"/>
      <c r="N281" s="592"/>
      <c r="O281" s="592"/>
      <c r="P281" s="592"/>
      <c r="Q281" s="592"/>
      <c r="R281" s="592"/>
      <c r="S281" s="592"/>
      <c r="T281" s="592"/>
      <c r="U281" s="12"/>
      <c r="V281" s="12"/>
      <c r="W281" s="12"/>
      <c r="X281" s="12"/>
      <c r="Y281" s="12"/>
      <c r="Z281" s="12"/>
      <c r="AA281" s="12"/>
      <c r="AB281" s="12"/>
      <c r="AC281" s="12"/>
    </row>
    <row r="282" spans="1:29" ht="12.75" customHeight="1">
      <c r="A282" s="12"/>
      <c r="B282" s="12"/>
      <c r="C282" s="12"/>
      <c r="D282" s="12"/>
      <c r="E282" s="12"/>
      <c r="F282" s="12"/>
      <c r="G282" s="12"/>
      <c r="H282" s="592"/>
      <c r="I282" s="592"/>
      <c r="J282" s="592"/>
      <c r="K282" s="592"/>
      <c r="L282" s="592"/>
      <c r="M282" s="592"/>
      <c r="N282" s="592"/>
      <c r="O282" s="592"/>
      <c r="P282" s="592"/>
      <c r="Q282" s="592"/>
      <c r="R282" s="592"/>
      <c r="S282" s="592"/>
      <c r="T282" s="592"/>
      <c r="U282" s="12"/>
      <c r="V282" s="12"/>
      <c r="W282" s="12"/>
      <c r="X282" s="12"/>
      <c r="Y282" s="12"/>
      <c r="Z282" s="12"/>
      <c r="AA282" s="12"/>
      <c r="AB282" s="12"/>
      <c r="AC282" s="12"/>
    </row>
    <row r="283" spans="1:29" ht="12.75" customHeight="1">
      <c r="A283" s="12"/>
      <c r="B283" s="12"/>
      <c r="C283" s="12"/>
      <c r="D283" s="12"/>
      <c r="E283" s="12"/>
      <c r="F283" s="12"/>
      <c r="G283" s="12"/>
      <c r="H283" s="592"/>
      <c r="I283" s="592"/>
      <c r="J283" s="592"/>
      <c r="K283" s="592"/>
      <c r="L283" s="592"/>
      <c r="M283" s="592"/>
      <c r="N283" s="592"/>
      <c r="O283" s="592"/>
      <c r="P283" s="592"/>
      <c r="Q283" s="592"/>
      <c r="R283" s="592"/>
      <c r="S283" s="592"/>
      <c r="T283" s="592"/>
      <c r="U283" s="12"/>
      <c r="V283" s="12"/>
      <c r="W283" s="12"/>
      <c r="X283" s="12"/>
      <c r="Y283" s="12"/>
      <c r="Z283" s="12"/>
      <c r="AA283" s="12"/>
      <c r="AB283" s="12"/>
      <c r="AC283" s="12"/>
    </row>
    <row r="284" spans="1:29" ht="12.75" customHeight="1">
      <c r="A284" s="12"/>
      <c r="B284" s="12"/>
      <c r="C284" s="12"/>
      <c r="D284" s="12"/>
      <c r="E284" s="12"/>
      <c r="F284" s="12"/>
      <c r="G284" s="12"/>
      <c r="H284" s="592"/>
      <c r="I284" s="592"/>
      <c r="J284" s="592"/>
      <c r="K284" s="592"/>
      <c r="L284" s="592"/>
      <c r="M284" s="592"/>
      <c r="N284" s="592"/>
      <c r="O284" s="592"/>
      <c r="P284" s="592"/>
      <c r="Q284" s="592"/>
      <c r="R284" s="592"/>
      <c r="S284" s="592"/>
      <c r="T284" s="592"/>
      <c r="U284" s="12"/>
      <c r="V284" s="12"/>
      <c r="W284" s="12"/>
      <c r="X284" s="12"/>
      <c r="Y284" s="12"/>
      <c r="Z284" s="12"/>
      <c r="AA284" s="12"/>
      <c r="AB284" s="12"/>
      <c r="AC284" s="12"/>
    </row>
    <row r="285" spans="1:29" ht="12.75" customHeight="1">
      <c r="A285" s="12"/>
      <c r="B285" s="12"/>
      <c r="C285" s="12"/>
      <c r="D285" s="12"/>
      <c r="E285" s="12"/>
      <c r="F285" s="12"/>
      <c r="G285" s="12"/>
      <c r="H285" s="592"/>
      <c r="I285" s="592"/>
      <c r="J285" s="592"/>
      <c r="K285" s="592"/>
      <c r="L285" s="592"/>
      <c r="M285" s="592"/>
      <c r="N285" s="592"/>
      <c r="O285" s="592"/>
      <c r="P285" s="592"/>
      <c r="Q285" s="592"/>
      <c r="R285" s="592"/>
      <c r="S285" s="592"/>
      <c r="T285" s="592"/>
      <c r="U285" s="12"/>
      <c r="V285" s="12"/>
      <c r="W285" s="12"/>
      <c r="X285" s="12"/>
      <c r="Y285" s="12"/>
      <c r="Z285" s="12"/>
      <c r="AA285" s="12"/>
      <c r="AB285" s="12"/>
      <c r="AC285" s="12"/>
    </row>
    <row r="286" spans="1:29" ht="12.75" customHeight="1">
      <c r="A286" s="12"/>
      <c r="B286" s="12"/>
      <c r="C286" s="12"/>
      <c r="D286" s="12"/>
      <c r="E286" s="12"/>
      <c r="F286" s="12"/>
      <c r="G286" s="12"/>
      <c r="H286" s="592"/>
      <c r="I286" s="592"/>
      <c r="J286" s="592"/>
      <c r="K286" s="592"/>
      <c r="L286" s="592"/>
      <c r="M286" s="592"/>
      <c r="N286" s="592"/>
      <c r="O286" s="592"/>
      <c r="P286" s="592"/>
      <c r="Q286" s="592"/>
      <c r="R286" s="592"/>
      <c r="S286" s="592"/>
      <c r="T286" s="592"/>
      <c r="U286" s="12"/>
      <c r="V286" s="12"/>
      <c r="W286" s="12"/>
      <c r="X286" s="12"/>
      <c r="Y286" s="12"/>
      <c r="Z286" s="12"/>
      <c r="AA286" s="12"/>
      <c r="AB286" s="12"/>
      <c r="AC286" s="12"/>
    </row>
    <row r="287" spans="1:29" ht="12.75" customHeight="1">
      <c r="A287" s="12"/>
      <c r="B287" s="12"/>
      <c r="C287" s="12"/>
      <c r="D287" s="12"/>
      <c r="E287" s="12"/>
      <c r="F287" s="12"/>
      <c r="G287" s="12"/>
      <c r="H287" s="592"/>
      <c r="I287" s="592"/>
      <c r="J287" s="592"/>
      <c r="K287" s="592"/>
      <c r="L287" s="592"/>
      <c r="M287" s="592"/>
      <c r="N287" s="592"/>
      <c r="O287" s="592"/>
      <c r="P287" s="592"/>
      <c r="Q287" s="592"/>
      <c r="R287" s="592"/>
      <c r="S287" s="592"/>
      <c r="T287" s="592"/>
      <c r="U287" s="12"/>
      <c r="V287" s="12"/>
      <c r="W287" s="12"/>
      <c r="X287" s="12"/>
      <c r="Y287" s="12"/>
      <c r="Z287" s="12"/>
      <c r="AA287" s="12"/>
      <c r="AB287" s="12"/>
      <c r="AC287" s="12"/>
    </row>
    <row r="288" spans="1:29" ht="12.75" customHeight="1">
      <c r="A288" s="12"/>
      <c r="B288" s="12"/>
      <c r="C288" s="12"/>
      <c r="D288" s="12"/>
      <c r="E288" s="12"/>
      <c r="F288" s="12"/>
      <c r="G288" s="12"/>
      <c r="H288" s="592"/>
      <c r="I288" s="592"/>
      <c r="J288" s="592"/>
      <c r="K288" s="592"/>
      <c r="L288" s="592"/>
      <c r="M288" s="592"/>
      <c r="N288" s="592"/>
      <c r="O288" s="592"/>
      <c r="P288" s="592"/>
      <c r="Q288" s="592"/>
      <c r="R288" s="592"/>
      <c r="S288" s="592"/>
      <c r="T288" s="592"/>
      <c r="U288" s="12"/>
      <c r="V288" s="12"/>
      <c r="W288" s="12"/>
      <c r="X288" s="12"/>
      <c r="Y288" s="12"/>
      <c r="Z288" s="12"/>
      <c r="AA288" s="12"/>
      <c r="AB288" s="12"/>
      <c r="AC288" s="12"/>
    </row>
    <row r="289" spans="1:29" ht="12.75" customHeight="1">
      <c r="A289" s="12"/>
      <c r="B289" s="12"/>
      <c r="C289" s="12"/>
      <c r="D289" s="12"/>
      <c r="E289" s="12"/>
      <c r="F289" s="12"/>
      <c r="G289" s="12"/>
      <c r="H289" s="592"/>
      <c r="I289" s="592"/>
      <c r="J289" s="592"/>
      <c r="K289" s="592"/>
      <c r="L289" s="592"/>
      <c r="M289" s="592"/>
      <c r="N289" s="592"/>
      <c r="O289" s="592"/>
      <c r="P289" s="592"/>
      <c r="Q289" s="592"/>
      <c r="R289" s="592"/>
      <c r="S289" s="592"/>
      <c r="T289" s="592"/>
      <c r="U289" s="12"/>
      <c r="V289" s="12"/>
      <c r="W289" s="12"/>
      <c r="X289" s="12"/>
      <c r="Y289" s="12"/>
      <c r="Z289" s="12"/>
      <c r="AA289" s="12"/>
      <c r="AB289" s="12"/>
      <c r="AC289" s="12"/>
    </row>
    <row r="290" spans="1:29" ht="12.75" customHeight="1">
      <c r="A290" s="12"/>
      <c r="B290" s="12"/>
      <c r="C290" s="12"/>
      <c r="D290" s="12"/>
      <c r="E290" s="12"/>
      <c r="F290" s="12"/>
      <c r="G290" s="12"/>
      <c r="H290" s="592"/>
      <c r="I290" s="592"/>
      <c r="J290" s="592"/>
      <c r="K290" s="592"/>
      <c r="L290" s="592"/>
      <c r="M290" s="592"/>
      <c r="N290" s="592"/>
      <c r="O290" s="592"/>
      <c r="P290" s="592"/>
      <c r="Q290" s="592"/>
      <c r="R290" s="592"/>
      <c r="S290" s="592"/>
      <c r="T290" s="592"/>
      <c r="U290" s="12"/>
      <c r="V290" s="12"/>
      <c r="W290" s="12"/>
      <c r="X290" s="12"/>
      <c r="Y290" s="12"/>
      <c r="Z290" s="12"/>
      <c r="AA290" s="12"/>
      <c r="AB290" s="12"/>
      <c r="AC290" s="12"/>
    </row>
    <row r="291" spans="1:29" ht="12.75" customHeight="1">
      <c r="A291" s="12"/>
      <c r="B291" s="12"/>
      <c r="C291" s="12"/>
      <c r="D291" s="12"/>
      <c r="E291" s="12"/>
      <c r="F291" s="12"/>
      <c r="G291" s="12"/>
      <c r="H291" s="592"/>
      <c r="I291" s="592"/>
      <c r="J291" s="592"/>
      <c r="K291" s="592"/>
      <c r="L291" s="592"/>
      <c r="M291" s="592"/>
      <c r="N291" s="592"/>
      <c r="O291" s="592"/>
      <c r="P291" s="592"/>
      <c r="Q291" s="592"/>
      <c r="R291" s="592"/>
      <c r="S291" s="592"/>
      <c r="T291" s="592"/>
      <c r="U291" s="12"/>
      <c r="V291" s="12"/>
      <c r="W291" s="12"/>
      <c r="X291" s="12"/>
      <c r="Y291" s="12"/>
      <c r="Z291" s="12"/>
      <c r="AA291" s="12"/>
      <c r="AB291" s="12"/>
      <c r="AC291" s="12"/>
    </row>
    <row r="292" spans="1:29" ht="12.75" customHeight="1">
      <c r="A292" s="12"/>
      <c r="B292" s="12"/>
      <c r="C292" s="12"/>
      <c r="D292" s="12"/>
      <c r="E292" s="12"/>
      <c r="F292" s="12"/>
      <c r="G292" s="12"/>
      <c r="H292" s="592"/>
      <c r="I292" s="592"/>
      <c r="J292" s="592"/>
      <c r="K292" s="592"/>
      <c r="L292" s="592"/>
      <c r="M292" s="592"/>
      <c r="N292" s="592"/>
      <c r="O292" s="592"/>
      <c r="P292" s="592"/>
      <c r="Q292" s="592"/>
      <c r="R292" s="592"/>
      <c r="S292" s="592"/>
      <c r="T292" s="592"/>
      <c r="U292" s="12"/>
      <c r="V292" s="12"/>
      <c r="W292" s="12"/>
      <c r="X292" s="12"/>
      <c r="Y292" s="12"/>
      <c r="Z292" s="12"/>
      <c r="AA292" s="12"/>
      <c r="AB292" s="12"/>
      <c r="AC292" s="12"/>
    </row>
    <row r="293" spans="1:29" ht="12.75" customHeight="1">
      <c r="A293" s="12"/>
      <c r="B293" s="12"/>
      <c r="C293" s="12"/>
      <c r="D293" s="12"/>
      <c r="E293" s="12"/>
      <c r="F293" s="12"/>
      <c r="G293" s="12"/>
      <c r="H293" s="592"/>
      <c r="I293" s="592"/>
      <c r="J293" s="592"/>
      <c r="K293" s="592"/>
      <c r="L293" s="592"/>
      <c r="M293" s="592"/>
      <c r="N293" s="592"/>
      <c r="O293" s="592"/>
      <c r="P293" s="592"/>
      <c r="Q293" s="592"/>
      <c r="R293" s="592"/>
      <c r="S293" s="592"/>
      <c r="T293" s="592"/>
      <c r="U293" s="12"/>
      <c r="V293" s="12"/>
      <c r="W293" s="12"/>
      <c r="X293" s="12"/>
      <c r="Y293" s="12"/>
      <c r="Z293" s="12"/>
      <c r="AA293" s="12"/>
      <c r="AB293" s="12"/>
      <c r="AC293" s="12"/>
    </row>
    <row r="294" spans="1:29" ht="12.75" customHeight="1">
      <c r="A294" s="12"/>
      <c r="B294" s="12"/>
      <c r="C294" s="12"/>
      <c r="D294" s="12"/>
      <c r="E294" s="12"/>
      <c r="F294" s="12"/>
      <c r="G294" s="12"/>
      <c r="H294" s="592"/>
      <c r="I294" s="592"/>
      <c r="J294" s="592"/>
      <c r="K294" s="592"/>
      <c r="L294" s="592"/>
      <c r="M294" s="592"/>
      <c r="N294" s="592"/>
      <c r="O294" s="592"/>
      <c r="P294" s="592"/>
      <c r="Q294" s="592"/>
      <c r="R294" s="592"/>
      <c r="S294" s="592"/>
      <c r="T294" s="592"/>
      <c r="U294" s="12"/>
      <c r="V294" s="12"/>
      <c r="W294" s="12"/>
      <c r="X294" s="12"/>
      <c r="Y294" s="12"/>
      <c r="Z294" s="12"/>
      <c r="AA294" s="12"/>
      <c r="AB294" s="12"/>
      <c r="AC294" s="12"/>
    </row>
    <row r="295" spans="1:29" ht="12.75" customHeight="1">
      <c r="A295" s="12"/>
      <c r="B295" s="12"/>
      <c r="C295" s="12"/>
      <c r="D295" s="12"/>
      <c r="E295" s="12"/>
      <c r="F295" s="12"/>
      <c r="G295" s="12"/>
      <c r="H295" s="592"/>
      <c r="I295" s="592"/>
      <c r="J295" s="592"/>
      <c r="K295" s="592"/>
      <c r="L295" s="592"/>
      <c r="M295" s="592"/>
      <c r="N295" s="592"/>
      <c r="O295" s="592"/>
      <c r="P295" s="592"/>
      <c r="Q295" s="592"/>
      <c r="R295" s="592"/>
      <c r="S295" s="592"/>
      <c r="T295" s="592"/>
      <c r="U295" s="12"/>
      <c r="V295" s="12"/>
      <c r="W295" s="12"/>
      <c r="X295" s="12"/>
      <c r="Y295" s="12"/>
      <c r="Z295" s="12"/>
      <c r="AA295" s="12"/>
      <c r="AB295" s="12"/>
      <c r="AC295" s="12"/>
    </row>
    <row r="296" spans="1:29" ht="12.75" customHeight="1">
      <c r="A296" s="12"/>
      <c r="B296" s="12"/>
      <c r="C296" s="12"/>
      <c r="D296" s="12"/>
      <c r="E296" s="12"/>
      <c r="F296" s="12"/>
      <c r="G296" s="12"/>
      <c r="H296" s="592"/>
      <c r="I296" s="592"/>
      <c r="J296" s="592"/>
      <c r="K296" s="592"/>
      <c r="L296" s="592"/>
      <c r="M296" s="592"/>
      <c r="N296" s="592"/>
      <c r="O296" s="592"/>
      <c r="P296" s="592"/>
      <c r="Q296" s="592"/>
      <c r="R296" s="592"/>
      <c r="S296" s="592"/>
      <c r="T296" s="592"/>
      <c r="U296" s="12"/>
      <c r="V296" s="12"/>
      <c r="W296" s="12"/>
      <c r="X296" s="12"/>
      <c r="Y296" s="12"/>
      <c r="Z296" s="12"/>
      <c r="AA296" s="12"/>
      <c r="AB296" s="12"/>
      <c r="AC296" s="12"/>
    </row>
    <row r="297" spans="1:29" ht="12.75" customHeight="1">
      <c r="A297" s="12"/>
      <c r="B297" s="12"/>
      <c r="C297" s="12"/>
      <c r="D297" s="12"/>
      <c r="E297" s="12"/>
      <c r="F297" s="12"/>
      <c r="G297" s="12"/>
      <c r="H297" s="592"/>
      <c r="I297" s="592"/>
      <c r="J297" s="592"/>
      <c r="K297" s="592"/>
      <c r="L297" s="592"/>
      <c r="M297" s="592"/>
      <c r="N297" s="592"/>
      <c r="O297" s="592"/>
      <c r="P297" s="592"/>
      <c r="Q297" s="592"/>
      <c r="R297" s="592"/>
      <c r="S297" s="592"/>
      <c r="T297" s="592"/>
      <c r="U297" s="12"/>
      <c r="V297" s="12"/>
      <c r="W297" s="12"/>
      <c r="X297" s="12"/>
      <c r="Y297" s="12"/>
      <c r="Z297" s="12"/>
      <c r="AA297" s="12"/>
      <c r="AB297" s="12"/>
      <c r="AC297" s="12"/>
    </row>
    <row r="298" spans="1:29" ht="12.75" customHeight="1">
      <c r="A298" s="12"/>
      <c r="B298" s="12"/>
      <c r="C298" s="12"/>
      <c r="D298" s="12"/>
      <c r="E298" s="12"/>
      <c r="F298" s="12"/>
      <c r="G298" s="12"/>
      <c r="H298" s="592"/>
      <c r="I298" s="592"/>
      <c r="J298" s="592"/>
      <c r="K298" s="592"/>
      <c r="L298" s="592"/>
      <c r="M298" s="592"/>
      <c r="N298" s="592"/>
      <c r="O298" s="592"/>
      <c r="P298" s="592"/>
      <c r="Q298" s="592"/>
      <c r="R298" s="592"/>
      <c r="S298" s="592"/>
      <c r="T298" s="592"/>
      <c r="U298" s="12"/>
      <c r="V298" s="12"/>
      <c r="W298" s="12"/>
      <c r="X298" s="12"/>
      <c r="Y298" s="12"/>
      <c r="Z298" s="12"/>
      <c r="AA298" s="12"/>
      <c r="AB298" s="12"/>
      <c r="AC298" s="12"/>
    </row>
    <row r="299" spans="1:29" ht="12.75" customHeight="1">
      <c r="A299" s="12"/>
      <c r="B299" s="12"/>
      <c r="C299" s="12"/>
      <c r="D299" s="12"/>
      <c r="E299" s="12"/>
      <c r="F299" s="12"/>
      <c r="G299" s="12"/>
      <c r="H299" s="592"/>
      <c r="I299" s="592"/>
      <c r="J299" s="592"/>
      <c r="K299" s="592"/>
      <c r="L299" s="592"/>
      <c r="M299" s="592"/>
      <c r="N299" s="592"/>
      <c r="O299" s="592"/>
      <c r="P299" s="592"/>
      <c r="Q299" s="592"/>
      <c r="R299" s="592"/>
      <c r="S299" s="592"/>
      <c r="T299" s="592"/>
      <c r="U299" s="12"/>
      <c r="V299" s="12"/>
      <c r="W299" s="12"/>
      <c r="X299" s="12"/>
      <c r="Y299" s="12"/>
      <c r="Z299" s="12"/>
      <c r="AA299" s="12"/>
      <c r="AB299" s="12"/>
      <c r="AC299" s="12"/>
    </row>
    <row r="300" spans="1:29" ht="12.75" customHeight="1">
      <c r="A300" s="12"/>
      <c r="B300" s="12"/>
      <c r="C300" s="12"/>
      <c r="D300" s="12"/>
      <c r="E300" s="12"/>
      <c r="F300" s="12"/>
      <c r="G300" s="12"/>
      <c r="H300" s="592"/>
      <c r="I300" s="592"/>
      <c r="J300" s="592"/>
      <c r="K300" s="592"/>
      <c r="L300" s="592"/>
      <c r="M300" s="592"/>
      <c r="N300" s="592"/>
      <c r="O300" s="592"/>
      <c r="P300" s="592"/>
      <c r="Q300" s="592"/>
      <c r="R300" s="592"/>
      <c r="S300" s="592"/>
      <c r="T300" s="592"/>
      <c r="U300" s="12"/>
      <c r="V300" s="12"/>
      <c r="W300" s="12"/>
      <c r="X300" s="12"/>
      <c r="Y300" s="12"/>
      <c r="Z300" s="12"/>
      <c r="AA300" s="12"/>
      <c r="AB300" s="12"/>
      <c r="AC300" s="12"/>
    </row>
    <row r="301" spans="1:29" ht="12.75" customHeight="1">
      <c r="A301" s="12"/>
      <c r="B301" s="12"/>
      <c r="C301" s="12"/>
      <c r="D301" s="12"/>
      <c r="E301" s="12"/>
      <c r="F301" s="12"/>
      <c r="G301" s="12"/>
      <c r="H301" s="592"/>
      <c r="I301" s="592"/>
      <c r="J301" s="592"/>
      <c r="K301" s="592"/>
      <c r="L301" s="592"/>
      <c r="M301" s="592"/>
      <c r="N301" s="592"/>
      <c r="O301" s="592"/>
      <c r="P301" s="592"/>
      <c r="Q301" s="592"/>
      <c r="R301" s="592"/>
      <c r="S301" s="592"/>
      <c r="T301" s="592"/>
      <c r="U301" s="12"/>
      <c r="V301" s="12"/>
      <c r="W301" s="12"/>
      <c r="X301" s="12"/>
      <c r="Y301" s="12"/>
      <c r="Z301" s="12"/>
      <c r="AA301" s="12"/>
      <c r="AB301" s="12"/>
      <c r="AC301" s="12"/>
    </row>
    <row r="302" spans="1:29" ht="12.75" customHeight="1">
      <c r="A302" s="12"/>
      <c r="B302" s="12"/>
      <c r="C302" s="12"/>
      <c r="D302" s="12"/>
      <c r="E302" s="12"/>
      <c r="F302" s="12"/>
      <c r="G302" s="12"/>
      <c r="H302" s="592"/>
      <c r="I302" s="592"/>
      <c r="J302" s="592"/>
      <c r="K302" s="592"/>
      <c r="L302" s="592"/>
      <c r="M302" s="592"/>
      <c r="N302" s="592"/>
      <c r="O302" s="592"/>
      <c r="P302" s="592"/>
      <c r="Q302" s="592"/>
      <c r="R302" s="592"/>
      <c r="S302" s="592"/>
      <c r="T302" s="592"/>
      <c r="U302" s="12"/>
      <c r="V302" s="12"/>
      <c r="W302" s="12"/>
      <c r="X302" s="12"/>
      <c r="Y302" s="12"/>
      <c r="Z302" s="12"/>
      <c r="AA302" s="12"/>
      <c r="AB302" s="12"/>
      <c r="AC302" s="12"/>
    </row>
    <row r="303" spans="1:29" ht="12.75" customHeight="1">
      <c r="A303" s="12"/>
      <c r="B303" s="12"/>
      <c r="C303" s="12"/>
      <c r="D303" s="12"/>
      <c r="E303" s="12"/>
      <c r="F303" s="12"/>
      <c r="G303" s="12"/>
      <c r="H303" s="592"/>
      <c r="I303" s="592"/>
      <c r="J303" s="592"/>
      <c r="K303" s="592"/>
      <c r="L303" s="592"/>
      <c r="M303" s="592"/>
      <c r="N303" s="592"/>
      <c r="O303" s="592"/>
      <c r="P303" s="592"/>
      <c r="Q303" s="592"/>
      <c r="R303" s="592"/>
      <c r="S303" s="592"/>
      <c r="T303" s="592"/>
      <c r="U303" s="12"/>
      <c r="V303" s="12"/>
      <c r="W303" s="12"/>
      <c r="X303" s="12"/>
      <c r="Y303" s="12"/>
      <c r="Z303" s="12"/>
      <c r="AA303" s="12"/>
      <c r="AB303" s="12"/>
      <c r="AC303" s="12"/>
    </row>
    <row r="304" spans="1:29" ht="12.75" customHeight="1">
      <c r="A304" s="12"/>
      <c r="B304" s="12"/>
      <c r="C304" s="12"/>
      <c r="D304" s="12"/>
      <c r="E304" s="12"/>
      <c r="F304" s="12"/>
      <c r="G304" s="12"/>
      <c r="H304" s="592"/>
      <c r="I304" s="592"/>
      <c r="J304" s="592"/>
      <c r="K304" s="592"/>
      <c r="L304" s="592"/>
      <c r="M304" s="592"/>
      <c r="N304" s="592"/>
      <c r="O304" s="592"/>
      <c r="P304" s="592"/>
      <c r="Q304" s="592"/>
      <c r="R304" s="592"/>
      <c r="S304" s="592"/>
      <c r="T304" s="592"/>
      <c r="U304" s="12"/>
      <c r="V304" s="12"/>
      <c r="W304" s="12"/>
      <c r="X304" s="12"/>
      <c r="Y304" s="12"/>
      <c r="Z304" s="12"/>
      <c r="AA304" s="12"/>
      <c r="AB304" s="12"/>
      <c r="AC304" s="12"/>
    </row>
    <row r="305" spans="1:29" ht="12.75" customHeight="1">
      <c r="A305" s="12"/>
      <c r="B305" s="12"/>
      <c r="C305" s="12"/>
      <c r="D305" s="12"/>
      <c r="E305" s="12"/>
      <c r="F305" s="12"/>
      <c r="G305" s="12"/>
      <c r="H305" s="592"/>
      <c r="I305" s="592"/>
      <c r="J305" s="592"/>
      <c r="K305" s="592"/>
      <c r="L305" s="592"/>
      <c r="M305" s="592"/>
      <c r="N305" s="592"/>
      <c r="O305" s="592"/>
      <c r="P305" s="592"/>
      <c r="Q305" s="592"/>
      <c r="R305" s="592"/>
      <c r="S305" s="592"/>
      <c r="T305" s="592"/>
      <c r="U305" s="12"/>
      <c r="V305" s="12"/>
      <c r="W305" s="12"/>
      <c r="X305" s="12"/>
      <c r="Y305" s="12"/>
      <c r="Z305" s="12"/>
      <c r="AA305" s="12"/>
      <c r="AB305" s="12"/>
      <c r="AC305" s="12"/>
    </row>
    <row r="306" spans="1:29" ht="12.75" customHeight="1">
      <c r="A306" s="12"/>
      <c r="B306" s="12"/>
      <c r="C306" s="12"/>
      <c r="D306" s="12"/>
      <c r="E306" s="12"/>
      <c r="F306" s="12"/>
      <c r="G306" s="12"/>
      <c r="H306" s="592"/>
      <c r="I306" s="592"/>
      <c r="J306" s="592"/>
      <c r="K306" s="592"/>
      <c r="L306" s="592"/>
      <c r="M306" s="592"/>
      <c r="N306" s="592"/>
      <c r="O306" s="592"/>
      <c r="P306" s="592"/>
      <c r="Q306" s="592"/>
      <c r="R306" s="592"/>
      <c r="S306" s="592"/>
      <c r="T306" s="592"/>
      <c r="U306" s="12"/>
      <c r="V306" s="12"/>
      <c r="W306" s="12"/>
      <c r="X306" s="12"/>
      <c r="Y306" s="12"/>
      <c r="Z306" s="12"/>
      <c r="AA306" s="12"/>
      <c r="AB306" s="12"/>
      <c r="AC306" s="12"/>
    </row>
    <row r="307" spans="1:29" ht="12.75" customHeight="1">
      <c r="A307" s="12"/>
      <c r="B307" s="12"/>
      <c r="C307" s="12"/>
      <c r="D307" s="12"/>
      <c r="E307" s="12"/>
      <c r="F307" s="12"/>
      <c r="G307" s="12"/>
      <c r="H307" s="592"/>
      <c r="I307" s="592"/>
      <c r="J307" s="592"/>
      <c r="K307" s="592"/>
      <c r="L307" s="592"/>
      <c r="M307" s="592"/>
      <c r="N307" s="592"/>
      <c r="O307" s="592"/>
      <c r="P307" s="592"/>
      <c r="Q307" s="592"/>
      <c r="R307" s="592"/>
      <c r="S307" s="592"/>
      <c r="T307" s="592"/>
      <c r="U307" s="12"/>
      <c r="V307" s="12"/>
      <c r="W307" s="12"/>
      <c r="X307" s="12"/>
      <c r="Y307" s="12"/>
      <c r="Z307" s="12"/>
      <c r="AA307" s="12"/>
      <c r="AB307" s="12"/>
      <c r="AC307" s="12"/>
    </row>
    <row r="308" spans="1:29" ht="12.75" customHeight="1">
      <c r="A308" s="12"/>
      <c r="B308" s="12"/>
      <c r="C308" s="12"/>
      <c r="D308" s="12"/>
      <c r="E308" s="12"/>
      <c r="F308" s="12"/>
      <c r="G308" s="12"/>
      <c r="H308" s="592"/>
      <c r="I308" s="592"/>
      <c r="J308" s="592"/>
      <c r="K308" s="592"/>
      <c r="L308" s="592"/>
      <c r="M308" s="592"/>
      <c r="N308" s="592"/>
      <c r="O308" s="592"/>
      <c r="P308" s="592"/>
      <c r="Q308" s="592"/>
      <c r="R308" s="592"/>
      <c r="S308" s="592"/>
      <c r="T308" s="592"/>
      <c r="U308" s="12"/>
      <c r="V308" s="12"/>
      <c r="W308" s="12"/>
      <c r="X308" s="12"/>
      <c r="Y308" s="12"/>
      <c r="Z308" s="12"/>
      <c r="AA308" s="12"/>
      <c r="AB308" s="12"/>
      <c r="AC308" s="12"/>
    </row>
    <row r="309" spans="1:29" ht="12.75" customHeight="1">
      <c r="A309" s="12"/>
      <c r="B309" s="12"/>
      <c r="C309" s="12"/>
      <c r="D309" s="12"/>
      <c r="E309" s="12"/>
      <c r="F309" s="12"/>
      <c r="G309" s="12"/>
      <c r="H309" s="592"/>
      <c r="I309" s="592"/>
      <c r="J309" s="592"/>
      <c r="K309" s="592"/>
      <c r="L309" s="592"/>
      <c r="M309" s="592"/>
      <c r="N309" s="592"/>
      <c r="O309" s="592"/>
      <c r="P309" s="592"/>
      <c r="Q309" s="592"/>
      <c r="R309" s="592"/>
      <c r="S309" s="592"/>
      <c r="T309" s="592"/>
      <c r="U309" s="12"/>
      <c r="V309" s="12"/>
      <c r="W309" s="12"/>
      <c r="X309" s="12"/>
      <c r="Y309" s="12"/>
      <c r="Z309" s="12"/>
      <c r="AA309" s="12"/>
      <c r="AB309" s="12"/>
      <c r="AC309" s="12"/>
    </row>
    <row r="310" spans="1:29" ht="12.75" customHeight="1">
      <c r="A310" s="12"/>
      <c r="B310" s="12"/>
      <c r="C310" s="12"/>
      <c r="D310" s="12"/>
      <c r="E310" s="12"/>
      <c r="F310" s="12"/>
      <c r="G310" s="12"/>
      <c r="H310" s="592"/>
      <c r="I310" s="592"/>
      <c r="J310" s="592"/>
      <c r="K310" s="592"/>
      <c r="L310" s="592"/>
      <c r="M310" s="592"/>
      <c r="N310" s="592"/>
      <c r="O310" s="592"/>
      <c r="P310" s="592"/>
      <c r="Q310" s="592"/>
      <c r="R310" s="592"/>
      <c r="S310" s="592"/>
      <c r="T310" s="592"/>
      <c r="U310" s="12"/>
      <c r="V310" s="12"/>
      <c r="W310" s="12"/>
      <c r="X310" s="12"/>
      <c r="Y310" s="12"/>
      <c r="Z310" s="12"/>
      <c r="AA310" s="12"/>
      <c r="AB310" s="12"/>
      <c r="AC310" s="12"/>
    </row>
    <row r="311" spans="1:29" ht="12.75" customHeight="1">
      <c r="A311" s="12"/>
      <c r="B311" s="12"/>
      <c r="C311" s="12"/>
      <c r="D311" s="12"/>
      <c r="E311" s="12"/>
      <c r="F311" s="12"/>
      <c r="G311" s="12"/>
      <c r="H311" s="592"/>
      <c r="I311" s="592"/>
      <c r="J311" s="592"/>
      <c r="K311" s="592"/>
      <c r="L311" s="592"/>
      <c r="M311" s="592"/>
      <c r="N311" s="592"/>
      <c r="O311" s="592"/>
      <c r="P311" s="592"/>
      <c r="Q311" s="592"/>
      <c r="R311" s="592"/>
      <c r="S311" s="592"/>
      <c r="T311" s="592"/>
      <c r="U311" s="12"/>
      <c r="V311" s="12"/>
      <c r="W311" s="12"/>
      <c r="X311" s="12"/>
      <c r="Y311" s="12"/>
      <c r="Z311" s="12"/>
      <c r="AA311" s="12"/>
      <c r="AB311" s="12"/>
      <c r="AC311" s="12"/>
    </row>
    <row r="312" spans="1:29" ht="12.75" customHeight="1">
      <c r="A312" s="12"/>
      <c r="B312" s="12"/>
      <c r="C312" s="12"/>
      <c r="D312" s="12"/>
      <c r="E312" s="12"/>
      <c r="F312" s="12"/>
      <c r="G312" s="12"/>
      <c r="H312" s="592"/>
      <c r="I312" s="592"/>
      <c r="J312" s="592"/>
      <c r="K312" s="592"/>
      <c r="L312" s="592"/>
      <c r="M312" s="592"/>
      <c r="N312" s="592"/>
      <c r="O312" s="592"/>
      <c r="P312" s="592"/>
      <c r="Q312" s="592"/>
      <c r="R312" s="592"/>
      <c r="S312" s="592"/>
      <c r="T312" s="592"/>
      <c r="U312" s="12"/>
      <c r="V312" s="12"/>
      <c r="W312" s="12"/>
      <c r="X312" s="12"/>
      <c r="Y312" s="12"/>
      <c r="Z312" s="12"/>
      <c r="AA312" s="12"/>
      <c r="AB312" s="12"/>
      <c r="AC312" s="12"/>
    </row>
    <row r="313" spans="1:29" ht="12.75" customHeight="1">
      <c r="A313" s="12"/>
      <c r="B313" s="12"/>
      <c r="C313" s="12"/>
      <c r="D313" s="12"/>
      <c r="E313" s="12"/>
      <c r="F313" s="12"/>
      <c r="G313" s="12"/>
      <c r="H313" s="592"/>
      <c r="I313" s="592"/>
      <c r="J313" s="592"/>
      <c r="K313" s="592"/>
      <c r="L313" s="592"/>
      <c r="M313" s="592"/>
      <c r="N313" s="592"/>
      <c r="O313" s="592"/>
      <c r="P313" s="592"/>
      <c r="Q313" s="592"/>
      <c r="R313" s="592"/>
      <c r="S313" s="592"/>
      <c r="T313" s="592"/>
      <c r="U313" s="12"/>
      <c r="V313" s="12"/>
      <c r="W313" s="12"/>
      <c r="X313" s="12"/>
      <c r="Y313" s="12"/>
      <c r="Z313" s="12"/>
      <c r="AA313" s="12"/>
      <c r="AB313" s="12"/>
      <c r="AC313" s="12"/>
    </row>
    <row r="314" spans="1:29" ht="12.75" customHeight="1">
      <c r="A314" s="12"/>
      <c r="B314" s="12"/>
      <c r="C314" s="12"/>
      <c r="D314" s="12"/>
      <c r="E314" s="12"/>
      <c r="F314" s="12"/>
      <c r="G314" s="12"/>
      <c r="H314" s="592"/>
      <c r="I314" s="592"/>
      <c r="J314" s="592"/>
      <c r="K314" s="592"/>
      <c r="L314" s="592"/>
      <c r="M314" s="592"/>
      <c r="N314" s="592"/>
      <c r="O314" s="592"/>
      <c r="P314" s="592"/>
      <c r="Q314" s="592"/>
      <c r="R314" s="592"/>
      <c r="S314" s="592"/>
      <c r="T314" s="592"/>
      <c r="U314" s="12"/>
      <c r="V314" s="12"/>
      <c r="W314" s="12"/>
      <c r="X314" s="12"/>
      <c r="Y314" s="12"/>
      <c r="Z314" s="12"/>
      <c r="AA314" s="12"/>
      <c r="AB314" s="12"/>
      <c r="AC314" s="12"/>
    </row>
    <row r="315" spans="1:29" ht="12.75" customHeight="1">
      <c r="A315" s="12"/>
      <c r="B315" s="12"/>
      <c r="C315" s="12"/>
      <c r="D315" s="12"/>
      <c r="E315" s="12"/>
      <c r="F315" s="12"/>
      <c r="G315" s="12"/>
      <c r="H315" s="592"/>
      <c r="I315" s="592"/>
      <c r="J315" s="592"/>
      <c r="K315" s="592"/>
      <c r="L315" s="592"/>
      <c r="M315" s="592"/>
      <c r="N315" s="592"/>
      <c r="O315" s="592"/>
      <c r="P315" s="592"/>
      <c r="Q315" s="592"/>
      <c r="R315" s="592"/>
      <c r="S315" s="592"/>
      <c r="T315" s="592"/>
      <c r="U315" s="12"/>
      <c r="V315" s="12"/>
      <c r="W315" s="12"/>
      <c r="X315" s="12"/>
      <c r="Y315" s="12"/>
      <c r="Z315" s="12"/>
      <c r="AA315" s="12"/>
      <c r="AB315" s="12"/>
      <c r="AC315" s="12"/>
    </row>
    <row r="316" spans="1:29" ht="12.75" customHeight="1">
      <c r="A316" s="12"/>
      <c r="B316" s="12"/>
      <c r="C316" s="12"/>
      <c r="D316" s="12"/>
      <c r="E316" s="12"/>
      <c r="F316" s="12"/>
      <c r="G316" s="12"/>
      <c r="H316" s="592"/>
      <c r="I316" s="592"/>
      <c r="J316" s="592"/>
      <c r="K316" s="592"/>
      <c r="L316" s="592"/>
      <c r="M316" s="592"/>
      <c r="N316" s="592"/>
      <c r="O316" s="592"/>
      <c r="P316" s="592"/>
      <c r="Q316" s="592"/>
      <c r="R316" s="592"/>
      <c r="S316" s="592"/>
      <c r="T316" s="592"/>
      <c r="U316" s="12"/>
      <c r="V316" s="12"/>
      <c r="W316" s="12"/>
      <c r="X316" s="12"/>
      <c r="Y316" s="12"/>
      <c r="Z316" s="12"/>
      <c r="AA316" s="12"/>
      <c r="AB316" s="12"/>
      <c r="AC316" s="12"/>
    </row>
    <row r="317" spans="1:29" ht="12.75" customHeight="1">
      <c r="A317" s="12"/>
      <c r="B317" s="12"/>
      <c r="C317" s="12"/>
      <c r="D317" s="12"/>
      <c r="E317" s="12"/>
      <c r="F317" s="12"/>
      <c r="G317" s="12"/>
      <c r="H317" s="592"/>
      <c r="I317" s="592"/>
      <c r="J317" s="592"/>
      <c r="K317" s="592"/>
      <c r="L317" s="592"/>
      <c r="M317" s="592"/>
      <c r="N317" s="592"/>
      <c r="O317" s="592"/>
      <c r="P317" s="592"/>
      <c r="Q317" s="592"/>
      <c r="R317" s="592"/>
      <c r="S317" s="592"/>
      <c r="T317" s="592"/>
      <c r="U317" s="12"/>
      <c r="V317" s="12"/>
      <c r="W317" s="12"/>
      <c r="X317" s="12"/>
      <c r="Y317" s="12"/>
      <c r="Z317" s="12"/>
      <c r="AA317" s="12"/>
      <c r="AB317" s="12"/>
      <c r="AC317" s="12"/>
    </row>
    <row r="318" spans="1:29" ht="12.75" customHeight="1">
      <c r="A318" s="12"/>
      <c r="B318" s="12"/>
      <c r="C318" s="12"/>
      <c r="D318" s="12"/>
      <c r="E318" s="12"/>
      <c r="F318" s="12"/>
      <c r="G318" s="12"/>
      <c r="H318" s="592"/>
      <c r="I318" s="592"/>
      <c r="J318" s="592"/>
      <c r="K318" s="592"/>
      <c r="L318" s="592"/>
      <c r="M318" s="592"/>
      <c r="N318" s="592"/>
      <c r="O318" s="592"/>
      <c r="P318" s="592"/>
      <c r="Q318" s="592"/>
      <c r="R318" s="592"/>
      <c r="S318" s="592"/>
      <c r="T318" s="592"/>
      <c r="U318" s="12"/>
      <c r="V318" s="12"/>
      <c r="W318" s="12"/>
      <c r="X318" s="12"/>
      <c r="Y318" s="12"/>
      <c r="Z318" s="12"/>
      <c r="AA318" s="12"/>
      <c r="AB318" s="12"/>
      <c r="AC318" s="12"/>
    </row>
    <row r="319" spans="1:29" ht="12.75" customHeight="1">
      <c r="A319" s="12"/>
      <c r="B319" s="12"/>
      <c r="C319" s="12"/>
      <c r="D319" s="12"/>
      <c r="E319" s="12"/>
      <c r="F319" s="12"/>
      <c r="G319" s="12"/>
      <c r="H319" s="592"/>
      <c r="I319" s="592"/>
      <c r="J319" s="592"/>
      <c r="K319" s="592"/>
      <c r="L319" s="592"/>
      <c r="M319" s="592"/>
      <c r="N319" s="592"/>
      <c r="O319" s="592"/>
      <c r="P319" s="592"/>
      <c r="Q319" s="592"/>
      <c r="R319" s="592"/>
      <c r="S319" s="592"/>
      <c r="T319" s="592"/>
      <c r="U319" s="12"/>
      <c r="V319" s="12"/>
      <c r="W319" s="12"/>
      <c r="X319" s="12"/>
      <c r="Y319" s="12"/>
      <c r="Z319" s="12"/>
      <c r="AA319" s="12"/>
      <c r="AB319" s="12"/>
      <c r="AC319" s="12"/>
    </row>
    <row r="320" spans="1:29" ht="12.75" customHeight="1">
      <c r="A320" s="12"/>
      <c r="B320" s="12"/>
      <c r="C320" s="12"/>
      <c r="D320" s="12"/>
      <c r="E320" s="12"/>
      <c r="F320" s="12"/>
      <c r="G320" s="12"/>
      <c r="H320" s="592"/>
      <c r="I320" s="592"/>
      <c r="J320" s="592"/>
      <c r="K320" s="592"/>
      <c r="L320" s="592"/>
      <c r="M320" s="592"/>
      <c r="N320" s="592"/>
      <c r="O320" s="592"/>
      <c r="P320" s="592"/>
      <c r="Q320" s="592"/>
      <c r="R320" s="592"/>
      <c r="S320" s="592"/>
      <c r="T320" s="592"/>
      <c r="U320" s="12"/>
      <c r="V320" s="12"/>
      <c r="W320" s="12"/>
      <c r="X320" s="12"/>
      <c r="Y320" s="12"/>
      <c r="Z320" s="12"/>
      <c r="AA320" s="12"/>
      <c r="AB320" s="12"/>
      <c r="AC320" s="12"/>
    </row>
    <row r="321" spans="1:29" ht="12.75" customHeight="1">
      <c r="A321" s="12"/>
      <c r="B321" s="12"/>
      <c r="C321" s="12"/>
      <c r="D321" s="12"/>
      <c r="E321" s="12"/>
      <c r="F321" s="12"/>
      <c r="G321" s="12"/>
      <c r="H321" s="592"/>
      <c r="I321" s="592"/>
      <c r="J321" s="592"/>
      <c r="K321" s="592"/>
      <c r="L321" s="592"/>
      <c r="M321" s="592"/>
      <c r="N321" s="592"/>
      <c r="O321" s="592"/>
      <c r="P321" s="592"/>
      <c r="Q321" s="592"/>
      <c r="R321" s="592"/>
      <c r="S321" s="592"/>
      <c r="T321" s="592"/>
      <c r="U321" s="12"/>
      <c r="V321" s="12"/>
      <c r="W321" s="12"/>
      <c r="X321" s="12"/>
      <c r="Y321" s="12"/>
      <c r="Z321" s="12"/>
      <c r="AA321" s="12"/>
      <c r="AB321" s="12"/>
      <c r="AC321" s="12"/>
    </row>
    <row r="322" spans="1:29" ht="12.75" customHeight="1">
      <c r="A322" s="12"/>
      <c r="B322" s="12"/>
      <c r="C322" s="12"/>
      <c r="D322" s="12"/>
      <c r="E322" s="12"/>
      <c r="F322" s="12"/>
      <c r="G322" s="12"/>
      <c r="H322" s="592"/>
      <c r="I322" s="592"/>
      <c r="J322" s="592"/>
      <c r="K322" s="592"/>
      <c r="L322" s="592"/>
      <c r="M322" s="592"/>
      <c r="N322" s="592"/>
      <c r="O322" s="592"/>
      <c r="P322" s="592"/>
      <c r="Q322" s="592"/>
      <c r="R322" s="592"/>
      <c r="S322" s="592"/>
      <c r="T322" s="592"/>
      <c r="U322" s="12"/>
      <c r="V322" s="12"/>
      <c r="W322" s="12"/>
      <c r="X322" s="12"/>
      <c r="Y322" s="12"/>
      <c r="Z322" s="12"/>
      <c r="AA322" s="12"/>
      <c r="AB322" s="12"/>
      <c r="AC322" s="12"/>
    </row>
    <row r="323" spans="1:29" ht="12.75" customHeight="1">
      <c r="A323" s="12"/>
      <c r="B323" s="12"/>
      <c r="C323" s="12"/>
      <c r="D323" s="12"/>
      <c r="E323" s="12"/>
      <c r="F323" s="12"/>
      <c r="G323" s="12"/>
      <c r="H323" s="592"/>
      <c r="I323" s="592"/>
      <c r="J323" s="592"/>
      <c r="K323" s="592"/>
      <c r="L323" s="592"/>
      <c r="M323" s="592"/>
      <c r="N323" s="592"/>
      <c r="O323" s="592"/>
      <c r="P323" s="592"/>
      <c r="Q323" s="592"/>
      <c r="R323" s="592"/>
      <c r="S323" s="592"/>
      <c r="T323" s="592"/>
      <c r="U323" s="12"/>
      <c r="V323" s="12"/>
      <c r="W323" s="12"/>
      <c r="X323" s="12"/>
      <c r="Y323" s="12"/>
      <c r="Z323" s="12"/>
      <c r="AA323" s="12"/>
      <c r="AB323" s="12"/>
      <c r="AC323" s="12"/>
    </row>
    <row r="324" spans="1:29" ht="12.75" customHeight="1">
      <c r="A324" s="12"/>
      <c r="B324" s="12"/>
      <c r="C324" s="12"/>
      <c r="D324" s="12"/>
      <c r="E324" s="12"/>
      <c r="F324" s="12"/>
      <c r="G324" s="12"/>
      <c r="H324" s="592"/>
      <c r="I324" s="592"/>
      <c r="J324" s="592"/>
      <c r="K324" s="592"/>
      <c r="L324" s="592"/>
      <c r="M324" s="592"/>
      <c r="N324" s="592"/>
      <c r="O324" s="592"/>
      <c r="P324" s="592"/>
      <c r="Q324" s="592"/>
      <c r="R324" s="592"/>
      <c r="S324" s="592"/>
      <c r="T324" s="592"/>
      <c r="U324" s="12"/>
      <c r="V324" s="12"/>
      <c r="W324" s="12"/>
      <c r="X324" s="12"/>
      <c r="Y324" s="12"/>
      <c r="Z324" s="12"/>
      <c r="AA324" s="12"/>
      <c r="AB324" s="12"/>
      <c r="AC324" s="12"/>
    </row>
    <row r="325" spans="1:29" ht="12.75" customHeight="1">
      <c r="A325" s="12"/>
      <c r="B325" s="12"/>
      <c r="C325" s="12"/>
      <c r="D325" s="12"/>
      <c r="E325" s="12"/>
      <c r="F325" s="12"/>
      <c r="G325" s="12"/>
      <c r="H325" s="592"/>
      <c r="I325" s="592"/>
      <c r="J325" s="592"/>
      <c r="K325" s="592"/>
      <c r="L325" s="592"/>
      <c r="M325" s="592"/>
      <c r="N325" s="592"/>
      <c r="O325" s="592"/>
      <c r="P325" s="592"/>
      <c r="Q325" s="592"/>
      <c r="R325" s="592"/>
      <c r="S325" s="592"/>
      <c r="T325" s="592"/>
      <c r="U325" s="12"/>
      <c r="V325" s="12"/>
      <c r="W325" s="12"/>
      <c r="X325" s="12"/>
      <c r="Y325" s="12"/>
      <c r="Z325" s="12"/>
      <c r="AA325" s="12"/>
      <c r="AB325" s="12"/>
      <c r="AC325" s="12"/>
    </row>
    <row r="326" spans="1:29" ht="12.75" customHeight="1">
      <c r="A326" s="12"/>
      <c r="B326" s="12"/>
      <c r="C326" s="12"/>
      <c r="D326" s="12"/>
      <c r="E326" s="12"/>
      <c r="F326" s="12"/>
      <c r="G326" s="12"/>
      <c r="H326" s="592"/>
      <c r="I326" s="592"/>
      <c r="J326" s="592"/>
      <c r="K326" s="592"/>
      <c r="L326" s="592"/>
      <c r="M326" s="592"/>
      <c r="N326" s="592"/>
      <c r="O326" s="592"/>
      <c r="P326" s="592"/>
      <c r="Q326" s="592"/>
      <c r="R326" s="592"/>
      <c r="S326" s="592"/>
      <c r="T326" s="592"/>
      <c r="U326" s="12"/>
      <c r="V326" s="12"/>
      <c r="W326" s="12"/>
      <c r="X326" s="12"/>
      <c r="Y326" s="12"/>
      <c r="Z326" s="12"/>
      <c r="AA326" s="12"/>
      <c r="AB326" s="12"/>
      <c r="AC326" s="12"/>
    </row>
    <row r="327" spans="1:29" ht="12.75" customHeight="1">
      <c r="A327" s="12"/>
      <c r="B327" s="12"/>
      <c r="C327" s="12"/>
      <c r="D327" s="12"/>
      <c r="E327" s="12"/>
      <c r="F327" s="12"/>
      <c r="G327" s="12"/>
      <c r="H327" s="592"/>
      <c r="I327" s="592"/>
      <c r="J327" s="592"/>
      <c r="K327" s="592"/>
      <c r="L327" s="592"/>
      <c r="M327" s="592"/>
      <c r="N327" s="592"/>
      <c r="O327" s="592"/>
      <c r="P327" s="592"/>
      <c r="Q327" s="592"/>
      <c r="R327" s="592"/>
      <c r="S327" s="592"/>
      <c r="T327" s="592"/>
      <c r="U327" s="12"/>
      <c r="V327" s="12"/>
      <c r="W327" s="12"/>
      <c r="X327" s="12"/>
      <c r="Y327" s="12"/>
      <c r="Z327" s="12"/>
      <c r="AA327" s="12"/>
      <c r="AB327" s="12"/>
      <c r="AC327" s="12"/>
    </row>
    <row r="328" spans="1:29" ht="12.75" customHeight="1">
      <c r="A328" s="12"/>
      <c r="B328" s="12"/>
      <c r="C328" s="12"/>
      <c r="D328" s="12"/>
      <c r="E328" s="12"/>
      <c r="F328" s="12"/>
      <c r="G328" s="12"/>
      <c r="H328" s="592"/>
      <c r="I328" s="592"/>
      <c r="J328" s="592"/>
      <c r="K328" s="592"/>
      <c r="L328" s="592"/>
      <c r="M328" s="592"/>
      <c r="N328" s="592"/>
      <c r="O328" s="592"/>
      <c r="P328" s="592"/>
      <c r="Q328" s="592"/>
      <c r="R328" s="592"/>
      <c r="S328" s="592"/>
      <c r="T328" s="592"/>
      <c r="U328" s="12"/>
      <c r="V328" s="12"/>
      <c r="W328" s="12"/>
      <c r="X328" s="12"/>
      <c r="Y328" s="12"/>
      <c r="Z328" s="12"/>
      <c r="AA328" s="12"/>
      <c r="AB328" s="12"/>
      <c r="AC328" s="12"/>
    </row>
    <row r="329" spans="1:29" ht="12.75" customHeight="1">
      <c r="A329" s="12"/>
      <c r="B329" s="12"/>
      <c r="C329" s="12"/>
      <c r="D329" s="12"/>
      <c r="E329" s="12"/>
      <c r="F329" s="12"/>
      <c r="G329" s="12"/>
      <c r="H329" s="592"/>
      <c r="I329" s="592"/>
      <c r="J329" s="592"/>
      <c r="K329" s="592"/>
      <c r="L329" s="592"/>
      <c r="M329" s="592"/>
      <c r="N329" s="592"/>
      <c r="O329" s="592"/>
      <c r="P329" s="592"/>
      <c r="Q329" s="592"/>
      <c r="R329" s="592"/>
      <c r="S329" s="592"/>
      <c r="T329" s="592"/>
      <c r="U329" s="12"/>
      <c r="V329" s="12"/>
      <c r="W329" s="12"/>
      <c r="X329" s="12"/>
      <c r="Y329" s="12"/>
      <c r="Z329" s="12"/>
      <c r="AA329" s="12"/>
      <c r="AB329" s="12"/>
      <c r="AC329" s="12"/>
    </row>
    <row r="330" spans="1:29" ht="12.75" customHeight="1">
      <c r="A330" s="12"/>
      <c r="B330" s="12"/>
      <c r="C330" s="12"/>
      <c r="D330" s="12"/>
      <c r="E330" s="12"/>
      <c r="F330" s="12"/>
      <c r="G330" s="12"/>
      <c r="H330" s="592"/>
      <c r="I330" s="592"/>
      <c r="J330" s="592"/>
      <c r="K330" s="592"/>
      <c r="L330" s="592"/>
      <c r="M330" s="592"/>
      <c r="N330" s="592"/>
      <c r="O330" s="592"/>
      <c r="P330" s="592"/>
      <c r="Q330" s="592"/>
      <c r="R330" s="592"/>
      <c r="S330" s="592"/>
      <c r="T330" s="592"/>
      <c r="U330" s="12"/>
      <c r="V330" s="12"/>
      <c r="W330" s="12"/>
      <c r="X330" s="12"/>
      <c r="Y330" s="12"/>
      <c r="Z330" s="12"/>
      <c r="AA330" s="12"/>
      <c r="AB330" s="12"/>
      <c r="AC330" s="12"/>
    </row>
    <row r="331" spans="1:29" ht="12.75" customHeight="1">
      <c r="A331" s="12"/>
      <c r="B331" s="12"/>
      <c r="C331" s="12"/>
      <c r="D331" s="12"/>
      <c r="E331" s="12"/>
      <c r="F331" s="12"/>
      <c r="G331" s="12"/>
      <c r="H331" s="592"/>
      <c r="I331" s="592"/>
      <c r="J331" s="592"/>
      <c r="K331" s="592"/>
      <c r="L331" s="592"/>
      <c r="M331" s="592"/>
      <c r="N331" s="592"/>
      <c r="O331" s="592"/>
      <c r="P331" s="592"/>
      <c r="Q331" s="592"/>
      <c r="R331" s="592"/>
      <c r="S331" s="592"/>
      <c r="T331" s="592"/>
      <c r="U331" s="12"/>
      <c r="V331" s="12"/>
      <c r="W331" s="12"/>
      <c r="X331" s="12"/>
      <c r="Y331" s="12"/>
      <c r="Z331" s="12"/>
      <c r="AA331" s="12"/>
      <c r="AB331" s="12"/>
      <c r="AC331" s="12"/>
    </row>
    <row r="332" spans="1:29" ht="12.75" customHeight="1">
      <c r="A332" s="12"/>
      <c r="B332" s="12"/>
      <c r="C332" s="12"/>
      <c r="D332" s="12"/>
      <c r="E332" s="12"/>
      <c r="F332" s="12"/>
      <c r="G332" s="12"/>
      <c r="H332" s="592"/>
      <c r="I332" s="592"/>
      <c r="J332" s="592"/>
      <c r="K332" s="592"/>
      <c r="L332" s="592"/>
      <c r="M332" s="592"/>
      <c r="N332" s="592"/>
      <c r="O332" s="592"/>
      <c r="P332" s="592"/>
      <c r="Q332" s="592"/>
      <c r="R332" s="592"/>
      <c r="S332" s="592"/>
      <c r="T332" s="592"/>
      <c r="U332" s="12"/>
      <c r="V332" s="12"/>
      <c r="W332" s="12"/>
      <c r="X332" s="12"/>
      <c r="Y332" s="12"/>
      <c r="Z332" s="12"/>
      <c r="AA332" s="12"/>
      <c r="AB332" s="12"/>
      <c r="AC332" s="12"/>
    </row>
    <row r="333" spans="1:29" ht="12.75" customHeight="1">
      <c r="A333" s="12"/>
      <c r="B333" s="12"/>
      <c r="C333" s="12"/>
      <c r="D333" s="12"/>
      <c r="E333" s="12"/>
      <c r="F333" s="12"/>
      <c r="G333" s="12"/>
      <c r="H333" s="592"/>
      <c r="I333" s="592"/>
      <c r="J333" s="592"/>
      <c r="K333" s="592"/>
      <c r="L333" s="592"/>
      <c r="M333" s="592"/>
      <c r="N333" s="592"/>
      <c r="O333" s="592"/>
      <c r="P333" s="592"/>
      <c r="Q333" s="592"/>
      <c r="R333" s="592"/>
      <c r="S333" s="592"/>
      <c r="T333" s="592"/>
      <c r="U333" s="12"/>
      <c r="V333" s="12"/>
      <c r="W333" s="12"/>
      <c r="X333" s="12"/>
      <c r="Y333" s="12"/>
      <c r="Z333" s="12"/>
      <c r="AA333" s="12"/>
      <c r="AB333" s="12"/>
      <c r="AC333" s="12"/>
    </row>
    <row r="334" spans="1:29" ht="12.75" customHeight="1">
      <c r="A334" s="12"/>
      <c r="B334" s="12"/>
      <c r="C334" s="12"/>
      <c r="D334" s="12"/>
      <c r="E334" s="12"/>
      <c r="F334" s="12"/>
      <c r="G334" s="12"/>
      <c r="H334" s="592"/>
      <c r="I334" s="592"/>
      <c r="J334" s="592"/>
      <c r="K334" s="592"/>
      <c r="L334" s="592"/>
      <c r="M334" s="592"/>
      <c r="N334" s="592"/>
      <c r="O334" s="592"/>
      <c r="P334" s="592"/>
      <c r="Q334" s="592"/>
      <c r="R334" s="592"/>
      <c r="S334" s="592"/>
      <c r="T334" s="592"/>
      <c r="U334" s="12"/>
      <c r="V334" s="12"/>
      <c r="W334" s="12"/>
      <c r="X334" s="12"/>
      <c r="Y334" s="12"/>
      <c r="Z334" s="12"/>
      <c r="AA334" s="12"/>
      <c r="AB334" s="12"/>
      <c r="AC334" s="12"/>
    </row>
    <row r="335" spans="1:29" ht="12.75" customHeight="1">
      <c r="A335" s="12"/>
      <c r="B335" s="12"/>
      <c r="C335" s="12"/>
      <c r="D335" s="12"/>
      <c r="E335" s="12"/>
      <c r="F335" s="12"/>
      <c r="G335" s="12"/>
      <c r="H335" s="592"/>
      <c r="I335" s="592"/>
      <c r="J335" s="592"/>
      <c r="K335" s="592"/>
      <c r="L335" s="592"/>
      <c r="M335" s="592"/>
      <c r="N335" s="592"/>
      <c r="O335" s="592"/>
      <c r="P335" s="592"/>
      <c r="Q335" s="592"/>
      <c r="R335" s="592"/>
      <c r="S335" s="592"/>
      <c r="T335" s="592"/>
      <c r="U335" s="12"/>
      <c r="V335" s="12"/>
      <c r="W335" s="12"/>
      <c r="X335" s="12"/>
      <c r="Y335" s="12"/>
      <c r="Z335" s="12"/>
      <c r="AA335" s="12"/>
      <c r="AB335" s="12"/>
      <c r="AC335" s="12"/>
    </row>
    <row r="336" spans="1:29" ht="12.75" customHeight="1">
      <c r="A336" s="12"/>
      <c r="B336" s="12"/>
      <c r="C336" s="12"/>
      <c r="D336" s="12"/>
      <c r="E336" s="12"/>
      <c r="F336" s="12"/>
      <c r="G336" s="12"/>
      <c r="H336" s="592"/>
      <c r="I336" s="592"/>
      <c r="J336" s="592"/>
      <c r="K336" s="592"/>
      <c r="L336" s="592"/>
      <c r="M336" s="592"/>
      <c r="N336" s="592"/>
      <c r="O336" s="592"/>
      <c r="P336" s="592"/>
      <c r="Q336" s="592"/>
      <c r="R336" s="592"/>
      <c r="S336" s="592"/>
      <c r="T336" s="592"/>
      <c r="U336" s="12"/>
      <c r="V336" s="12"/>
      <c r="W336" s="12"/>
      <c r="X336" s="12"/>
      <c r="Y336" s="12"/>
      <c r="Z336" s="12"/>
      <c r="AA336" s="12"/>
      <c r="AB336" s="12"/>
      <c r="AC336" s="12"/>
    </row>
    <row r="337" spans="1:29" ht="12.75" customHeight="1">
      <c r="A337" s="12"/>
      <c r="B337" s="12"/>
      <c r="C337" s="12"/>
      <c r="D337" s="12"/>
      <c r="E337" s="12"/>
      <c r="F337" s="12"/>
      <c r="G337" s="12"/>
      <c r="H337" s="592"/>
      <c r="I337" s="592"/>
      <c r="J337" s="592"/>
      <c r="K337" s="592"/>
      <c r="L337" s="592"/>
      <c r="M337" s="592"/>
      <c r="N337" s="592"/>
      <c r="O337" s="592"/>
      <c r="P337" s="592"/>
      <c r="Q337" s="592"/>
      <c r="R337" s="592"/>
      <c r="S337" s="592"/>
      <c r="T337" s="592"/>
      <c r="U337" s="12"/>
      <c r="V337" s="12"/>
      <c r="W337" s="12"/>
      <c r="X337" s="12"/>
      <c r="Y337" s="12"/>
      <c r="Z337" s="12"/>
      <c r="AA337" s="12"/>
      <c r="AB337" s="12"/>
      <c r="AC337" s="12"/>
    </row>
    <row r="338" spans="1:29" ht="12.75" customHeight="1">
      <c r="A338" s="12"/>
      <c r="B338" s="12"/>
      <c r="C338" s="12"/>
      <c r="D338" s="12"/>
      <c r="E338" s="12"/>
      <c r="F338" s="12"/>
      <c r="G338" s="12"/>
      <c r="H338" s="592"/>
      <c r="I338" s="592"/>
      <c r="J338" s="592"/>
      <c r="K338" s="592"/>
      <c r="L338" s="592"/>
      <c r="M338" s="592"/>
      <c r="N338" s="592"/>
      <c r="O338" s="592"/>
      <c r="P338" s="592"/>
      <c r="Q338" s="592"/>
      <c r="R338" s="592"/>
      <c r="S338" s="592"/>
      <c r="T338" s="592"/>
      <c r="U338" s="12"/>
      <c r="V338" s="12"/>
      <c r="W338" s="12"/>
      <c r="X338" s="12"/>
      <c r="Y338" s="12"/>
      <c r="Z338" s="12"/>
      <c r="AA338" s="12"/>
      <c r="AB338" s="12"/>
      <c r="AC338" s="12"/>
    </row>
    <row r="339" spans="1:29" ht="12.75" customHeight="1">
      <c r="A339" s="12"/>
      <c r="B339" s="12"/>
      <c r="C339" s="12"/>
      <c r="D339" s="12"/>
      <c r="E339" s="12"/>
      <c r="F339" s="12"/>
      <c r="G339" s="12"/>
      <c r="H339" s="592"/>
      <c r="I339" s="592"/>
      <c r="J339" s="592"/>
      <c r="K339" s="592"/>
      <c r="L339" s="592"/>
      <c r="M339" s="592"/>
      <c r="N339" s="592"/>
      <c r="O339" s="592"/>
      <c r="P339" s="592"/>
      <c r="Q339" s="592"/>
      <c r="R339" s="592"/>
      <c r="S339" s="592"/>
      <c r="T339" s="592"/>
      <c r="U339" s="12"/>
      <c r="V339" s="12"/>
      <c r="W339" s="12"/>
      <c r="X339" s="12"/>
      <c r="Y339" s="12"/>
      <c r="Z339" s="12"/>
      <c r="AA339" s="12"/>
      <c r="AB339" s="12"/>
      <c r="AC339" s="12"/>
    </row>
    <row r="340" spans="1:29" ht="12.75" customHeight="1">
      <c r="A340" s="12"/>
      <c r="B340" s="12"/>
      <c r="C340" s="12"/>
      <c r="D340" s="12"/>
      <c r="E340" s="12"/>
      <c r="F340" s="12"/>
      <c r="G340" s="12"/>
      <c r="H340" s="592"/>
      <c r="I340" s="592"/>
      <c r="J340" s="592"/>
      <c r="K340" s="592"/>
      <c r="L340" s="592"/>
      <c r="M340" s="592"/>
      <c r="N340" s="592"/>
      <c r="O340" s="592"/>
      <c r="P340" s="592"/>
      <c r="Q340" s="592"/>
      <c r="R340" s="592"/>
      <c r="S340" s="592"/>
      <c r="T340" s="592"/>
      <c r="U340" s="12"/>
      <c r="V340" s="12"/>
      <c r="W340" s="12"/>
      <c r="X340" s="12"/>
      <c r="Y340" s="12"/>
      <c r="Z340" s="12"/>
      <c r="AA340" s="12"/>
      <c r="AB340" s="12"/>
      <c r="AC340" s="12"/>
    </row>
    <row r="341" spans="1:29" ht="12.75" customHeight="1">
      <c r="A341" s="12"/>
      <c r="B341" s="12"/>
      <c r="C341" s="12"/>
      <c r="D341" s="12"/>
      <c r="E341" s="12"/>
      <c r="F341" s="12"/>
      <c r="G341" s="12"/>
      <c r="H341" s="592"/>
      <c r="I341" s="592"/>
      <c r="J341" s="592"/>
      <c r="K341" s="592"/>
      <c r="L341" s="592"/>
      <c r="M341" s="592"/>
      <c r="N341" s="592"/>
      <c r="O341" s="592"/>
      <c r="P341" s="592"/>
      <c r="Q341" s="592"/>
      <c r="R341" s="592"/>
      <c r="S341" s="592"/>
      <c r="T341" s="592"/>
      <c r="U341" s="12"/>
      <c r="V341" s="12"/>
      <c r="W341" s="12"/>
      <c r="X341" s="12"/>
      <c r="Y341" s="12"/>
      <c r="Z341" s="12"/>
      <c r="AA341" s="12"/>
      <c r="AB341" s="12"/>
      <c r="AC341" s="12"/>
    </row>
    <row r="342" spans="1:29" ht="12.75" customHeight="1">
      <c r="A342" s="12"/>
      <c r="B342" s="12"/>
      <c r="C342" s="12"/>
      <c r="D342" s="12"/>
      <c r="E342" s="12"/>
      <c r="F342" s="12"/>
      <c r="G342" s="12"/>
      <c r="H342" s="592"/>
      <c r="I342" s="592"/>
      <c r="J342" s="592"/>
      <c r="K342" s="592"/>
      <c r="L342" s="592"/>
      <c r="M342" s="592"/>
      <c r="N342" s="592"/>
      <c r="O342" s="592"/>
      <c r="P342" s="592"/>
      <c r="Q342" s="592"/>
      <c r="R342" s="592"/>
      <c r="S342" s="592"/>
      <c r="T342" s="592"/>
      <c r="U342" s="12"/>
      <c r="V342" s="12"/>
      <c r="W342" s="12"/>
      <c r="X342" s="12"/>
      <c r="Y342" s="12"/>
      <c r="Z342" s="12"/>
      <c r="AA342" s="12"/>
      <c r="AB342" s="12"/>
      <c r="AC342" s="12"/>
    </row>
    <row r="343" spans="1:29" ht="12.75" customHeight="1">
      <c r="A343" s="12"/>
      <c r="B343" s="12"/>
      <c r="C343" s="12"/>
      <c r="D343" s="12"/>
      <c r="E343" s="12"/>
      <c r="F343" s="12"/>
      <c r="G343" s="12"/>
      <c r="H343" s="592"/>
      <c r="I343" s="592"/>
      <c r="J343" s="592"/>
      <c r="K343" s="592"/>
      <c r="L343" s="592"/>
      <c r="M343" s="592"/>
      <c r="N343" s="592"/>
      <c r="O343" s="592"/>
      <c r="P343" s="592"/>
      <c r="Q343" s="592"/>
      <c r="R343" s="592"/>
      <c r="S343" s="592"/>
      <c r="T343" s="592"/>
      <c r="U343" s="12"/>
      <c r="V343" s="12"/>
      <c r="W343" s="12"/>
      <c r="X343" s="12"/>
      <c r="Y343" s="12"/>
      <c r="Z343" s="12"/>
      <c r="AA343" s="12"/>
      <c r="AB343" s="12"/>
      <c r="AC343" s="12"/>
    </row>
    <row r="344" spans="1:29" ht="12.75" customHeight="1">
      <c r="A344" s="12"/>
      <c r="B344" s="12"/>
      <c r="C344" s="12"/>
      <c r="D344" s="12"/>
      <c r="E344" s="12"/>
      <c r="F344" s="12"/>
      <c r="G344" s="12"/>
      <c r="H344" s="592"/>
      <c r="I344" s="592"/>
      <c r="J344" s="592"/>
      <c r="K344" s="592"/>
      <c r="L344" s="592"/>
      <c r="M344" s="592"/>
      <c r="N344" s="592"/>
      <c r="O344" s="592"/>
      <c r="P344" s="592"/>
      <c r="Q344" s="592"/>
      <c r="R344" s="592"/>
      <c r="S344" s="592"/>
      <c r="T344" s="592"/>
      <c r="U344" s="12"/>
      <c r="V344" s="12"/>
      <c r="W344" s="12"/>
      <c r="X344" s="12"/>
      <c r="Y344" s="12"/>
      <c r="Z344" s="12"/>
      <c r="AA344" s="12"/>
      <c r="AB344" s="12"/>
      <c r="AC344" s="12"/>
    </row>
    <row r="345" spans="1:29" ht="12.75" customHeight="1">
      <c r="A345" s="12"/>
      <c r="B345" s="12"/>
      <c r="C345" s="12"/>
      <c r="D345" s="12"/>
      <c r="E345" s="12"/>
      <c r="F345" s="12"/>
      <c r="G345" s="12"/>
      <c r="H345" s="592"/>
      <c r="I345" s="592"/>
      <c r="J345" s="592"/>
      <c r="K345" s="592"/>
      <c r="L345" s="592"/>
      <c r="M345" s="592"/>
      <c r="N345" s="592"/>
      <c r="O345" s="592"/>
      <c r="P345" s="592"/>
      <c r="Q345" s="592"/>
      <c r="R345" s="592"/>
      <c r="S345" s="592"/>
      <c r="T345" s="592"/>
      <c r="U345" s="12"/>
      <c r="V345" s="12"/>
      <c r="W345" s="12"/>
      <c r="X345" s="12"/>
      <c r="Y345" s="12"/>
      <c r="Z345" s="12"/>
      <c r="AA345" s="12"/>
      <c r="AB345" s="12"/>
      <c r="AC345" s="12"/>
    </row>
    <row r="346" spans="1:29" ht="12.75" customHeight="1">
      <c r="A346" s="12"/>
      <c r="B346" s="12"/>
      <c r="C346" s="12"/>
      <c r="D346" s="12"/>
      <c r="E346" s="12"/>
      <c r="F346" s="12"/>
      <c r="G346" s="12"/>
      <c r="H346" s="592"/>
      <c r="I346" s="592"/>
      <c r="J346" s="592"/>
      <c r="K346" s="592"/>
      <c r="L346" s="592"/>
      <c r="M346" s="592"/>
      <c r="N346" s="592"/>
      <c r="O346" s="592"/>
      <c r="P346" s="592"/>
      <c r="Q346" s="592"/>
      <c r="R346" s="592"/>
      <c r="S346" s="592"/>
      <c r="T346" s="592"/>
      <c r="U346" s="12"/>
      <c r="V346" s="12"/>
      <c r="W346" s="12"/>
      <c r="X346" s="12"/>
      <c r="Y346" s="12"/>
      <c r="Z346" s="12"/>
      <c r="AA346" s="12"/>
      <c r="AB346" s="12"/>
      <c r="AC346" s="12"/>
    </row>
    <row r="347" spans="1:29" ht="12.75" customHeight="1">
      <c r="A347" s="12"/>
      <c r="B347" s="12"/>
      <c r="C347" s="12"/>
      <c r="D347" s="12"/>
      <c r="E347" s="12"/>
      <c r="F347" s="12"/>
      <c r="G347" s="12"/>
      <c r="H347" s="592"/>
      <c r="I347" s="592"/>
      <c r="J347" s="592"/>
      <c r="K347" s="592"/>
      <c r="L347" s="592"/>
      <c r="M347" s="592"/>
      <c r="N347" s="592"/>
      <c r="O347" s="592"/>
      <c r="P347" s="592"/>
      <c r="Q347" s="592"/>
      <c r="R347" s="592"/>
      <c r="S347" s="592"/>
      <c r="T347" s="592"/>
      <c r="U347" s="12"/>
      <c r="V347" s="12"/>
      <c r="W347" s="12"/>
      <c r="X347" s="12"/>
      <c r="Y347" s="12"/>
      <c r="Z347" s="12"/>
      <c r="AA347" s="12"/>
      <c r="AB347" s="12"/>
      <c r="AC347" s="12"/>
    </row>
    <row r="348" spans="1:29" ht="12.75" customHeight="1">
      <c r="A348" s="12"/>
      <c r="B348" s="12"/>
      <c r="C348" s="12"/>
      <c r="D348" s="12"/>
      <c r="E348" s="12"/>
      <c r="F348" s="12"/>
      <c r="G348" s="12"/>
      <c r="H348" s="592"/>
      <c r="I348" s="592"/>
      <c r="J348" s="592"/>
      <c r="K348" s="592"/>
      <c r="L348" s="592"/>
      <c r="M348" s="592"/>
      <c r="N348" s="592"/>
      <c r="O348" s="592"/>
      <c r="P348" s="592"/>
      <c r="Q348" s="592"/>
      <c r="R348" s="592"/>
      <c r="S348" s="592"/>
      <c r="T348" s="592"/>
      <c r="U348" s="12"/>
      <c r="V348" s="12"/>
      <c r="W348" s="12"/>
      <c r="X348" s="12"/>
      <c r="Y348" s="12"/>
      <c r="Z348" s="12"/>
      <c r="AA348" s="12"/>
      <c r="AB348" s="12"/>
      <c r="AC348" s="12"/>
    </row>
    <row r="349" spans="1:29" ht="12.75" customHeight="1">
      <c r="A349" s="12"/>
      <c r="B349" s="12"/>
      <c r="C349" s="12"/>
      <c r="D349" s="12"/>
      <c r="E349" s="12"/>
      <c r="F349" s="12"/>
      <c r="G349" s="12"/>
      <c r="H349" s="592"/>
      <c r="I349" s="592"/>
      <c r="J349" s="592"/>
      <c r="K349" s="592"/>
      <c r="L349" s="592"/>
      <c r="M349" s="592"/>
      <c r="N349" s="592"/>
      <c r="O349" s="592"/>
      <c r="P349" s="592"/>
      <c r="Q349" s="592"/>
      <c r="R349" s="592"/>
      <c r="S349" s="592"/>
      <c r="T349" s="592"/>
      <c r="U349" s="12"/>
      <c r="V349" s="12"/>
      <c r="W349" s="12"/>
      <c r="X349" s="12"/>
      <c r="Y349" s="12"/>
      <c r="Z349" s="12"/>
      <c r="AA349" s="12"/>
      <c r="AB349" s="12"/>
      <c r="AC349" s="12"/>
    </row>
    <row r="350" spans="1:29" ht="12.75" customHeight="1">
      <c r="A350" s="12"/>
      <c r="B350" s="12"/>
      <c r="C350" s="12"/>
      <c r="D350" s="12"/>
      <c r="E350" s="12"/>
      <c r="F350" s="12"/>
      <c r="G350" s="12"/>
      <c r="H350" s="592"/>
      <c r="I350" s="592"/>
      <c r="J350" s="592"/>
      <c r="K350" s="592"/>
      <c r="L350" s="592"/>
      <c r="M350" s="592"/>
      <c r="N350" s="592"/>
      <c r="O350" s="592"/>
      <c r="P350" s="592"/>
      <c r="Q350" s="592"/>
      <c r="R350" s="592"/>
      <c r="S350" s="592"/>
      <c r="T350" s="592"/>
      <c r="U350" s="12"/>
      <c r="V350" s="12"/>
      <c r="W350" s="12"/>
      <c r="X350" s="12"/>
      <c r="Y350" s="12"/>
      <c r="Z350" s="12"/>
      <c r="AA350" s="12"/>
      <c r="AB350" s="12"/>
      <c r="AC350" s="12"/>
    </row>
    <row r="351" spans="1:29" ht="12.75" customHeight="1">
      <c r="A351" s="12"/>
      <c r="B351" s="12"/>
      <c r="C351" s="12"/>
      <c r="D351" s="12"/>
      <c r="E351" s="12"/>
      <c r="F351" s="12"/>
      <c r="G351" s="12"/>
      <c r="H351" s="592"/>
      <c r="I351" s="592"/>
      <c r="J351" s="592"/>
      <c r="K351" s="592"/>
      <c r="L351" s="592"/>
      <c r="M351" s="592"/>
      <c r="N351" s="592"/>
      <c r="O351" s="592"/>
      <c r="P351" s="592"/>
      <c r="Q351" s="592"/>
      <c r="R351" s="592"/>
      <c r="S351" s="592"/>
      <c r="T351" s="592"/>
      <c r="U351" s="12"/>
      <c r="V351" s="12"/>
      <c r="W351" s="12"/>
      <c r="X351" s="12"/>
      <c r="Y351" s="12"/>
      <c r="Z351" s="12"/>
      <c r="AA351" s="12"/>
      <c r="AB351" s="12"/>
      <c r="AC351" s="12"/>
    </row>
    <row r="352" spans="1:29" ht="12.75" customHeight="1">
      <c r="A352" s="12"/>
      <c r="B352" s="12"/>
      <c r="C352" s="12"/>
      <c r="D352" s="12"/>
      <c r="E352" s="12"/>
      <c r="F352" s="12"/>
      <c r="G352" s="12"/>
      <c r="H352" s="592"/>
      <c r="I352" s="592"/>
      <c r="J352" s="592"/>
      <c r="K352" s="592"/>
      <c r="L352" s="592"/>
      <c r="M352" s="592"/>
      <c r="N352" s="592"/>
      <c r="O352" s="592"/>
      <c r="P352" s="592"/>
      <c r="Q352" s="592"/>
      <c r="R352" s="592"/>
      <c r="S352" s="592"/>
      <c r="T352" s="592"/>
      <c r="U352" s="12"/>
      <c r="V352" s="12"/>
      <c r="W352" s="12"/>
      <c r="X352" s="12"/>
      <c r="Y352" s="12"/>
      <c r="Z352" s="12"/>
      <c r="AA352" s="12"/>
      <c r="AB352" s="12"/>
      <c r="AC352" s="12"/>
    </row>
    <row r="353" spans="1:29" ht="12.75" customHeight="1">
      <c r="A353" s="12"/>
      <c r="B353" s="12"/>
      <c r="C353" s="12"/>
      <c r="D353" s="12"/>
      <c r="E353" s="12"/>
      <c r="F353" s="12"/>
      <c r="G353" s="12"/>
      <c r="H353" s="592"/>
      <c r="I353" s="592"/>
      <c r="J353" s="592"/>
      <c r="K353" s="592"/>
      <c r="L353" s="592"/>
      <c r="M353" s="592"/>
      <c r="N353" s="592"/>
      <c r="O353" s="592"/>
      <c r="P353" s="592"/>
      <c r="Q353" s="592"/>
      <c r="R353" s="592"/>
      <c r="S353" s="592"/>
      <c r="T353" s="592"/>
      <c r="U353" s="12"/>
      <c r="V353" s="12"/>
      <c r="W353" s="12"/>
      <c r="X353" s="12"/>
      <c r="Y353" s="12"/>
      <c r="Z353" s="12"/>
      <c r="AA353" s="12"/>
      <c r="AB353" s="12"/>
      <c r="AC353" s="12"/>
    </row>
    <row r="354" spans="1:29" ht="12.75" customHeight="1">
      <c r="A354" s="12"/>
      <c r="B354" s="12"/>
      <c r="C354" s="12"/>
      <c r="D354" s="12"/>
      <c r="E354" s="12"/>
      <c r="F354" s="12"/>
      <c r="G354" s="12"/>
      <c r="H354" s="592"/>
      <c r="I354" s="592"/>
      <c r="J354" s="592"/>
      <c r="K354" s="592"/>
      <c r="L354" s="592"/>
      <c r="M354" s="592"/>
      <c r="N354" s="592"/>
      <c r="O354" s="592"/>
      <c r="P354" s="592"/>
      <c r="Q354" s="592"/>
      <c r="R354" s="592"/>
      <c r="S354" s="592"/>
      <c r="T354" s="592"/>
      <c r="U354" s="12"/>
      <c r="V354" s="12"/>
      <c r="W354" s="12"/>
      <c r="X354" s="12"/>
      <c r="Y354" s="12"/>
      <c r="Z354" s="12"/>
      <c r="AA354" s="12"/>
      <c r="AB354" s="12"/>
      <c r="AC354" s="12"/>
    </row>
    <row r="355" spans="1:29" ht="12.75" customHeight="1">
      <c r="A355" s="12"/>
      <c r="B355" s="12"/>
      <c r="C355" s="12"/>
      <c r="D355" s="12"/>
      <c r="E355" s="12"/>
      <c r="F355" s="12"/>
      <c r="G355" s="12"/>
      <c r="H355" s="592"/>
      <c r="I355" s="592"/>
      <c r="J355" s="592"/>
      <c r="K355" s="592"/>
      <c r="L355" s="592"/>
      <c r="M355" s="592"/>
      <c r="N355" s="592"/>
      <c r="O355" s="592"/>
      <c r="P355" s="592"/>
      <c r="Q355" s="592"/>
      <c r="R355" s="592"/>
      <c r="S355" s="592"/>
      <c r="T355" s="592"/>
      <c r="U355" s="12"/>
      <c r="V355" s="12"/>
      <c r="W355" s="12"/>
      <c r="X355" s="12"/>
      <c r="Y355" s="12"/>
      <c r="Z355" s="12"/>
      <c r="AA355" s="12"/>
      <c r="AB355" s="12"/>
      <c r="AC355" s="12"/>
    </row>
    <row r="356" spans="1:29" ht="12.75" customHeight="1">
      <c r="A356" s="12"/>
      <c r="B356" s="12"/>
      <c r="C356" s="12"/>
      <c r="D356" s="12"/>
      <c r="E356" s="12"/>
      <c r="F356" s="12"/>
      <c r="G356" s="12"/>
      <c r="H356" s="592"/>
      <c r="I356" s="592"/>
      <c r="J356" s="592"/>
      <c r="K356" s="592"/>
      <c r="L356" s="592"/>
      <c r="M356" s="592"/>
      <c r="N356" s="592"/>
      <c r="O356" s="592"/>
      <c r="P356" s="592"/>
      <c r="Q356" s="592"/>
      <c r="R356" s="592"/>
      <c r="S356" s="592"/>
      <c r="T356" s="592"/>
      <c r="U356" s="12"/>
      <c r="V356" s="12"/>
      <c r="W356" s="12"/>
      <c r="X356" s="12"/>
      <c r="Y356" s="12"/>
      <c r="Z356" s="12"/>
      <c r="AA356" s="12"/>
      <c r="AB356" s="12"/>
      <c r="AC356" s="12"/>
    </row>
    <row r="357" spans="1:29" ht="12.75" customHeight="1">
      <c r="A357" s="12"/>
      <c r="B357" s="12"/>
      <c r="C357" s="12"/>
      <c r="D357" s="12"/>
      <c r="E357" s="12"/>
      <c r="F357" s="12"/>
      <c r="G357" s="12"/>
      <c r="H357" s="592"/>
      <c r="I357" s="592"/>
      <c r="J357" s="592"/>
      <c r="K357" s="592"/>
      <c r="L357" s="592"/>
      <c r="M357" s="592"/>
      <c r="N357" s="592"/>
      <c r="O357" s="592"/>
      <c r="P357" s="592"/>
      <c r="Q357" s="592"/>
      <c r="R357" s="592"/>
      <c r="S357" s="592"/>
      <c r="T357" s="592"/>
      <c r="U357" s="12"/>
      <c r="V357" s="12"/>
      <c r="W357" s="12"/>
      <c r="X357" s="12"/>
      <c r="Y357" s="12"/>
      <c r="Z357" s="12"/>
      <c r="AA357" s="12"/>
      <c r="AB357" s="12"/>
      <c r="AC357" s="12"/>
    </row>
    <row r="358" spans="1:29" ht="12.75" customHeight="1">
      <c r="A358" s="12"/>
      <c r="B358" s="12"/>
      <c r="C358" s="12"/>
      <c r="D358" s="12"/>
      <c r="E358" s="12"/>
      <c r="F358" s="12"/>
      <c r="G358" s="12"/>
      <c r="H358" s="592"/>
      <c r="I358" s="592"/>
      <c r="J358" s="592"/>
      <c r="K358" s="592"/>
      <c r="L358" s="592"/>
      <c r="M358" s="592"/>
      <c r="N358" s="592"/>
      <c r="O358" s="592"/>
      <c r="P358" s="592"/>
      <c r="Q358" s="592"/>
      <c r="R358" s="592"/>
      <c r="S358" s="592"/>
      <c r="T358" s="592"/>
      <c r="U358" s="12"/>
      <c r="V358" s="12"/>
      <c r="W358" s="12"/>
      <c r="X358" s="12"/>
      <c r="Y358" s="12"/>
      <c r="Z358" s="12"/>
      <c r="AA358" s="12"/>
      <c r="AB358" s="12"/>
      <c r="AC358" s="12"/>
    </row>
    <row r="359" spans="1:29" ht="12.75" customHeight="1">
      <c r="A359" s="12"/>
      <c r="B359" s="12"/>
      <c r="C359" s="12"/>
      <c r="D359" s="12"/>
      <c r="E359" s="12"/>
      <c r="F359" s="12"/>
      <c r="G359" s="12"/>
      <c r="H359" s="592"/>
      <c r="I359" s="592"/>
      <c r="J359" s="592"/>
      <c r="K359" s="592"/>
      <c r="L359" s="592"/>
      <c r="M359" s="592"/>
      <c r="N359" s="592"/>
      <c r="O359" s="592"/>
      <c r="P359" s="592"/>
      <c r="Q359" s="592"/>
      <c r="R359" s="592"/>
      <c r="S359" s="592"/>
      <c r="T359" s="592"/>
      <c r="U359" s="12"/>
      <c r="V359" s="12"/>
      <c r="W359" s="12"/>
      <c r="X359" s="12"/>
      <c r="Y359" s="12"/>
      <c r="Z359" s="12"/>
      <c r="AA359" s="12"/>
      <c r="AB359" s="12"/>
      <c r="AC359" s="12"/>
    </row>
    <row r="360" spans="1:29" ht="12.75" customHeight="1">
      <c r="A360" s="12"/>
      <c r="B360" s="12"/>
      <c r="C360" s="12"/>
      <c r="D360" s="12"/>
      <c r="E360" s="12"/>
      <c r="F360" s="12"/>
      <c r="G360" s="12"/>
      <c r="H360" s="592"/>
      <c r="I360" s="592"/>
      <c r="J360" s="592"/>
      <c r="K360" s="592"/>
      <c r="L360" s="592"/>
      <c r="M360" s="592"/>
      <c r="N360" s="592"/>
      <c r="O360" s="592"/>
      <c r="P360" s="592"/>
      <c r="Q360" s="592"/>
      <c r="R360" s="592"/>
      <c r="S360" s="592"/>
      <c r="T360" s="592"/>
      <c r="U360" s="12"/>
      <c r="V360" s="12"/>
      <c r="W360" s="12"/>
      <c r="X360" s="12"/>
      <c r="Y360" s="12"/>
      <c r="Z360" s="12"/>
      <c r="AA360" s="12"/>
      <c r="AB360" s="12"/>
      <c r="AC360" s="12"/>
    </row>
    <row r="361" spans="1:29" ht="12.75" customHeight="1">
      <c r="A361" s="12"/>
      <c r="B361" s="12"/>
      <c r="C361" s="12"/>
      <c r="D361" s="12"/>
      <c r="E361" s="12"/>
      <c r="F361" s="12"/>
      <c r="G361" s="12"/>
      <c r="H361" s="592"/>
      <c r="I361" s="592"/>
      <c r="J361" s="592"/>
      <c r="K361" s="592"/>
      <c r="L361" s="592"/>
      <c r="M361" s="592"/>
      <c r="N361" s="592"/>
      <c r="O361" s="592"/>
      <c r="P361" s="592"/>
      <c r="Q361" s="592"/>
      <c r="R361" s="592"/>
      <c r="S361" s="592"/>
      <c r="T361" s="592"/>
      <c r="U361" s="12"/>
      <c r="V361" s="12"/>
      <c r="W361" s="12"/>
      <c r="X361" s="12"/>
      <c r="Y361" s="12"/>
      <c r="Z361" s="12"/>
      <c r="AA361" s="12"/>
      <c r="AB361" s="12"/>
      <c r="AC361" s="12"/>
    </row>
    <row r="362" spans="1:29" ht="12.75" customHeight="1">
      <c r="A362" s="12"/>
      <c r="B362" s="12"/>
      <c r="C362" s="12"/>
      <c r="D362" s="12"/>
      <c r="E362" s="12"/>
      <c r="F362" s="12"/>
      <c r="G362" s="12"/>
      <c r="H362" s="592"/>
      <c r="I362" s="592"/>
      <c r="J362" s="592"/>
      <c r="K362" s="592"/>
      <c r="L362" s="592"/>
      <c r="M362" s="592"/>
      <c r="N362" s="592"/>
      <c r="O362" s="592"/>
      <c r="P362" s="592"/>
      <c r="Q362" s="592"/>
      <c r="R362" s="592"/>
      <c r="S362" s="592"/>
      <c r="T362" s="592"/>
      <c r="U362" s="12"/>
      <c r="V362" s="12"/>
      <c r="W362" s="12"/>
      <c r="X362" s="12"/>
      <c r="Y362" s="12"/>
      <c r="Z362" s="12"/>
      <c r="AA362" s="12"/>
      <c r="AB362" s="12"/>
      <c r="AC362" s="12"/>
    </row>
    <row r="363" spans="1:29" ht="12.75" customHeight="1">
      <c r="A363" s="12"/>
      <c r="B363" s="12"/>
      <c r="C363" s="12"/>
      <c r="D363" s="12"/>
      <c r="E363" s="12"/>
      <c r="F363" s="12"/>
      <c r="G363" s="12"/>
      <c r="H363" s="592"/>
      <c r="I363" s="592"/>
      <c r="J363" s="592"/>
      <c r="K363" s="592"/>
      <c r="L363" s="592"/>
      <c r="M363" s="592"/>
      <c r="N363" s="592"/>
      <c r="O363" s="592"/>
      <c r="P363" s="592"/>
      <c r="Q363" s="592"/>
      <c r="R363" s="592"/>
      <c r="S363" s="592"/>
      <c r="T363" s="592"/>
      <c r="U363" s="12"/>
      <c r="V363" s="12"/>
      <c r="W363" s="12"/>
      <c r="X363" s="12"/>
      <c r="Y363" s="12"/>
      <c r="Z363" s="12"/>
      <c r="AA363" s="12"/>
      <c r="AB363" s="12"/>
      <c r="AC363" s="12"/>
    </row>
    <row r="364" spans="1:29" ht="12.75" customHeight="1">
      <c r="A364" s="12"/>
      <c r="B364" s="12"/>
      <c r="C364" s="12"/>
      <c r="D364" s="12"/>
      <c r="E364" s="12"/>
      <c r="F364" s="12"/>
      <c r="G364" s="12"/>
      <c r="H364" s="592"/>
      <c r="I364" s="592"/>
      <c r="J364" s="592"/>
      <c r="K364" s="592"/>
      <c r="L364" s="592"/>
      <c r="M364" s="592"/>
      <c r="N364" s="592"/>
      <c r="O364" s="592"/>
      <c r="P364" s="592"/>
      <c r="Q364" s="592"/>
      <c r="R364" s="592"/>
      <c r="S364" s="592"/>
      <c r="T364" s="592"/>
      <c r="U364" s="12"/>
      <c r="V364" s="12"/>
      <c r="W364" s="12"/>
      <c r="X364" s="12"/>
      <c r="Y364" s="12"/>
      <c r="Z364" s="12"/>
      <c r="AA364" s="12"/>
      <c r="AB364" s="12"/>
      <c r="AC364" s="12"/>
    </row>
    <row r="365" spans="1:29" ht="12.75" customHeight="1">
      <c r="A365" s="12"/>
      <c r="B365" s="12"/>
      <c r="C365" s="12"/>
      <c r="D365" s="12"/>
      <c r="E365" s="12"/>
      <c r="F365" s="12"/>
      <c r="G365" s="12"/>
      <c r="H365" s="592"/>
      <c r="I365" s="592"/>
      <c r="J365" s="592"/>
      <c r="K365" s="592"/>
      <c r="L365" s="592"/>
      <c r="M365" s="592"/>
      <c r="N365" s="592"/>
      <c r="O365" s="592"/>
      <c r="P365" s="592"/>
      <c r="Q365" s="592"/>
      <c r="R365" s="592"/>
      <c r="S365" s="592"/>
      <c r="T365" s="592"/>
      <c r="U365" s="12"/>
      <c r="V365" s="12"/>
      <c r="W365" s="12"/>
      <c r="X365" s="12"/>
      <c r="Y365" s="12"/>
      <c r="Z365" s="12"/>
      <c r="AA365" s="12"/>
      <c r="AB365" s="12"/>
      <c r="AC365" s="12"/>
    </row>
    <row r="366" spans="1:29" ht="12.75" customHeight="1">
      <c r="A366" s="12"/>
      <c r="B366" s="12"/>
      <c r="C366" s="12"/>
      <c r="D366" s="12"/>
      <c r="E366" s="12"/>
      <c r="F366" s="12"/>
      <c r="G366" s="12"/>
      <c r="H366" s="592"/>
      <c r="I366" s="592"/>
      <c r="J366" s="592"/>
      <c r="K366" s="592"/>
      <c r="L366" s="592"/>
      <c r="M366" s="592"/>
      <c r="N366" s="592"/>
      <c r="O366" s="592"/>
      <c r="P366" s="592"/>
      <c r="Q366" s="592"/>
      <c r="R366" s="592"/>
      <c r="S366" s="592"/>
      <c r="T366" s="592"/>
      <c r="U366" s="12"/>
      <c r="V366" s="12"/>
      <c r="W366" s="12"/>
      <c r="X366" s="12"/>
      <c r="Y366" s="12"/>
      <c r="Z366" s="12"/>
      <c r="AA366" s="12"/>
      <c r="AB366" s="12"/>
      <c r="AC366" s="12"/>
    </row>
    <row r="367" spans="1:29" ht="12.75" customHeight="1">
      <c r="A367" s="12"/>
      <c r="B367" s="12"/>
      <c r="C367" s="12"/>
      <c r="D367" s="12"/>
      <c r="E367" s="12"/>
      <c r="F367" s="12"/>
      <c r="G367" s="12"/>
      <c r="H367" s="592"/>
      <c r="I367" s="592"/>
      <c r="J367" s="592"/>
      <c r="K367" s="592"/>
      <c r="L367" s="592"/>
      <c r="M367" s="592"/>
      <c r="N367" s="592"/>
      <c r="O367" s="592"/>
      <c r="P367" s="592"/>
      <c r="Q367" s="592"/>
      <c r="R367" s="592"/>
      <c r="S367" s="592"/>
      <c r="T367" s="592"/>
      <c r="U367" s="12"/>
      <c r="V367" s="12"/>
      <c r="W367" s="12"/>
      <c r="X367" s="12"/>
      <c r="Y367" s="12"/>
      <c r="Z367" s="12"/>
      <c r="AA367" s="12"/>
      <c r="AB367" s="12"/>
      <c r="AC367" s="12"/>
    </row>
    <row r="368" spans="1:29" ht="12.75" customHeight="1">
      <c r="A368" s="12"/>
      <c r="B368" s="12"/>
      <c r="C368" s="12"/>
      <c r="D368" s="12"/>
      <c r="E368" s="12"/>
      <c r="F368" s="12"/>
      <c r="G368" s="12"/>
      <c r="H368" s="592"/>
      <c r="I368" s="592"/>
      <c r="J368" s="592"/>
      <c r="K368" s="592"/>
      <c r="L368" s="592"/>
      <c r="M368" s="592"/>
      <c r="N368" s="592"/>
      <c r="O368" s="592"/>
      <c r="P368" s="592"/>
      <c r="Q368" s="592"/>
      <c r="R368" s="592"/>
      <c r="S368" s="592"/>
      <c r="T368" s="592"/>
      <c r="U368" s="12"/>
      <c r="V368" s="12"/>
      <c r="W368" s="12"/>
      <c r="X368" s="12"/>
      <c r="Y368" s="12"/>
      <c r="Z368" s="12"/>
      <c r="AA368" s="12"/>
      <c r="AB368" s="12"/>
      <c r="AC368" s="12"/>
    </row>
    <row r="369" spans="1:29" ht="12.75" customHeight="1">
      <c r="A369" s="12"/>
      <c r="B369" s="12"/>
      <c r="C369" s="12"/>
      <c r="D369" s="12"/>
      <c r="E369" s="12"/>
      <c r="F369" s="12"/>
      <c r="G369" s="12"/>
      <c r="H369" s="592"/>
      <c r="I369" s="592"/>
      <c r="J369" s="592"/>
      <c r="K369" s="592"/>
      <c r="L369" s="592"/>
      <c r="M369" s="592"/>
      <c r="N369" s="592"/>
      <c r="O369" s="592"/>
      <c r="P369" s="592"/>
      <c r="Q369" s="592"/>
      <c r="R369" s="592"/>
      <c r="S369" s="592"/>
      <c r="T369" s="592"/>
      <c r="U369" s="12"/>
      <c r="V369" s="12"/>
      <c r="W369" s="12"/>
      <c r="X369" s="12"/>
      <c r="Y369" s="12"/>
      <c r="Z369" s="12"/>
      <c r="AA369" s="12"/>
      <c r="AB369" s="12"/>
      <c r="AC369" s="12"/>
    </row>
    <row r="370" spans="1:29" ht="12.75" customHeight="1">
      <c r="A370" s="12"/>
      <c r="B370" s="12"/>
      <c r="C370" s="12"/>
      <c r="D370" s="12"/>
      <c r="E370" s="12"/>
      <c r="F370" s="12"/>
      <c r="G370" s="12"/>
      <c r="H370" s="592"/>
      <c r="I370" s="592"/>
      <c r="J370" s="592"/>
      <c r="K370" s="592"/>
      <c r="L370" s="592"/>
      <c r="M370" s="592"/>
      <c r="N370" s="592"/>
      <c r="O370" s="592"/>
      <c r="P370" s="592"/>
      <c r="Q370" s="592"/>
      <c r="R370" s="592"/>
      <c r="S370" s="592"/>
      <c r="T370" s="592"/>
      <c r="U370" s="12"/>
      <c r="V370" s="12"/>
      <c r="W370" s="12"/>
      <c r="X370" s="12"/>
      <c r="Y370" s="12"/>
      <c r="Z370" s="12"/>
      <c r="AA370" s="12"/>
      <c r="AB370" s="12"/>
      <c r="AC370" s="12"/>
    </row>
    <row r="371" spans="1:29" ht="12.75" customHeight="1">
      <c r="A371" s="12"/>
      <c r="B371" s="12"/>
      <c r="C371" s="12"/>
      <c r="D371" s="12"/>
      <c r="E371" s="12"/>
      <c r="F371" s="12"/>
      <c r="G371" s="12"/>
      <c r="H371" s="592"/>
      <c r="I371" s="592"/>
      <c r="J371" s="592"/>
      <c r="K371" s="592"/>
      <c r="L371" s="592"/>
      <c r="M371" s="592"/>
      <c r="N371" s="592"/>
      <c r="O371" s="592"/>
      <c r="P371" s="592"/>
      <c r="Q371" s="592"/>
      <c r="R371" s="592"/>
      <c r="S371" s="592"/>
      <c r="T371" s="592"/>
      <c r="U371" s="12"/>
      <c r="V371" s="12"/>
      <c r="W371" s="12"/>
      <c r="X371" s="12"/>
      <c r="Y371" s="12"/>
      <c r="Z371" s="12"/>
      <c r="AA371" s="12"/>
      <c r="AB371" s="12"/>
      <c r="AC371" s="12"/>
    </row>
    <row r="372" spans="1:29" ht="12.75" customHeight="1">
      <c r="A372" s="12"/>
      <c r="B372" s="12"/>
      <c r="C372" s="12"/>
      <c r="D372" s="12"/>
      <c r="E372" s="12"/>
      <c r="F372" s="12"/>
      <c r="G372" s="12"/>
      <c r="H372" s="592"/>
      <c r="I372" s="592"/>
      <c r="J372" s="592"/>
      <c r="K372" s="592"/>
      <c r="L372" s="592"/>
      <c r="M372" s="592"/>
      <c r="N372" s="592"/>
      <c r="O372" s="592"/>
      <c r="P372" s="592"/>
      <c r="Q372" s="592"/>
      <c r="R372" s="592"/>
      <c r="S372" s="592"/>
      <c r="T372" s="592"/>
      <c r="U372" s="12"/>
      <c r="V372" s="12"/>
      <c r="W372" s="12"/>
      <c r="X372" s="12"/>
      <c r="Y372" s="12"/>
      <c r="Z372" s="12"/>
      <c r="AA372" s="12"/>
      <c r="AB372" s="12"/>
      <c r="AC372" s="12"/>
    </row>
    <row r="373" spans="1:29" ht="12.75" customHeight="1">
      <c r="A373" s="12"/>
      <c r="B373" s="12"/>
      <c r="C373" s="12"/>
      <c r="D373" s="12"/>
      <c r="E373" s="12"/>
      <c r="F373" s="12"/>
      <c r="G373" s="12"/>
      <c r="H373" s="592"/>
      <c r="I373" s="592"/>
      <c r="J373" s="592"/>
      <c r="K373" s="592"/>
      <c r="L373" s="592"/>
      <c r="M373" s="592"/>
      <c r="N373" s="592"/>
      <c r="O373" s="592"/>
      <c r="P373" s="592"/>
      <c r="Q373" s="592"/>
      <c r="R373" s="592"/>
      <c r="S373" s="592"/>
      <c r="T373" s="592"/>
      <c r="U373" s="12"/>
      <c r="V373" s="12"/>
      <c r="W373" s="12"/>
      <c r="X373" s="12"/>
      <c r="Y373" s="12"/>
      <c r="Z373" s="12"/>
      <c r="AA373" s="12"/>
      <c r="AB373" s="12"/>
      <c r="AC373" s="12"/>
    </row>
    <row r="374" spans="1:29" ht="12.75" customHeight="1">
      <c r="A374" s="12"/>
      <c r="B374" s="12"/>
      <c r="C374" s="12"/>
      <c r="D374" s="12"/>
      <c r="E374" s="12"/>
      <c r="F374" s="12"/>
      <c r="G374" s="12"/>
      <c r="H374" s="592"/>
      <c r="I374" s="592"/>
      <c r="J374" s="592"/>
      <c r="K374" s="592"/>
      <c r="L374" s="592"/>
      <c r="M374" s="592"/>
      <c r="N374" s="592"/>
      <c r="O374" s="592"/>
      <c r="P374" s="592"/>
      <c r="Q374" s="592"/>
      <c r="R374" s="592"/>
      <c r="S374" s="592"/>
      <c r="T374" s="592"/>
      <c r="U374" s="12"/>
      <c r="V374" s="12"/>
      <c r="W374" s="12"/>
      <c r="X374" s="12"/>
      <c r="Y374" s="12"/>
      <c r="Z374" s="12"/>
      <c r="AA374" s="12"/>
      <c r="AB374" s="12"/>
      <c r="AC374" s="12"/>
    </row>
    <row r="375" spans="1:29" ht="12.75" customHeight="1">
      <c r="A375" s="12"/>
      <c r="B375" s="12"/>
      <c r="C375" s="12"/>
      <c r="D375" s="12"/>
      <c r="E375" s="12"/>
      <c r="F375" s="12"/>
      <c r="G375" s="12"/>
      <c r="H375" s="592"/>
      <c r="I375" s="592"/>
      <c r="J375" s="592"/>
      <c r="K375" s="592"/>
      <c r="L375" s="592"/>
      <c r="M375" s="592"/>
      <c r="N375" s="592"/>
      <c r="O375" s="592"/>
      <c r="P375" s="592"/>
      <c r="Q375" s="592"/>
      <c r="R375" s="592"/>
      <c r="S375" s="592"/>
      <c r="T375" s="592"/>
      <c r="U375" s="12"/>
      <c r="V375" s="12"/>
      <c r="W375" s="12"/>
      <c r="X375" s="12"/>
      <c r="Y375" s="12"/>
      <c r="Z375" s="12"/>
      <c r="AA375" s="12"/>
      <c r="AB375" s="12"/>
      <c r="AC375" s="12"/>
    </row>
    <row r="376" spans="1:29" ht="12.75" customHeight="1">
      <c r="A376" s="12"/>
      <c r="B376" s="12"/>
      <c r="C376" s="12"/>
      <c r="D376" s="12"/>
      <c r="E376" s="12"/>
      <c r="F376" s="12"/>
      <c r="G376" s="12"/>
      <c r="H376" s="592"/>
      <c r="I376" s="592"/>
      <c r="J376" s="592"/>
      <c r="K376" s="592"/>
      <c r="L376" s="592"/>
      <c r="M376" s="592"/>
      <c r="N376" s="592"/>
      <c r="O376" s="592"/>
      <c r="P376" s="592"/>
      <c r="Q376" s="592"/>
      <c r="R376" s="592"/>
      <c r="S376" s="592"/>
      <c r="T376" s="592"/>
      <c r="U376" s="12"/>
      <c r="V376" s="12"/>
      <c r="W376" s="12"/>
      <c r="X376" s="12"/>
      <c r="Y376" s="12"/>
      <c r="Z376" s="12"/>
      <c r="AA376" s="12"/>
      <c r="AB376" s="12"/>
      <c r="AC376" s="12"/>
    </row>
    <row r="377" spans="1:29" ht="12.75" customHeight="1">
      <c r="A377" s="12"/>
      <c r="B377" s="12"/>
      <c r="C377" s="12"/>
      <c r="D377" s="12"/>
      <c r="E377" s="12"/>
      <c r="F377" s="12"/>
      <c r="G377" s="12"/>
      <c r="H377" s="592"/>
      <c r="I377" s="592"/>
      <c r="J377" s="592"/>
      <c r="K377" s="592"/>
      <c r="L377" s="592"/>
      <c r="M377" s="592"/>
      <c r="N377" s="592"/>
      <c r="O377" s="592"/>
      <c r="P377" s="592"/>
      <c r="Q377" s="592"/>
      <c r="R377" s="592"/>
      <c r="S377" s="592"/>
      <c r="T377" s="592"/>
      <c r="U377" s="12"/>
      <c r="V377" s="12"/>
      <c r="W377" s="12"/>
      <c r="X377" s="12"/>
      <c r="Y377" s="12"/>
      <c r="Z377" s="12"/>
      <c r="AA377" s="12"/>
      <c r="AB377" s="12"/>
      <c r="AC377" s="12"/>
    </row>
    <row r="378" spans="1:29" ht="12.75" customHeight="1">
      <c r="A378" s="12"/>
      <c r="B378" s="12"/>
      <c r="C378" s="12"/>
      <c r="D378" s="12"/>
      <c r="E378" s="12"/>
      <c r="F378" s="12"/>
      <c r="G378" s="12"/>
      <c r="H378" s="592"/>
      <c r="I378" s="592"/>
      <c r="J378" s="592"/>
      <c r="K378" s="592"/>
      <c r="L378" s="592"/>
      <c r="M378" s="592"/>
      <c r="N378" s="592"/>
      <c r="O378" s="592"/>
      <c r="P378" s="592"/>
      <c r="Q378" s="592"/>
      <c r="R378" s="592"/>
      <c r="S378" s="592"/>
      <c r="T378" s="592"/>
      <c r="U378" s="12"/>
      <c r="V378" s="12"/>
      <c r="W378" s="12"/>
      <c r="X378" s="12"/>
      <c r="Y378" s="12"/>
      <c r="Z378" s="12"/>
      <c r="AA378" s="12"/>
      <c r="AB378" s="12"/>
      <c r="AC378" s="12"/>
    </row>
    <row r="379" spans="1:29" ht="12.75" customHeight="1">
      <c r="A379" s="12"/>
      <c r="B379" s="12"/>
      <c r="C379" s="12"/>
      <c r="D379" s="12"/>
      <c r="E379" s="12"/>
      <c r="F379" s="12"/>
      <c r="G379" s="12"/>
      <c r="H379" s="592"/>
      <c r="I379" s="592"/>
      <c r="J379" s="592"/>
      <c r="K379" s="592"/>
      <c r="L379" s="592"/>
      <c r="M379" s="592"/>
      <c r="N379" s="592"/>
      <c r="O379" s="592"/>
      <c r="P379" s="592"/>
      <c r="Q379" s="592"/>
      <c r="R379" s="592"/>
      <c r="S379" s="592"/>
      <c r="T379" s="592"/>
      <c r="U379" s="12"/>
      <c r="V379" s="12"/>
      <c r="W379" s="12"/>
      <c r="X379" s="12"/>
      <c r="Y379" s="12"/>
      <c r="Z379" s="12"/>
      <c r="AA379" s="12"/>
      <c r="AB379" s="12"/>
      <c r="AC379" s="12"/>
    </row>
    <row r="380" spans="1:29" ht="12.75" customHeight="1">
      <c r="A380" s="12"/>
      <c r="B380" s="12"/>
      <c r="C380" s="12"/>
      <c r="D380" s="12"/>
      <c r="E380" s="12"/>
      <c r="F380" s="12"/>
      <c r="G380" s="12"/>
      <c r="H380" s="592"/>
      <c r="I380" s="592"/>
      <c r="J380" s="592"/>
      <c r="K380" s="592"/>
      <c r="L380" s="592"/>
      <c r="M380" s="592"/>
      <c r="N380" s="592"/>
      <c r="O380" s="592"/>
      <c r="P380" s="592"/>
      <c r="Q380" s="592"/>
      <c r="R380" s="592"/>
      <c r="S380" s="592"/>
      <c r="T380" s="592"/>
      <c r="U380" s="12"/>
      <c r="V380" s="12"/>
      <c r="W380" s="12"/>
      <c r="X380" s="12"/>
      <c r="Y380" s="12"/>
      <c r="Z380" s="12"/>
      <c r="AA380" s="12"/>
      <c r="AB380" s="12"/>
      <c r="AC380" s="12"/>
    </row>
    <row r="381" spans="1:29" ht="12.75" customHeight="1">
      <c r="A381" s="12"/>
      <c r="B381" s="12"/>
      <c r="C381" s="12"/>
      <c r="D381" s="12"/>
      <c r="E381" s="12"/>
      <c r="F381" s="12"/>
      <c r="G381" s="12"/>
      <c r="H381" s="592"/>
      <c r="I381" s="592"/>
      <c r="J381" s="592"/>
      <c r="K381" s="592"/>
      <c r="L381" s="592"/>
      <c r="M381" s="592"/>
      <c r="N381" s="592"/>
      <c r="O381" s="592"/>
      <c r="P381" s="592"/>
      <c r="Q381" s="592"/>
      <c r="R381" s="592"/>
      <c r="S381" s="592"/>
      <c r="T381" s="592"/>
      <c r="U381" s="12"/>
      <c r="V381" s="12"/>
      <c r="W381" s="12"/>
      <c r="X381" s="12"/>
      <c r="Y381" s="12"/>
      <c r="Z381" s="12"/>
      <c r="AA381" s="12"/>
      <c r="AB381" s="12"/>
      <c r="AC381" s="12"/>
    </row>
    <row r="382" spans="1:29" ht="12.75" customHeight="1">
      <c r="A382" s="12"/>
      <c r="B382" s="12"/>
      <c r="C382" s="12"/>
      <c r="D382" s="12"/>
      <c r="E382" s="12"/>
      <c r="F382" s="12"/>
      <c r="G382" s="12"/>
      <c r="H382" s="592"/>
      <c r="I382" s="592"/>
      <c r="J382" s="592"/>
      <c r="K382" s="592"/>
      <c r="L382" s="592"/>
      <c r="M382" s="592"/>
      <c r="N382" s="592"/>
      <c r="O382" s="592"/>
      <c r="P382" s="592"/>
      <c r="Q382" s="592"/>
      <c r="R382" s="592"/>
      <c r="S382" s="592"/>
      <c r="T382" s="592"/>
      <c r="U382" s="12"/>
      <c r="V382" s="12"/>
      <c r="W382" s="12"/>
      <c r="X382" s="12"/>
      <c r="Y382" s="12"/>
      <c r="Z382" s="12"/>
      <c r="AA382" s="12"/>
      <c r="AB382" s="12"/>
      <c r="AC382" s="12"/>
    </row>
    <row r="383" spans="1:29" ht="12.75" customHeight="1">
      <c r="A383" s="12"/>
      <c r="B383" s="12"/>
      <c r="C383" s="12"/>
      <c r="D383" s="12"/>
      <c r="E383" s="12"/>
      <c r="F383" s="12"/>
      <c r="G383" s="12"/>
      <c r="H383" s="592"/>
      <c r="I383" s="592"/>
      <c r="J383" s="592"/>
      <c r="K383" s="592"/>
      <c r="L383" s="592"/>
      <c r="M383" s="592"/>
      <c r="N383" s="592"/>
      <c r="O383" s="592"/>
      <c r="P383" s="592"/>
      <c r="Q383" s="592"/>
      <c r="R383" s="592"/>
      <c r="S383" s="592"/>
      <c r="T383" s="592"/>
      <c r="U383" s="12"/>
      <c r="V383" s="12"/>
      <c r="W383" s="12"/>
      <c r="X383" s="12"/>
      <c r="Y383" s="12"/>
      <c r="Z383" s="12"/>
      <c r="AA383" s="12"/>
      <c r="AB383" s="12"/>
      <c r="AC383" s="12"/>
    </row>
    <row r="384" spans="1:29" ht="12.75" customHeight="1">
      <c r="A384" s="12"/>
      <c r="B384" s="12"/>
      <c r="C384" s="12"/>
      <c r="D384" s="12"/>
      <c r="E384" s="12"/>
      <c r="F384" s="12"/>
      <c r="G384" s="12"/>
      <c r="H384" s="592"/>
      <c r="I384" s="592"/>
      <c r="J384" s="592"/>
      <c r="K384" s="592"/>
      <c r="L384" s="592"/>
      <c r="M384" s="592"/>
      <c r="N384" s="592"/>
      <c r="O384" s="592"/>
      <c r="P384" s="592"/>
      <c r="Q384" s="592"/>
      <c r="R384" s="592"/>
      <c r="S384" s="592"/>
      <c r="T384" s="592"/>
      <c r="U384" s="12"/>
      <c r="V384" s="12"/>
      <c r="W384" s="12"/>
      <c r="X384" s="12"/>
      <c r="Y384" s="12"/>
      <c r="Z384" s="12"/>
      <c r="AA384" s="12"/>
      <c r="AB384" s="12"/>
      <c r="AC384" s="12"/>
    </row>
    <row r="385" spans="1:29" ht="12.75" customHeight="1">
      <c r="A385" s="12"/>
      <c r="B385" s="12"/>
      <c r="C385" s="12"/>
      <c r="D385" s="12"/>
      <c r="E385" s="12"/>
      <c r="F385" s="12"/>
      <c r="G385" s="12"/>
      <c r="H385" s="592"/>
      <c r="I385" s="592"/>
      <c r="J385" s="592"/>
      <c r="K385" s="592"/>
      <c r="L385" s="592"/>
      <c r="M385" s="592"/>
      <c r="N385" s="592"/>
      <c r="O385" s="592"/>
      <c r="P385" s="592"/>
      <c r="Q385" s="592"/>
      <c r="R385" s="592"/>
      <c r="S385" s="592"/>
      <c r="T385" s="592"/>
      <c r="U385" s="12"/>
      <c r="V385" s="12"/>
      <c r="W385" s="12"/>
      <c r="X385" s="12"/>
      <c r="Y385" s="12"/>
      <c r="Z385" s="12"/>
      <c r="AA385" s="12"/>
      <c r="AB385" s="12"/>
      <c r="AC385" s="12"/>
    </row>
    <row r="386" spans="1:29" ht="12.75" customHeight="1">
      <c r="A386" s="12"/>
      <c r="B386" s="12"/>
      <c r="C386" s="12"/>
      <c r="D386" s="12"/>
      <c r="E386" s="12"/>
      <c r="F386" s="12"/>
      <c r="G386" s="12"/>
      <c r="H386" s="592"/>
      <c r="I386" s="592"/>
      <c r="J386" s="592"/>
      <c r="K386" s="592"/>
      <c r="L386" s="592"/>
      <c r="M386" s="592"/>
      <c r="N386" s="592"/>
      <c r="O386" s="592"/>
      <c r="P386" s="592"/>
      <c r="Q386" s="592"/>
      <c r="R386" s="592"/>
      <c r="S386" s="592"/>
      <c r="T386" s="592"/>
      <c r="U386" s="12"/>
      <c r="V386" s="12"/>
      <c r="W386" s="12"/>
      <c r="X386" s="12"/>
      <c r="Y386" s="12"/>
      <c r="Z386" s="12"/>
      <c r="AA386" s="12"/>
      <c r="AB386" s="12"/>
      <c r="AC386" s="12"/>
    </row>
    <row r="387" spans="1:29" ht="12.75" customHeight="1">
      <c r="A387" s="12"/>
      <c r="B387" s="12"/>
      <c r="C387" s="12"/>
      <c r="D387" s="12"/>
      <c r="E387" s="12"/>
      <c r="F387" s="12"/>
      <c r="G387" s="12"/>
      <c r="H387" s="592"/>
      <c r="I387" s="592"/>
      <c r="J387" s="592"/>
      <c r="K387" s="592"/>
      <c r="L387" s="592"/>
      <c r="M387" s="592"/>
      <c r="N387" s="592"/>
      <c r="O387" s="592"/>
      <c r="P387" s="592"/>
      <c r="Q387" s="592"/>
      <c r="R387" s="592"/>
      <c r="S387" s="592"/>
      <c r="T387" s="592"/>
      <c r="U387" s="12"/>
      <c r="V387" s="12"/>
      <c r="W387" s="12"/>
      <c r="X387" s="12"/>
      <c r="Y387" s="12"/>
      <c r="Z387" s="12"/>
      <c r="AA387" s="12"/>
      <c r="AB387" s="12"/>
      <c r="AC387" s="12"/>
    </row>
    <row r="388" spans="1:29" ht="12.75" customHeight="1">
      <c r="A388" s="12"/>
      <c r="B388" s="12"/>
      <c r="C388" s="12"/>
      <c r="D388" s="12"/>
      <c r="E388" s="12"/>
      <c r="F388" s="12"/>
      <c r="G388" s="12"/>
      <c r="H388" s="592"/>
      <c r="I388" s="592"/>
      <c r="J388" s="592"/>
      <c r="K388" s="592"/>
      <c r="L388" s="592"/>
      <c r="M388" s="592"/>
      <c r="N388" s="592"/>
      <c r="O388" s="592"/>
      <c r="P388" s="592"/>
      <c r="Q388" s="592"/>
      <c r="R388" s="592"/>
      <c r="S388" s="592"/>
      <c r="T388" s="592"/>
      <c r="U388" s="12"/>
      <c r="V388" s="12"/>
      <c r="W388" s="12"/>
      <c r="X388" s="12"/>
      <c r="Y388" s="12"/>
      <c r="Z388" s="12"/>
      <c r="AA388" s="12"/>
      <c r="AB388" s="12"/>
      <c r="AC388" s="12"/>
    </row>
    <row r="389" spans="1:29" ht="12.75" customHeight="1">
      <c r="A389" s="12"/>
      <c r="B389" s="12"/>
      <c r="C389" s="12"/>
      <c r="D389" s="12"/>
      <c r="E389" s="12"/>
      <c r="F389" s="12"/>
      <c r="G389" s="12"/>
      <c r="H389" s="592"/>
      <c r="I389" s="592"/>
      <c r="J389" s="592"/>
      <c r="K389" s="592"/>
      <c r="L389" s="592"/>
      <c r="M389" s="592"/>
      <c r="N389" s="592"/>
      <c r="O389" s="592"/>
      <c r="P389" s="592"/>
      <c r="Q389" s="592"/>
      <c r="R389" s="592"/>
      <c r="S389" s="592"/>
      <c r="T389" s="592"/>
      <c r="U389" s="12"/>
      <c r="V389" s="12"/>
      <c r="W389" s="12"/>
      <c r="X389" s="12"/>
      <c r="Y389" s="12"/>
      <c r="Z389" s="12"/>
      <c r="AA389" s="12"/>
      <c r="AB389" s="12"/>
      <c r="AC389" s="12"/>
    </row>
    <row r="390" spans="1:29" ht="12.75" customHeight="1">
      <c r="A390" s="12"/>
      <c r="B390" s="12"/>
      <c r="C390" s="12"/>
      <c r="D390" s="12"/>
      <c r="E390" s="12"/>
      <c r="F390" s="12"/>
      <c r="G390" s="12"/>
      <c r="H390" s="592"/>
      <c r="I390" s="592"/>
      <c r="J390" s="592"/>
      <c r="K390" s="592"/>
      <c r="L390" s="592"/>
      <c r="M390" s="592"/>
      <c r="N390" s="592"/>
      <c r="O390" s="592"/>
      <c r="P390" s="592"/>
      <c r="Q390" s="592"/>
      <c r="R390" s="592"/>
      <c r="S390" s="592"/>
      <c r="T390" s="592"/>
      <c r="U390" s="12"/>
      <c r="V390" s="12"/>
      <c r="W390" s="12"/>
      <c r="X390" s="12"/>
      <c r="Y390" s="12"/>
      <c r="Z390" s="12"/>
      <c r="AA390" s="12"/>
      <c r="AB390" s="12"/>
      <c r="AC390" s="12"/>
    </row>
    <row r="391" spans="1:29" ht="12.75" customHeight="1">
      <c r="A391" s="12"/>
      <c r="B391" s="12"/>
      <c r="C391" s="12"/>
      <c r="D391" s="12"/>
      <c r="E391" s="12"/>
      <c r="F391" s="12"/>
      <c r="G391" s="12"/>
      <c r="H391" s="592"/>
      <c r="I391" s="592"/>
      <c r="J391" s="592"/>
      <c r="K391" s="592"/>
      <c r="L391" s="592"/>
      <c r="M391" s="592"/>
      <c r="N391" s="592"/>
      <c r="O391" s="592"/>
      <c r="P391" s="592"/>
      <c r="Q391" s="592"/>
      <c r="R391" s="592"/>
      <c r="S391" s="592"/>
      <c r="T391" s="592"/>
      <c r="U391" s="12"/>
      <c r="V391" s="12"/>
      <c r="W391" s="12"/>
      <c r="X391" s="12"/>
      <c r="Y391" s="12"/>
      <c r="Z391" s="12"/>
      <c r="AA391" s="12"/>
      <c r="AB391" s="12"/>
      <c r="AC391" s="12"/>
    </row>
    <row r="392" spans="1:29" ht="12.75" customHeight="1">
      <c r="A392" s="12"/>
      <c r="B392" s="12"/>
      <c r="C392" s="12"/>
      <c r="D392" s="12"/>
      <c r="E392" s="12"/>
      <c r="F392" s="12"/>
      <c r="G392" s="12"/>
      <c r="H392" s="592"/>
      <c r="I392" s="592"/>
      <c r="J392" s="592"/>
      <c r="K392" s="592"/>
      <c r="L392" s="592"/>
      <c r="M392" s="592"/>
      <c r="N392" s="592"/>
      <c r="O392" s="592"/>
      <c r="P392" s="592"/>
      <c r="Q392" s="592"/>
      <c r="R392" s="592"/>
      <c r="S392" s="592"/>
      <c r="T392" s="592"/>
      <c r="U392" s="12"/>
      <c r="V392" s="12"/>
      <c r="W392" s="12"/>
      <c r="X392" s="12"/>
      <c r="Y392" s="12"/>
      <c r="Z392" s="12"/>
      <c r="AA392" s="12"/>
      <c r="AB392" s="12"/>
      <c r="AC392" s="12"/>
    </row>
    <row r="393" spans="1:29" ht="12.75" customHeight="1">
      <c r="A393" s="12"/>
      <c r="B393" s="12"/>
      <c r="C393" s="12"/>
      <c r="D393" s="12"/>
      <c r="E393" s="12"/>
      <c r="F393" s="12"/>
      <c r="G393" s="12"/>
      <c r="H393" s="592"/>
      <c r="I393" s="592"/>
      <c r="J393" s="592"/>
      <c r="K393" s="592"/>
      <c r="L393" s="592"/>
      <c r="M393" s="592"/>
      <c r="N393" s="592"/>
      <c r="O393" s="592"/>
      <c r="P393" s="592"/>
      <c r="Q393" s="592"/>
      <c r="R393" s="592"/>
      <c r="S393" s="592"/>
      <c r="T393" s="592"/>
      <c r="U393" s="12"/>
      <c r="V393" s="12"/>
      <c r="W393" s="12"/>
      <c r="X393" s="12"/>
      <c r="Y393" s="12"/>
      <c r="Z393" s="12"/>
      <c r="AA393" s="12"/>
      <c r="AB393" s="12"/>
      <c r="AC393" s="12"/>
    </row>
    <row r="394" spans="1:29" ht="12.75" customHeight="1">
      <c r="A394" s="12"/>
      <c r="B394" s="12"/>
      <c r="C394" s="12"/>
      <c r="D394" s="12"/>
      <c r="E394" s="12"/>
      <c r="F394" s="12"/>
      <c r="G394" s="12"/>
      <c r="H394" s="592"/>
      <c r="I394" s="592"/>
      <c r="J394" s="592"/>
      <c r="K394" s="592"/>
      <c r="L394" s="592"/>
      <c r="M394" s="592"/>
      <c r="N394" s="592"/>
      <c r="O394" s="592"/>
      <c r="P394" s="592"/>
      <c r="Q394" s="592"/>
      <c r="R394" s="592"/>
      <c r="S394" s="592"/>
      <c r="T394" s="592"/>
      <c r="U394" s="12"/>
      <c r="V394" s="12"/>
      <c r="W394" s="12"/>
      <c r="X394" s="12"/>
      <c r="Y394" s="12"/>
      <c r="Z394" s="12"/>
      <c r="AA394" s="12"/>
      <c r="AB394" s="12"/>
      <c r="AC394" s="12"/>
    </row>
    <row r="395" spans="1:29" ht="12.75" customHeight="1">
      <c r="A395" s="12"/>
      <c r="B395" s="12"/>
      <c r="C395" s="12"/>
      <c r="D395" s="12"/>
      <c r="E395" s="12"/>
      <c r="F395" s="12"/>
      <c r="G395" s="12"/>
      <c r="H395" s="592"/>
      <c r="I395" s="592"/>
      <c r="J395" s="592"/>
      <c r="K395" s="592"/>
      <c r="L395" s="592"/>
      <c r="M395" s="592"/>
      <c r="N395" s="592"/>
      <c r="O395" s="592"/>
      <c r="P395" s="592"/>
      <c r="Q395" s="592"/>
      <c r="R395" s="592"/>
      <c r="S395" s="592"/>
      <c r="T395" s="592"/>
      <c r="U395" s="12"/>
      <c r="V395" s="12"/>
      <c r="W395" s="12"/>
      <c r="X395" s="12"/>
      <c r="Y395" s="12"/>
      <c r="Z395" s="12"/>
      <c r="AA395" s="12"/>
      <c r="AB395" s="12"/>
      <c r="AC395" s="12"/>
    </row>
    <row r="396" spans="1:29" ht="12.75" customHeight="1">
      <c r="A396" s="12"/>
      <c r="B396" s="12"/>
      <c r="C396" s="12"/>
      <c r="D396" s="12"/>
      <c r="E396" s="12"/>
      <c r="F396" s="12"/>
      <c r="G396" s="12"/>
      <c r="H396" s="592"/>
      <c r="I396" s="592"/>
      <c r="J396" s="592"/>
      <c r="K396" s="592"/>
      <c r="L396" s="592"/>
      <c r="M396" s="592"/>
      <c r="N396" s="592"/>
      <c r="O396" s="592"/>
      <c r="P396" s="592"/>
      <c r="Q396" s="592"/>
      <c r="R396" s="592"/>
      <c r="S396" s="592"/>
      <c r="T396" s="592"/>
      <c r="U396" s="12"/>
      <c r="V396" s="12"/>
      <c r="W396" s="12"/>
      <c r="X396" s="12"/>
      <c r="Y396" s="12"/>
      <c r="Z396" s="12"/>
      <c r="AA396" s="12"/>
      <c r="AB396" s="12"/>
      <c r="AC396" s="12"/>
    </row>
    <row r="397" spans="1:29" ht="12.75" customHeight="1">
      <c r="A397" s="12"/>
      <c r="B397" s="12"/>
      <c r="C397" s="12"/>
      <c r="D397" s="12"/>
      <c r="E397" s="12"/>
      <c r="F397" s="12"/>
      <c r="G397" s="12"/>
      <c r="H397" s="592"/>
      <c r="I397" s="592"/>
      <c r="J397" s="592"/>
      <c r="K397" s="592"/>
      <c r="L397" s="592"/>
      <c r="M397" s="592"/>
      <c r="N397" s="592"/>
      <c r="O397" s="592"/>
      <c r="P397" s="592"/>
      <c r="Q397" s="592"/>
      <c r="R397" s="592"/>
      <c r="S397" s="592"/>
      <c r="T397" s="592"/>
      <c r="U397" s="12"/>
      <c r="V397" s="12"/>
      <c r="W397" s="12"/>
      <c r="X397" s="12"/>
      <c r="Y397" s="12"/>
      <c r="Z397" s="12"/>
      <c r="AA397" s="12"/>
      <c r="AB397" s="12"/>
      <c r="AC397" s="12"/>
    </row>
    <row r="398" spans="1:29" ht="12.75" customHeight="1">
      <c r="A398" s="12"/>
      <c r="B398" s="12"/>
      <c r="C398" s="12"/>
      <c r="D398" s="12"/>
      <c r="E398" s="12"/>
      <c r="F398" s="12"/>
      <c r="G398" s="12"/>
      <c r="H398" s="592"/>
      <c r="I398" s="592"/>
      <c r="J398" s="592"/>
      <c r="K398" s="592"/>
      <c r="L398" s="592"/>
      <c r="M398" s="592"/>
      <c r="N398" s="592"/>
      <c r="O398" s="592"/>
      <c r="P398" s="592"/>
      <c r="Q398" s="592"/>
      <c r="R398" s="592"/>
      <c r="S398" s="592"/>
      <c r="T398" s="592"/>
      <c r="U398" s="12"/>
      <c r="V398" s="12"/>
      <c r="W398" s="12"/>
      <c r="X398" s="12"/>
      <c r="Y398" s="12"/>
      <c r="Z398" s="12"/>
      <c r="AA398" s="12"/>
      <c r="AB398" s="12"/>
      <c r="AC398" s="12"/>
    </row>
    <row r="399" spans="1:29" ht="12.75" customHeight="1">
      <c r="A399" s="12"/>
      <c r="B399" s="12"/>
      <c r="C399" s="12"/>
      <c r="D399" s="12"/>
      <c r="E399" s="12"/>
      <c r="F399" s="12"/>
      <c r="G399" s="12"/>
      <c r="H399" s="592"/>
      <c r="I399" s="592"/>
      <c r="J399" s="592"/>
      <c r="K399" s="592"/>
      <c r="L399" s="592"/>
      <c r="M399" s="592"/>
      <c r="N399" s="592"/>
      <c r="O399" s="592"/>
      <c r="P399" s="592"/>
      <c r="Q399" s="592"/>
      <c r="R399" s="592"/>
      <c r="S399" s="592"/>
      <c r="T399" s="592"/>
      <c r="U399" s="12"/>
      <c r="V399" s="12"/>
      <c r="W399" s="12"/>
      <c r="X399" s="12"/>
      <c r="Y399" s="12"/>
      <c r="Z399" s="12"/>
      <c r="AA399" s="12"/>
      <c r="AB399" s="12"/>
      <c r="AC399" s="12"/>
    </row>
    <row r="400" spans="1:29" ht="12.75" customHeight="1">
      <c r="A400" s="12"/>
      <c r="B400" s="12"/>
      <c r="C400" s="12"/>
      <c r="D400" s="12"/>
      <c r="E400" s="12"/>
      <c r="F400" s="12"/>
      <c r="G400" s="12"/>
      <c r="H400" s="592"/>
      <c r="I400" s="592"/>
      <c r="J400" s="592"/>
      <c r="K400" s="592"/>
      <c r="L400" s="592"/>
      <c r="M400" s="592"/>
      <c r="N400" s="592"/>
      <c r="O400" s="592"/>
      <c r="P400" s="592"/>
      <c r="Q400" s="592"/>
      <c r="R400" s="592"/>
      <c r="S400" s="592"/>
      <c r="T400" s="592"/>
      <c r="U400" s="12"/>
      <c r="V400" s="12"/>
      <c r="W400" s="12"/>
      <c r="X400" s="12"/>
      <c r="Y400" s="12"/>
      <c r="Z400" s="12"/>
      <c r="AA400" s="12"/>
      <c r="AB400" s="12"/>
      <c r="AC400" s="12"/>
    </row>
    <row r="401" spans="1:29" ht="12.75" customHeight="1">
      <c r="A401" s="12"/>
      <c r="B401" s="12"/>
      <c r="C401" s="12"/>
      <c r="D401" s="12"/>
      <c r="E401" s="12"/>
      <c r="F401" s="12"/>
      <c r="G401" s="12"/>
      <c r="H401" s="592"/>
      <c r="I401" s="592"/>
      <c r="J401" s="592"/>
      <c r="K401" s="592"/>
      <c r="L401" s="592"/>
      <c r="M401" s="592"/>
      <c r="N401" s="592"/>
      <c r="O401" s="592"/>
      <c r="P401" s="592"/>
      <c r="Q401" s="592"/>
      <c r="R401" s="592"/>
      <c r="S401" s="592"/>
      <c r="T401" s="592"/>
      <c r="U401" s="12"/>
      <c r="V401" s="12"/>
      <c r="W401" s="12"/>
      <c r="X401" s="12"/>
      <c r="Y401" s="12"/>
      <c r="Z401" s="12"/>
      <c r="AA401" s="12"/>
      <c r="AB401" s="12"/>
      <c r="AC401" s="12"/>
    </row>
    <row r="402" spans="1:29" ht="12.75" customHeight="1">
      <c r="A402" s="12"/>
      <c r="B402" s="12"/>
      <c r="C402" s="12"/>
      <c r="D402" s="12"/>
      <c r="E402" s="12"/>
      <c r="F402" s="12"/>
      <c r="G402" s="12"/>
      <c r="H402" s="592"/>
      <c r="I402" s="592"/>
      <c r="J402" s="592"/>
      <c r="K402" s="592"/>
      <c r="L402" s="592"/>
      <c r="M402" s="592"/>
      <c r="N402" s="592"/>
      <c r="O402" s="592"/>
      <c r="P402" s="592"/>
      <c r="Q402" s="592"/>
      <c r="R402" s="592"/>
      <c r="S402" s="592"/>
      <c r="T402" s="592"/>
      <c r="U402" s="12"/>
      <c r="V402" s="12"/>
      <c r="W402" s="12"/>
      <c r="X402" s="12"/>
      <c r="Y402" s="12"/>
      <c r="Z402" s="12"/>
      <c r="AA402" s="12"/>
      <c r="AB402" s="12"/>
      <c r="AC402" s="12"/>
    </row>
    <row r="403" spans="1:29" ht="12.75" customHeight="1">
      <c r="A403" s="12"/>
      <c r="B403" s="12"/>
      <c r="C403" s="12"/>
      <c r="D403" s="12"/>
      <c r="E403" s="12"/>
      <c r="F403" s="12"/>
      <c r="G403" s="12"/>
      <c r="H403" s="592"/>
      <c r="I403" s="592"/>
      <c r="J403" s="592"/>
      <c r="K403" s="592"/>
      <c r="L403" s="592"/>
      <c r="M403" s="592"/>
      <c r="N403" s="592"/>
      <c r="O403" s="592"/>
      <c r="P403" s="592"/>
      <c r="Q403" s="592"/>
      <c r="R403" s="592"/>
      <c r="S403" s="592"/>
      <c r="T403" s="592"/>
      <c r="U403" s="12"/>
      <c r="V403" s="12"/>
      <c r="W403" s="12"/>
      <c r="X403" s="12"/>
      <c r="Y403" s="12"/>
      <c r="Z403" s="12"/>
      <c r="AA403" s="12"/>
      <c r="AB403" s="12"/>
      <c r="AC403" s="12"/>
    </row>
    <row r="404" spans="1:29" ht="12.75" customHeight="1">
      <c r="A404" s="12"/>
      <c r="B404" s="12"/>
      <c r="C404" s="12"/>
      <c r="D404" s="12"/>
      <c r="E404" s="12"/>
      <c r="F404" s="12"/>
      <c r="G404" s="12"/>
      <c r="H404" s="592"/>
      <c r="I404" s="592"/>
      <c r="J404" s="592"/>
      <c r="K404" s="592"/>
      <c r="L404" s="592"/>
      <c r="M404" s="592"/>
      <c r="N404" s="592"/>
      <c r="O404" s="592"/>
      <c r="P404" s="592"/>
      <c r="Q404" s="592"/>
      <c r="R404" s="592"/>
      <c r="S404" s="592"/>
      <c r="T404" s="592"/>
      <c r="U404" s="12"/>
      <c r="V404" s="12"/>
      <c r="W404" s="12"/>
      <c r="X404" s="12"/>
      <c r="Y404" s="12"/>
      <c r="Z404" s="12"/>
      <c r="AA404" s="12"/>
      <c r="AB404" s="12"/>
      <c r="AC404" s="12"/>
    </row>
    <row r="405" spans="1:29" ht="12.75" customHeight="1">
      <c r="A405" s="12"/>
      <c r="B405" s="12"/>
      <c r="C405" s="12"/>
      <c r="D405" s="12"/>
      <c r="E405" s="12"/>
      <c r="F405" s="12"/>
      <c r="G405" s="12"/>
      <c r="H405" s="592"/>
      <c r="I405" s="592"/>
      <c r="J405" s="592"/>
      <c r="K405" s="592"/>
      <c r="L405" s="592"/>
      <c r="M405" s="592"/>
      <c r="N405" s="592"/>
      <c r="O405" s="592"/>
      <c r="P405" s="592"/>
      <c r="Q405" s="592"/>
      <c r="R405" s="592"/>
      <c r="S405" s="592"/>
      <c r="T405" s="592"/>
      <c r="U405" s="12"/>
      <c r="V405" s="12"/>
      <c r="W405" s="12"/>
      <c r="X405" s="12"/>
      <c r="Y405" s="12"/>
      <c r="Z405" s="12"/>
      <c r="AA405" s="12"/>
      <c r="AB405" s="12"/>
      <c r="AC405" s="12"/>
    </row>
    <row r="406" spans="1:29" ht="12.75" customHeight="1">
      <c r="A406" s="12"/>
      <c r="B406" s="12"/>
      <c r="C406" s="12"/>
      <c r="D406" s="12"/>
      <c r="E406" s="12"/>
      <c r="F406" s="12"/>
      <c r="G406" s="12"/>
      <c r="H406" s="592"/>
      <c r="I406" s="592"/>
      <c r="J406" s="592"/>
      <c r="K406" s="592"/>
      <c r="L406" s="592"/>
      <c r="M406" s="592"/>
      <c r="N406" s="592"/>
      <c r="O406" s="592"/>
      <c r="P406" s="592"/>
      <c r="Q406" s="592"/>
      <c r="R406" s="592"/>
      <c r="S406" s="592"/>
      <c r="T406" s="592"/>
      <c r="U406" s="12"/>
      <c r="V406" s="12"/>
      <c r="W406" s="12"/>
      <c r="X406" s="12"/>
      <c r="Y406" s="12"/>
      <c r="Z406" s="12"/>
      <c r="AA406" s="12"/>
      <c r="AB406" s="12"/>
      <c r="AC406" s="12"/>
    </row>
    <row r="407" spans="1:29" ht="12.75" customHeight="1">
      <c r="A407" s="12"/>
      <c r="B407" s="12"/>
      <c r="C407" s="12"/>
      <c r="D407" s="12"/>
      <c r="E407" s="12"/>
      <c r="F407" s="12"/>
      <c r="G407" s="12"/>
      <c r="H407" s="592"/>
      <c r="I407" s="592"/>
      <c r="J407" s="592"/>
      <c r="K407" s="592"/>
      <c r="L407" s="592"/>
      <c r="M407" s="592"/>
      <c r="N407" s="592"/>
      <c r="O407" s="592"/>
      <c r="P407" s="592"/>
      <c r="Q407" s="592"/>
      <c r="R407" s="592"/>
      <c r="S407" s="592"/>
      <c r="T407" s="592"/>
      <c r="U407" s="12"/>
      <c r="V407" s="12"/>
      <c r="W407" s="12"/>
      <c r="X407" s="12"/>
      <c r="Y407" s="12"/>
      <c r="Z407" s="12"/>
      <c r="AA407" s="12"/>
      <c r="AB407" s="12"/>
      <c r="AC407" s="12"/>
    </row>
    <row r="408" spans="1:29" ht="12.75" customHeight="1">
      <c r="A408" s="12"/>
      <c r="B408" s="12"/>
      <c r="C408" s="12"/>
      <c r="D408" s="12"/>
      <c r="E408" s="12"/>
      <c r="F408" s="12"/>
      <c r="G408" s="12"/>
      <c r="H408" s="592"/>
      <c r="I408" s="592"/>
      <c r="J408" s="592"/>
      <c r="K408" s="592"/>
      <c r="L408" s="592"/>
      <c r="M408" s="592"/>
      <c r="N408" s="592"/>
      <c r="O408" s="592"/>
      <c r="P408" s="592"/>
      <c r="Q408" s="592"/>
      <c r="R408" s="592"/>
      <c r="S408" s="592"/>
      <c r="T408" s="592"/>
      <c r="U408" s="12"/>
      <c r="V408" s="12"/>
      <c r="W408" s="12"/>
      <c r="X408" s="12"/>
      <c r="Y408" s="12"/>
      <c r="Z408" s="12"/>
      <c r="AA408" s="12"/>
      <c r="AB408" s="12"/>
      <c r="AC408" s="12"/>
    </row>
    <row r="409" spans="1:29" ht="12.75" customHeight="1">
      <c r="A409" s="12"/>
      <c r="B409" s="12"/>
      <c r="C409" s="12"/>
      <c r="D409" s="12"/>
      <c r="E409" s="12"/>
      <c r="F409" s="12"/>
      <c r="G409" s="12"/>
      <c r="H409" s="592"/>
      <c r="I409" s="592"/>
      <c r="J409" s="592"/>
      <c r="K409" s="592"/>
      <c r="L409" s="592"/>
      <c r="M409" s="592"/>
      <c r="N409" s="592"/>
      <c r="O409" s="592"/>
      <c r="P409" s="592"/>
      <c r="Q409" s="592"/>
      <c r="R409" s="592"/>
      <c r="S409" s="592"/>
      <c r="T409" s="592"/>
      <c r="U409" s="12"/>
      <c r="V409" s="12"/>
      <c r="W409" s="12"/>
      <c r="X409" s="12"/>
      <c r="Y409" s="12"/>
      <c r="Z409" s="12"/>
      <c r="AA409" s="12"/>
      <c r="AB409" s="12"/>
      <c r="AC409" s="12"/>
    </row>
    <row r="410" spans="1:29" ht="12.75" customHeight="1">
      <c r="A410" s="12"/>
      <c r="B410" s="12"/>
      <c r="C410" s="12"/>
      <c r="D410" s="12"/>
      <c r="E410" s="12"/>
      <c r="F410" s="12"/>
      <c r="G410" s="12"/>
      <c r="H410" s="592"/>
      <c r="I410" s="592"/>
      <c r="J410" s="592"/>
      <c r="K410" s="592"/>
      <c r="L410" s="592"/>
      <c r="M410" s="592"/>
      <c r="N410" s="592"/>
      <c r="O410" s="592"/>
      <c r="P410" s="592"/>
      <c r="Q410" s="592"/>
      <c r="R410" s="592"/>
      <c r="S410" s="592"/>
      <c r="T410" s="592"/>
      <c r="U410" s="12"/>
      <c r="V410" s="12"/>
      <c r="W410" s="12"/>
      <c r="X410" s="12"/>
      <c r="Y410" s="12"/>
      <c r="Z410" s="12"/>
      <c r="AA410" s="12"/>
      <c r="AB410" s="12"/>
      <c r="AC410" s="12"/>
    </row>
    <row r="411" spans="1:29" ht="12.75" customHeight="1">
      <c r="A411" s="12"/>
      <c r="B411" s="12"/>
      <c r="C411" s="12"/>
      <c r="D411" s="12"/>
      <c r="E411" s="12"/>
      <c r="F411" s="12"/>
      <c r="G411" s="12"/>
      <c r="H411" s="592"/>
      <c r="I411" s="592"/>
      <c r="J411" s="592"/>
      <c r="K411" s="592"/>
      <c r="L411" s="592"/>
      <c r="M411" s="592"/>
      <c r="N411" s="592"/>
      <c r="O411" s="592"/>
      <c r="P411" s="592"/>
      <c r="Q411" s="592"/>
      <c r="R411" s="592"/>
      <c r="S411" s="592"/>
      <c r="T411" s="592"/>
      <c r="U411" s="12"/>
      <c r="V411" s="12"/>
      <c r="W411" s="12"/>
      <c r="X411" s="12"/>
      <c r="Y411" s="12"/>
      <c r="Z411" s="12"/>
      <c r="AA411" s="12"/>
      <c r="AB411" s="12"/>
      <c r="AC411" s="12"/>
    </row>
    <row r="412" spans="1:29" ht="12.75" customHeight="1">
      <c r="A412" s="12"/>
      <c r="B412" s="12"/>
      <c r="C412" s="12"/>
      <c r="D412" s="12"/>
      <c r="E412" s="12"/>
      <c r="F412" s="12"/>
      <c r="G412" s="12"/>
      <c r="H412" s="592"/>
      <c r="I412" s="592"/>
      <c r="J412" s="592"/>
      <c r="K412" s="592"/>
      <c r="L412" s="592"/>
      <c r="M412" s="592"/>
      <c r="N412" s="592"/>
      <c r="O412" s="592"/>
      <c r="P412" s="592"/>
      <c r="Q412" s="592"/>
      <c r="R412" s="592"/>
      <c r="S412" s="592"/>
      <c r="T412" s="592"/>
      <c r="U412" s="12"/>
      <c r="V412" s="12"/>
      <c r="W412" s="12"/>
      <c r="X412" s="12"/>
      <c r="Y412" s="12"/>
      <c r="Z412" s="12"/>
      <c r="AA412" s="12"/>
      <c r="AB412" s="12"/>
      <c r="AC412" s="12"/>
    </row>
    <row r="413" spans="1:29" ht="12.75" customHeight="1">
      <c r="A413" s="12"/>
      <c r="B413" s="12"/>
      <c r="C413" s="12"/>
      <c r="D413" s="12"/>
      <c r="E413" s="12"/>
      <c r="F413" s="12"/>
      <c r="G413" s="12"/>
      <c r="H413" s="592"/>
      <c r="I413" s="592"/>
      <c r="J413" s="592"/>
      <c r="K413" s="592"/>
      <c r="L413" s="592"/>
      <c r="M413" s="592"/>
      <c r="N413" s="592"/>
      <c r="O413" s="592"/>
      <c r="P413" s="592"/>
      <c r="Q413" s="592"/>
      <c r="R413" s="592"/>
      <c r="S413" s="592"/>
      <c r="T413" s="592"/>
      <c r="U413" s="12"/>
      <c r="V413" s="12"/>
      <c r="W413" s="12"/>
      <c r="X413" s="12"/>
      <c r="Y413" s="12"/>
      <c r="Z413" s="12"/>
      <c r="AA413" s="12"/>
      <c r="AB413" s="12"/>
      <c r="AC413" s="12"/>
    </row>
    <row r="414" spans="1:29" ht="12.75" customHeight="1">
      <c r="A414" s="12"/>
      <c r="B414" s="12"/>
      <c r="C414" s="12"/>
      <c r="D414" s="12"/>
      <c r="E414" s="12"/>
      <c r="F414" s="12"/>
      <c r="G414" s="12"/>
      <c r="H414" s="592"/>
      <c r="I414" s="592"/>
      <c r="J414" s="592"/>
      <c r="K414" s="592"/>
      <c r="L414" s="592"/>
      <c r="M414" s="592"/>
      <c r="N414" s="592"/>
      <c r="O414" s="592"/>
      <c r="P414" s="592"/>
      <c r="Q414" s="592"/>
      <c r="R414" s="592"/>
      <c r="S414" s="592"/>
      <c r="T414" s="592"/>
      <c r="U414" s="12"/>
      <c r="V414" s="12"/>
      <c r="W414" s="12"/>
      <c r="X414" s="12"/>
      <c r="Y414" s="12"/>
      <c r="Z414" s="12"/>
      <c r="AA414" s="12"/>
      <c r="AB414" s="12"/>
      <c r="AC414" s="12"/>
    </row>
    <row r="415" spans="1:29" ht="12.75" customHeight="1">
      <c r="A415" s="12"/>
      <c r="B415" s="12"/>
      <c r="C415" s="12"/>
      <c r="D415" s="12"/>
      <c r="E415" s="12"/>
      <c r="F415" s="12"/>
      <c r="G415" s="12"/>
      <c r="H415" s="592"/>
      <c r="I415" s="592"/>
      <c r="J415" s="592"/>
      <c r="K415" s="592"/>
      <c r="L415" s="592"/>
      <c r="M415" s="592"/>
      <c r="N415" s="592"/>
      <c r="O415" s="592"/>
      <c r="P415" s="592"/>
      <c r="Q415" s="592"/>
      <c r="R415" s="592"/>
      <c r="S415" s="592"/>
      <c r="T415" s="592"/>
      <c r="U415" s="12"/>
      <c r="V415" s="12"/>
      <c r="W415" s="12"/>
      <c r="X415" s="12"/>
      <c r="Y415" s="12"/>
      <c r="Z415" s="12"/>
      <c r="AA415" s="12"/>
      <c r="AB415" s="12"/>
      <c r="AC415" s="12"/>
    </row>
    <row r="416" spans="1:29" ht="12.75" customHeight="1">
      <c r="A416" s="12"/>
      <c r="B416" s="12"/>
      <c r="C416" s="12"/>
      <c r="D416" s="12"/>
      <c r="E416" s="12"/>
      <c r="F416" s="12"/>
      <c r="G416" s="12"/>
      <c r="H416" s="592"/>
      <c r="I416" s="592"/>
      <c r="J416" s="592"/>
      <c r="K416" s="592"/>
      <c r="L416" s="592"/>
      <c r="M416" s="592"/>
      <c r="N416" s="592"/>
      <c r="O416" s="592"/>
      <c r="P416" s="592"/>
      <c r="Q416" s="592"/>
      <c r="R416" s="592"/>
      <c r="S416" s="592"/>
      <c r="T416" s="592"/>
      <c r="U416" s="12"/>
      <c r="V416" s="12"/>
      <c r="W416" s="12"/>
      <c r="X416" s="12"/>
      <c r="Y416" s="12"/>
      <c r="Z416" s="12"/>
      <c r="AA416" s="12"/>
      <c r="AB416" s="12"/>
      <c r="AC416" s="12"/>
    </row>
    <row r="417" spans="1:29" ht="12.75" customHeight="1">
      <c r="A417" s="12"/>
      <c r="B417" s="12"/>
      <c r="C417" s="12"/>
      <c r="D417" s="12"/>
      <c r="E417" s="12"/>
      <c r="F417" s="12"/>
      <c r="G417" s="12"/>
      <c r="H417" s="592"/>
      <c r="I417" s="592"/>
      <c r="J417" s="592"/>
      <c r="K417" s="592"/>
      <c r="L417" s="592"/>
      <c r="M417" s="592"/>
      <c r="N417" s="592"/>
      <c r="O417" s="592"/>
      <c r="P417" s="592"/>
      <c r="Q417" s="592"/>
      <c r="R417" s="592"/>
      <c r="S417" s="592"/>
      <c r="T417" s="592"/>
      <c r="U417" s="12"/>
      <c r="V417" s="12"/>
      <c r="W417" s="12"/>
      <c r="X417" s="12"/>
      <c r="Y417" s="12"/>
      <c r="Z417" s="12"/>
      <c r="AA417" s="12"/>
      <c r="AB417" s="12"/>
      <c r="AC417" s="12"/>
    </row>
    <row r="418" spans="1:29" ht="12.75" customHeight="1">
      <c r="A418" s="12"/>
      <c r="B418" s="12"/>
      <c r="C418" s="12"/>
      <c r="D418" s="12"/>
      <c r="E418" s="12"/>
      <c r="F418" s="12"/>
      <c r="G418" s="12"/>
      <c r="H418" s="592"/>
      <c r="I418" s="592"/>
      <c r="J418" s="592"/>
      <c r="K418" s="592"/>
      <c r="L418" s="592"/>
      <c r="M418" s="592"/>
      <c r="N418" s="592"/>
      <c r="O418" s="592"/>
      <c r="P418" s="592"/>
      <c r="Q418" s="592"/>
      <c r="R418" s="592"/>
      <c r="S418" s="592"/>
      <c r="T418" s="592"/>
      <c r="U418" s="12"/>
      <c r="V418" s="12"/>
      <c r="W418" s="12"/>
      <c r="X418" s="12"/>
      <c r="Y418" s="12"/>
      <c r="Z418" s="12"/>
      <c r="AA418" s="12"/>
      <c r="AB418" s="12"/>
      <c r="AC418" s="12"/>
    </row>
    <row r="419" spans="1:29" ht="12.75" customHeight="1">
      <c r="A419" s="12"/>
      <c r="B419" s="12"/>
      <c r="C419" s="12"/>
      <c r="D419" s="12"/>
      <c r="E419" s="12"/>
      <c r="F419" s="12"/>
      <c r="G419" s="12"/>
      <c r="H419" s="592"/>
      <c r="I419" s="592"/>
      <c r="J419" s="592"/>
      <c r="K419" s="592"/>
      <c r="L419" s="592"/>
      <c r="M419" s="592"/>
      <c r="N419" s="592"/>
      <c r="O419" s="592"/>
      <c r="P419" s="592"/>
      <c r="Q419" s="592"/>
      <c r="R419" s="592"/>
      <c r="S419" s="592"/>
      <c r="T419" s="592"/>
      <c r="U419" s="12"/>
      <c r="V419" s="12"/>
      <c r="W419" s="12"/>
      <c r="X419" s="12"/>
      <c r="Y419" s="12"/>
      <c r="Z419" s="12"/>
      <c r="AA419" s="12"/>
      <c r="AB419" s="12"/>
      <c r="AC419" s="12"/>
    </row>
    <row r="420" spans="1:29" ht="12.75" customHeight="1">
      <c r="A420" s="12"/>
      <c r="B420" s="12"/>
      <c r="C420" s="12"/>
      <c r="D420" s="12"/>
      <c r="E420" s="12"/>
      <c r="F420" s="12"/>
      <c r="G420" s="12"/>
      <c r="H420" s="592"/>
      <c r="I420" s="592"/>
      <c r="J420" s="592"/>
      <c r="K420" s="592"/>
      <c r="L420" s="592"/>
      <c r="M420" s="592"/>
      <c r="N420" s="592"/>
      <c r="O420" s="592"/>
      <c r="P420" s="592"/>
      <c r="Q420" s="592"/>
      <c r="R420" s="592"/>
      <c r="S420" s="592"/>
      <c r="T420" s="592"/>
      <c r="U420" s="12"/>
      <c r="V420" s="12"/>
      <c r="W420" s="12"/>
      <c r="X420" s="12"/>
      <c r="Y420" s="12"/>
      <c r="Z420" s="12"/>
      <c r="AA420" s="12"/>
      <c r="AB420" s="12"/>
      <c r="AC420" s="12"/>
    </row>
    <row r="421" spans="1:29" ht="12.75" customHeight="1">
      <c r="A421" s="12"/>
      <c r="B421" s="12"/>
      <c r="C421" s="12"/>
      <c r="D421" s="12"/>
      <c r="E421" s="12"/>
      <c r="F421" s="12"/>
      <c r="G421" s="12"/>
      <c r="H421" s="592"/>
      <c r="I421" s="592"/>
      <c r="J421" s="592"/>
      <c r="K421" s="592"/>
      <c r="L421" s="592"/>
      <c r="M421" s="592"/>
      <c r="N421" s="592"/>
      <c r="O421" s="592"/>
      <c r="P421" s="592"/>
      <c r="Q421" s="592"/>
      <c r="R421" s="592"/>
      <c r="S421" s="592"/>
      <c r="T421" s="592"/>
      <c r="U421" s="12"/>
      <c r="V421" s="12"/>
      <c r="W421" s="12"/>
      <c r="X421" s="12"/>
      <c r="Y421" s="12"/>
      <c r="Z421" s="12"/>
      <c r="AA421" s="12"/>
      <c r="AB421" s="12"/>
      <c r="AC421" s="12"/>
    </row>
    <row r="422" spans="1:29" ht="12.75" customHeight="1">
      <c r="A422" s="12"/>
      <c r="B422" s="12"/>
      <c r="C422" s="12"/>
      <c r="D422" s="12"/>
      <c r="E422" s="12"/>
      <c r="F422" s="12"/>
      <c r="G422" s="12"/>
      <c r="H422" s="592"/>
      <c r="I422" s="592"/>
      <c r="J422" s="592"/>
      <c r="K422" s="592"/>
      <c r="L422" s="592"/>
      <c r="M422" s="592"/>
      <c r="N422" s="592"/>
      <c r="O422" s="592"/>
      <c r="P422" s="592"/>
      <c r="Q422" s="592"/>
      <c r="R422" s="592"/>
      <c r="S422" s="592"/>
      <c r="T422" s="592"/>
      <c r="U422" s="12"/>
      <c r="V422" s="12"/>
      <c r="W422" s="12"/>
      <c r="X422" s="12"/>
      <c r="Y422" s="12"/>
      <c r="Z422" s="12"/>
      <c r="AA422" s="12"/>
      <c r="AB422" s="12"/>
      <c r="AC422" s="12"/>
    </row>
    <row r="423" spans="1:29" ht="12.75" customHeight="1">
      <c r="A423" s="12"/>
      <c r="B423" s="12"/>
      <c r="C423" s="12"/>
      <c r="D423" s="12"/>
      <c r="E423" s="12"/>
      <c r="F423" s="12"/>
      <c r="G423" s="12"/>
      <c r="H423" s="592"/>
      <c r="I423" s="592"/>
      <c r="J423" s="592"/>
      <c r="K423" s="592"/>
      <c r="L423" s="592"/>
      <c r="M423" s="592"/>
      <c r="N423" s="592"/>
      <c r="O423" s="592"/>
      <c r="P423" s="592"/>
      <c r="Q423" s="592"/>
      <c r="R423" s="592"/>
      <c r="S423" s="592"/>
      <c r="T423" s="592"/>
      <c r="U423" s="12"/>
      <c r="V423" s="12"/>
      <c r="W423" s="12"/>
      <c r="X423" s="12"/>
      <c r="Y423" s="12"/>
      <c r="Z423" s="12"/>
      <c r="AA423" s="12"/>
      <c r="AB423" s="12"/>
      <c r="AC423" s="12"/>
    </row>
    <row r="424" spans="1:29" ht="12.75" customHeight="1">
      <c r="A424" s="12"/>
      <c r="B424" s="12"/>
      <c r="C424" s="12"/>
      <c r="D424" s="12"/>
      <c r="E424" s="12"/>
      <c r="F424" s="12"/>
      <c r="G424" s="12"/>
      <c r="H424" s="592"/>
      <c r="I424" s="592"/>
      <c r="J424" s="592"/>
      <c r="K424" s="592"/>
      <c r="L424" s="592"/>
      <c r="M424" s="592"/>
      <c r="N424" s="592"/>
      <c r="O424" s="592"/>
      <c r="P424" s="592"/>
      <c r="Q424" s="592"/>
      <c r="R424" s="592"/>
      <c r="S424" s="592"/>
      <c r="T424" s="592"/>
      <c r="U424" s="12"/>
      <c r="V424" s="12"/>
      <c r="W424" s="12"/>
      <c r="X424" s="12"/>
      <c r="Y424" s="12"/>
      <c r="Z424" s="12"/>
      <c r="AA424" s="12"/>
      <c r="AB424" s="12"/>
      <c r="AC424" s="12"/>
    </row>
    <row r="425" spans="1:29" ht="12.75" customHeight="1">
      <c r="A425" s="12"/>
      <c r="B425" s="12"/>
      <c r="C425" s="12"/>
      <c r="D425" s="12"/>
      <c r="E425" s="12"/>
      <c r="F425" s="12"/>
      <c r="G425" s="12"/>
      <c r="H425" s="592"/>
      <c r="I425" s="592"/>
      <c r="J425" s="592"/>
      <c r="K425" s="592"/>
      <c r="L425" s="592"/>
      <c r="M425" s="592"/>
      <c r="N425" s="592"/>
      <c r="O425" s="592"/>
      <c r="P425" s="592"/>
      <c r="Q425" s="592"/>
      <c r="R425" s="592"/>
      <c r="S425" s="592"/>
      <c r="T425" s="592"/>
      <c r="U425" s="12"/>
      <c r="V425" s="12"/>
      <c r="W425" s="12"/>
      <c r="X425" s="12"/>
      <c r="Y425" s="12"/>
      <c r="Z425" s="12"/>
      <c r="AA425" s="12"/>
      <c r="AB425" s="12"/>
      <c r="AC425" s="12"/>
    </row>
    <row r="426" spans="1:29" ht="12.75" customHeight="1">
      <c r="A426" s="12"/>
      <c r="B426" s="12"/>
      <c r="C426" s="12"/>
      <c r="D426" s="12"/>
      <c r="E426" s="12"/>
      <c r="F426" s="12"/>
      <c r="G426" s="12"/>
      <c r="H426" s="592"/>
      <c r="I426" s="592"/>
      <c r="J426" s="592"/>
      <c r="K426" s="592"/>
      <c r="L426" s="592"/>
      <c r="M426" s="592"/>
      <c r="N426" s="592"/>
      <c r="O426" s="592"/>
      <c r="P426" s="592"/>
      <c r="Q426" s="592"/>
      <c r="R426" s="592"/>
      <c r="S426" s="592"/>
      <c r="T426" s="592"/>
      <c r="U426" s="12"/>
      <c r="V426" s="12"/>
      <c r="W426" s="12"/>
      <c r="X426" s="12"/>
      <c r="Y426" s="12"/>
      <c r="Z426" s="12"/>
      <c r="AA426" s="12"/>
      <c r="AB426" s="12"/>
      <c r="AC426" s="12"/>
    </row>
    <row r="427" spans="1:29" ht="12.75" customHeight="1">
      <c r="A427" s="12"/>
      <c r="B427" s="12"/>
      <c r="C427" s="12"/>
      <c r="D427" s="12"/>
      <c r="E427" s="12"/>
      <c r="F427" s="12"/>
      <c r="G427" s="12"/>
      <c r="H427" s="592"/>
      <c r="I427" s="592"/>
      <c r="J427" s="592"/>
      <c r="K427" s="592"/>
      <c r="L427" s="592"/>
      <c r="M427" s="592"/>
      <c r="N427" s="592"/>
      <c r="O427" s="592"/>
      <c r="P427" s="592"/>
      <c r="Q427" s="592"/>
      <c r="R427" s="592"/>
      <c r="S427" s="592"/>
      <c r="T427" s="592"/>
      <c r="U427" s="12"/>
      <c r="V427" s="12"/>
      <c r="W427" s="12"/>
      <c r="X427" s="12"/>
      <c r="Y427" s="12"/>
      <c r="Z427" s="12"/>
      <c r="AA427" s="12"/>
      <c r="AB427" s="12"/>
      <c r="AC427" s="12"/>
    </row>
    <row r="428" spans="1:29" ht="12.75" customHeight="1">
      <c r="A428" s="12"/>
      <c r="B428" s="12"/>
      <c r="C428" s="12"/>
      <c r="D428" s="12"/>
      <c r="E428" s="12"/>
      <c r="F428" s="12"/>
      <c r="G428" s="12"/>
      <c r="H428" s="592"/>
      <c r="I428" s="592"/>
      <c r="J428" s="592"/>
      <c r="K428" s="592"/>
      <c r="L428" s="592"/>
      <c r="M428" s="592"/>
      <c r="N428" s="592"/>
      <c r="O428" s="592"/>
      <c r="P428" s="592"/>
      <c r="Q428" s="592"/>
      <c r="R428" s="592"/>
      <c r="S428" s="592"/>
      <c r="T428" s="592"/>
      <c r="U428" s="12"/>
      <c r="V428" s="12"/>
      <c r="W428" s="12"/>
      <c r="X428" s="12"/>
      <c r="Y428" s="12"/>
      <c r="Z428" s="12"/>
      <c r="AA428" s="12"/>
      <c r="AB428" s="12"/>
      <c r="AC428" s="12"/>
    </row>
    <row r="429" spans="1:29" ht="12.75" customHeight="1">
      <c r="A429" s="12"/>
      <c r="B429" s="12"/>
      <c r="C429" s="12"/>
      <c r="D429" s="12"/>
      <c r="E429" s="12"/>
      <c r="F429" s="12"/>
      <c r="G429" s="12"/>
      <c r="H429" s="592"/>
      <c r="I429" s="592"/>
      <c r="J429" s="592"/>
      <c r="K429" s="592"/>
      <c r="L429" s="592"/>
      <c r="M429" s="592"/>
      <c r="N429" s="592"/>
      <c r="O429" s="592"/>
      <c r="P429" s="592"/>
      <c r="Q429" s="592"/>
      <c r="R429" s="592"/>
      <c r="S429" s="592"/>
      <c r="T429" s="592"/>
      <c r="U429" s="12"/>
      <c r="V429" s="12"/>
      <c r="W429" s="12"/>
      <c r="X429" s="12"/>
      <c r="Y429" s="12"/>
      <c r="Z429" s="12"/>
      <c r="AA429" s="12"/>
      <c r="AB429" s="12"/>
      <c r="AC429" s="12"/>
    </row>
    <row r="430" spans="1:29" ht="12.75" customHeight="1">
      <c r="A430" s="12"/>
      <c r="B430" s="12"/>
      <c r="C430" s="12"/>
      <c r="D430" s="12"/>
      <c r="E430" s="12"/>
      <c r="F430" s="12"/>
      <c r="G430" s="12"/>
      <c r="H430" s="592"/>
      <c r="I430" s="592"/>
      <c r="J430" s="592"/>
      <c r="K430" s="592"/>
      <c r="L430" s="592"/>
      <c r="M430" s="592"/>
      <c r="N430" s="592"/>
      <c r="O430" s="592"/>
      <c r="P430" s="592"/>
      <c r="Q430" s="592"/>
      <c r="R430" s="592"/>
      <c r="S430" s="592"/>
      <c r="T430" s="592"/>
      <c r="U430" s="12"/>
      <c r="V430" s="12"/>
      <c r="W430" s="12"/>
      <c r="X430" s="12"/>
      <c r="Y430" s="12"/>
      <c r="Z430" s="12"/>
      <c r="AA430" s="12"/>
      <c r="AB430" s="12"/>
      <c r="AC430" s="12"/>
    </row>
    <row r="431" spans="1:29" ht="12.75" customHeight="1">
      <c r="A431" s="12"/>
      <c r="B431" s="12"/>
      <c r="C431" s="12"/>
      <c r="D431" s="12"/>
      <c r="E431" s="12"/>
      <c r="F431" s="12"/>
      <c r="G431" s="12"/>
      <c r="H431" s="592"/>
      <c r="I431" s="592"/>
      <c r="J431" s="592"/>
      <c r="K431" s="592"/>
      <c r="L431" s="592"/>
      <c r="M431" s="592"/>
      <c r="N431" s="592"/>
      <c r="O431" s="592"/>
      <c r="P431" s="592"/>
      <c r="Q431" s="592"/>
      <c r="R431" s="592"/>
      <c r="S431" s="592"/>
      <c r="T431" s="592"/>
      <c r="U431" s="12"/>
      <c r="V431" s="12"/>
      <c r="W431" s="12"/>
      <c r="X431" s="12"/>
      <c r="Y431" s="12"/>
      <c r="Z431" s="12"/>
      <c r="AA431" s="12"/>
      <c r="AB431" s="12"/>
      <c r="AC431" s="12"/>
    </row>
    <row r="432" spans="1:29" ht="12.75" customHeight="1">
      <c r="A432" s="12"/>
      <c r="B432" s="12"/>
      <c r="C432" s="12"/>
      <c r="D432" s="12"/>
      <c r="E432" s="12"/>
      <c r="F432" s="12"/>
      <c r="G432" s="12"/>
      <c r="H432" s="592"/>
      <c r="I432" s="592"/>
      <c r="J432" s="592"/>
      <c r="K432" s="592"/>
      <c r="L432" s="592"/>
      <c r="M432" s="592"/>
      <c r="N432" s="592"/>
      <c r="O432" s="592"/>
      <c r="P432" s="592"/>
      <c r="Q432" s="592"/>
      <c r="R432" s="592"/>
      <c r="S432" s="592"/>
      <c r="T432" s="592"/>
      <c r="U432" s="12"/>
      <c r="V432" s="12"/>
      <c r="W432" s="12"/>
      <c r="X432" s="12"/>
      <c r="Y432" s="12"/>
      <c r="Z432" s="12"/>
      <c r="AA432" s="12"/>
      <c r="AB432" s="12"/>
      <c r="AC432" s="12"/>
    </row>
    <row r="433" spans="1:29" ht="12.75" customHeight="1">
      <c r="A433" s="12"/>
      <c r="B433" s="12"/>
      <c r="C433" s="12"/>
      <c r="D433" s="12"/>
      <c r="E433" s="12"/>
      <c r="F433" s="12"/>
      <c r="G433" s="12"/>
      <c r="H433" s="592"/>
      <c r="I433" s="592"/>
      <c r="J433" s="592"/>
      <c r="K433" s="592"/>
      <c r="L433" s="592"/>
      <c r="M433" s="592"/>
      <c r="N433" s="592"/>
      <c r="O433" s="592"/>
      <c r="P433" s="592"/>
      <c r="Q433" s="592"/>
      <c r="R433" s="592"/>
      <c r="S433" s="592"/>
      <c r="T433" s="592"/>
      <c r="U433" s="12"/>
      <c r="V433" s="12"/>
      <c r="W433" s="12"/>
      <c r="X433" s="12"/>
      <c r="Y433" s="12"/>
      <c r="Z433" s="12"/>
      <c r="AA433" s="12"/>
      <c r="AB433" s="12"/>
      <c r="AC433" s="12"/>
    </row>
    <row r="434" spans="1:29" ht="12.75" customHeight="1">
      <c r="A434" s="12"/>
      <c r="B434" s="12"/>
      <c r="C434" s="12"/>
      <c r="D434" s="12"/>
      <c r="E434" s="12"/>
      <c r="F434" s="12"/>
      <c r="G434" s="12"/>
      <c r="H434" s="592"/>
      <c r="I434" s="592"/>
      <c r="J434" s="592"/>
      <c r="K434" s="592"/>
      <c r="L434" s="592"/>
      <c r="M434" s="592"/>
      <c r="N434" s="592"/>
      <c r="O434" s="592"/>
      <c r="P434" s="592"/>
      <c r="Q434" s="592"/>
      <c r="R434" s="592"/>
      <c r="S434" s="592"/>
      <c r="T434" s="592"/>
      <c r="U434" s="12"/>
      <c r="V434" s="12"/>
      <c r="W434" s="12"/>
      <c r="X434" s="12"/>
      <c r="Y434" s="12"/>
      <c r="Z434" s="12"/>
      <c r="AA434" s="12"/>
      <c r="AB434" s="12"/>
      <c r="AC434" s="12"/>
    </row>
    <row r="435" spans="1:29" ht="12.75" customHeight="1">
      <c r="A435" s="12"/>
      <c r="B435" s="12"/>
      <c r="C435" s="12"/>
      <c r="D435" s="12"/>
      <c r="E435" s="12"/>
      <c r="F435" s="12"/>
      <c r="G435" s="12"/>
      <c r="H435" s="592"/>
      <c r="I435" s="592"/>
      <c r="J435" s="592"/>
      <c r="K435" s="592"/>
      <c r="L435" s="592"/>
      <c r="M435" s="592"/>
      <c r="N435" s="592"/>
      <c r="O435" s="592"/>
      <c r="P435" s="592"/>
      <c r="Q435" s="592"/>
      <c r="R435" s="592"/>
      <c r="S435" s="592"/>
      <c r="T435" s="592"/>
      <c r="U435" s="12"/>
      <c r="V435" s="12"/>
      <c r="W435" s="12"/>
      <c r="X435" s="12"/>
      <c r="Y435" s="12"/>
      <c r="Z435" s="12"/>
      <c r="AA435" s="12"/>
      <c r="AB435" s="12"/>
      <c r="AC435" s="12"/>
    </row>
    <row r="436" spans="1:29" ht="12.75" customHeight="1">
      <c r="A436" s="12"/>
      <c r="B436" s="12"/>
      <c r="C436" s="12"/>
      <c r="D436" s="12"/>
      <c r="E436" s="12"/>
      <c r="F436" s="12"/>
      <c r="G436" s="12"/>
      <c r="H436" s="592"/>
      <c r="I436" s="592"/>
      <c r="J436" s="592"/>
      <c r="K436" s="592"/>
      <c r="L436" s="592"/>
      <c r="M436" s="592"/>
      <c r="N436" s="592"/>
      <c r="O436" s="592"/>
      <c r="P436" s="592"/>
      <c r="Q436" s="592"/>
      <c r="R436" s="592"/>
      <c r="S436" s="592"/>
      <c r="T436" s="592"/>
      <c r="U436" s="12"/>
      <c r="V436" s="12"/>
      <c r="W436" s="12"/>
      <c r="X436" s="12"/>
      <c r="Y436" s="12"/>
      <c r="Z436" s="12"/>
      <c r="AA436" s="12"/>
      <c r="AB436" s="12"/>
      <c r="AC436" s="12"/>
    </row>
    <row r="437" spans="1:29" ht="12.75" customHeight="1">
      <c r="A437" s="12"/>
      <c r="B437" s="12"/>
      <c r="C437" s="12"/>
      <c r="D437" s="12"/>
      <c r="E437" s="12"/>
      <c r="F437" s="12"/>
      <c r="G437" s="12"/>
      <c r="H437" s="592"/>
      <c r="I437" s="592"/>
      <c r="J437" s="592"/>
      <c r="K437" s="592"/>
      <c r="L437" s="592"/>
      <c r="M437" s="592"/>
      <c r="N437" s="592"/>
      <c r="O437" s="592"/>
      <c r="P437" s="592"/>
      <c r="Q437" s="592"/>
      <c r="R437" s="592"/>
      <c r="S437" s="592"/>
      <c r="T437" s="592"/>
      <c r="U437" s="12"/>
      <c r="V437" s="12"/>
      <c r="W437" s="12"/>
      <c r="X437" s="12"/>
      <c r="Y437" s="12"/>
      <c r="Z437" s="12"/>
      <c r="AA437" s="12"/>
      <c r="AB437" s="12"/>
      <c r="AC437" s="12"/>
    </row>
    <row r="438" spans="1:29" ht="12.75" customHeight="1">
      <c r="A438" s="12"/>
      <c r="B438" s="12"/>
      <c r="C438" s="12"/>
      <c r="D438" s="12"/>
      <c r="E438" s="12"/>
      <c r="F438" s="12"/>
      <c r="G438" s="12"/>
      <c r="H438" s="592"/>
      <c r="I438" s="592"/>
      <c r="J438" s="592"/>
      <c r="K438" s="592"/>
      <c r="L438" s="592"/>
      <c r="M438" s="592"/>
      <c r="N438" s="592"/>
      <c r="O438" s="592"/>
      <c r="P438" s="592"/>
      <c r="Q438" s="592"/>
      <c r="R438" s="592"/>
      <c r="S438" s="592"/>
      <c r="T438" s="592"/>
      <c r="U438" s="12"/>
      <c r="V438" s="12"/>
      <c r="W438" s="12"/>
      <c r="X438" s="12"/>
      <c r="Y438" s="12"/>
      <c r="Z438" s="12"/>
      <c r="AA438" s="12"/>
      <c r="AB438" s="12"/>
      <c r="AC438" s="12"/>
    </row>
    <row r="439" spans="1:29" ht="12.75" customHeight="1">
      <c r="A439" s="12"/>
      <c r="B439" s="12"/>
      <c r="C439" s="12"/>
      <c r="D439" s="12"/>
      <c r="E439" s="12"/>
      <c r="F439" s="12"/>
      <c r="G439" s="12"/>
      <c r="H439" s="592"/>
      <c r="I439" s="592"/>
      <c r="J439" s="592"/>
      <c r="K439" s="592"/>
      <c r="L439" s="592"/>
      <c r="M439" s="592"/>
      <c r="N439" s="592"/>
      <c r="O439" s="592"/>
      <c r="P439" s="592"/>
      <c r="Q439" s="592"/>
      <c r="R439" s="592"/>
      <c r="S439" s="592"/>
      <c r="T439" s="592"/>
      <c r="U439" s="12"/>
      <c r="V439" s="12"/>
      <c r="W439" s="12"/>
      <c r="X439" s="12"/>
      <c r="Y439" s="12"/>
      <c r="Z439" s="12"/>
      <c r="AA439" s="12"/>
      <c r="AB439" s="12"/>
      <c r="AC439" s="12"/>
    </row>
    <row r="440" spans="1:29" ht="12.75" customHeight="1">
      <c r="A440" s="12"/>
      <c r="B440" s="12"/>
      <c r="C440" s="12"/>
      <c r="D440" s="12"/>
      <c r="E440" s="12"/>
      <c r="F440" s="12"/>
      <c r="G440" s="12"/>
      <c r="H440" s="592"/>
      <c r="I440" s="592"/>
      <c r="J440" s="592"/>
      <c r="K440" s="592"/>
      <c r="L440" s="592"/>
      <c r="M440" s="592"/>
      <c r="N440" s="592"/>
      <c r="O440" s="592"/>
      <c r="P440" s="592"/>
      <c r="Q440" s="592"/>
      <c r="R440" s="592"/>
      <c r="S440" s="592"/>
      <c r="T440" s="592"/>
      <c r="U440" s="12"/>
      <c r="V440" s="12"/>
      <c r="W440" s="12"/>
      <c r="X440" s="12"/>
      <c r="Y440" s="12"/>
      <c r="Z440" s="12"/>
      <c r="AA440" s="12"/>
      <c r="AB440" s="12"/>
      <c r="AC440" s="12"/>
    </row>
    <row r="441" spans="1:29" ht="12.75" customHeight="1">
      <c r="A441" s="12"/>
      <c r="B441" s="12"/>
      <c r="C441" s="12"/>
      <c r="D441" s="12"/>
      <c r="E441" s="12"/>
      <c r="F441" s="12"/>
      <c r="G441" s="12"/>
      <c r="H441" s="592"/>
      <c r="I441" s="592"/>
      <c r="J441" s="592"/>
      <c r="K441" s="592"/>
      <c r="L441" s="592"/>
      <c r="M441" s="592"/>
      <c r="N441" s="592"/>
      <c r="O441" s="592"/>
      <c r="P441" s="592"/>
      <c r="Q441" s="592"/>
      <c r="R441" s="592"/>
      <c r="S441" s="592"/>
      <c r="T441" s="592"/>
      <c r="U441" s="12"/>
      <c r="V441" s="12"/>
      <c r="W441" s="12"/>
      <c r="X441" s="12"/>
      <c r="Y441" s="12"/>
      <c r="Z441" s="12"/>
      <c r="AA441" s="12"/>
      <c r="AB441" s="12"/>
      <c r="AC441" s="12"/>
    </row>
    <row r="442" spans="1:29" ht="12.75" customHeight="1">
      <c r="A442" s="12"/>
      <c r="B442" s="12"/>
      <c r="C442" s="12"/>
      <c r="D442" s="12"/>
      <c r="E442" s="12"/>
      <c r="F442" s="12"/>
      <c r="G442" s="12"/>
      <c r="H442" s="592"/>
      <c r="I442" s="592"/>
      <c r="J442" s="592"/>
      <c r="K442" s="592"/>
      <c r="L442" s="592"/>
      <c r="M442" s="592"/>
      <c r="N442" s="592"/>
      <c r="O442" s="592"/>
      <c r="P442" s="592"/>
      <c r="Q442" s="592"/>
      <c r="R442" s="592"/>
      <c r="S442" s="592"/>
      <c r="T442" s="592"/>
      <c r="U442" s="12"/>
      <c r="V442" s="12"/>
      <c r="W442" s="12"/>
      <c r="X442" s="12"/>
      <c r="Y442" s="12"/>
      <c r="Z442" s="12"/>
      <c r="AA442" s="12"/>
      <c r="AB442" s="12"/>
      <c r="AC442" s="12"/>
    </row>
    <row r="443" spans="1:29" ht="12.75" customHeight="1">
      <c r="A443" s="12"/>
      <c r="B443" s="12"/>
      <c r="C443" s="12"/>
      <c r="D443" s="12"/>
      <c r="E443" s="12"/>
      <c r="F443" s="12"/>
      <c r="G443" s="12"/>
      <c r="H443" s="592"/>
      <c r="I443" s="592"/>
      <c r="J443" s="592"/>
      <c r="K443" s="592"/>
      <c r="L443" s="592"/>
      <c r="M443" s="592"/>
      <c r="N443" s="592"/>
      <c r="O443" s="592"/>
      <c r="P443" s="592"/>
      <c r="Q443" s="592"/>
      <c r="R443" s="592"/>
      <c r="S443" s="592"/>
      <c r="T443" s="592"/>
      <c r="U443" s="12"/>
      <c r="V443" s="12"/>
      <c r="W443" s="12"/>
      <c r="X443" s="12"/>
      <c r="Y443" s="12"/>
      <c r="Z443" s="12"/>
      <c r="AA443" s="12"/>
      <c r="AB443" s="12"/>
      <c r="AC443" s="12"/>
    </row>
    <row r="444" spans="1:29" ht="12.75" customHeight="1">
      <c r="A444" s="12"/>
      <c r="B444" s="12"/>
      <c r="C444" s="12"/>
      <c r="D444" s="12"/>
      <c r="E444" s="12"/>
      <c r="F444" s="12"/>
      <c r="G444" s="12"/>
      <c r="H444" s="592"/>
      <c r="I444" s="592"/>
      <c r="J444" s="592"/>
      <c r="K444" s="592"/>
      <c r="L444" s="592"/>
      <c r="M444" s="592"/>
      <c r="N444" s="592"/>
      <c r="O444" s="592"/>
      <c r="P444" s="592"/>
      <c r="Q444" s="592"/>
      <c r="R444" s="592"/>
      <c r="S444" s="592"/>
      <c r="T444" s="592"/>
      <c r="U444" s="12"/>
      <c r="V444" s="12"/>
      <c r="W444" s="12"/>
      <c r="X444" s="12"/>
      <c r="Y444" s="12"/>
      <c r="Z444" s="12"/>
      <c r="AA444" s="12"/>
      <c r="AB444" s="12"/>
      <c r="AC444" s="12"/>
    </row>
    <row r="445" spans="1:29" ht="12.75" customHeight="1">
      <c r="A445" s="12"/>
      <c r="B445" s="12"/>
      <c r="C445" s="12"/>
      <c r="D445" s="12"/>
      <c r="E445" s="12"/>
      <c r="F445" s="12"/>
      <c r="G445" s="12"/>
      <c r="H445" s="592"/>
      <c r="I445" s="592"/>
      <c r="J445" s="592"/>
      <c r="K445" s="592"/>
      <c r="L445" s="592"/>
      <c r="M445" s="592"/>
      <c r="N445" s="592"/>
      <c r="O445" s="592"/>
      <c r="P445" s="592"/>
      <c r="Q445" s="592"/>
      <c r="R445" s="592"/>
      <c r="S445" s="592"/>
      <c r="T445" s="592"/>
      <c r="U445" s="12"/>
      <c r="V445" s="12"/>
      <c r="W445" s="12"/>
      <c r="X445" s="12"/>
      <c r="Y445" s="12"/>
      <c r="Z445" s="12"/>
      <c r="AA445" s="12"/>
      <c r="AB445" s="12"/>
      <c r="AC445" s="12"/>
    </row>
    <row r="446" spans="1:29" ht="12.75" customHeight="1">
      <c r="A446" s="12"/>
      <c r="B446" s="12"/>
      <c r="C446" s="12"/>
      <c r="D446" s="12"/>
      <c r="E446" s="12"/>
      <c r="F446" s="12"/>
      <c r="G446" s="12"/>
      <c r="H446" s="592"/>
      <c r="I446" s="592"/>
      <c r="J446" s="592"/>
      <c r="K446" s="592"/>
      <c r="L446" s="592"/>
      <c r="M446" s="592"/>
      <c r="N446" s="592"/>
      <c r="O446" s="592"/>
      <c r="P446" s="592"/>
      <c r="Q446" s="592"/>
      <c r="R446" s="592"/>
      <c r="S446" s="592"/>
      <c r="T446" s="592"/>
      <c r="U446" s="12"/>
      <c r="V446" s="12"/>
      <c r="W446" s="12"/>
      <c r="X446" s="12"/>
      <c r="Y446" s="12"/>
      <c r="Z446" s="12"/>
      <c r="AA446" s="12"/>
      <c r="AB446" s="12"/>
      <c r="AC446" s="12"/>
    </row>
    <row r="447" spans="1:29" ht="12.75" customHeight="1">
      <c r="A447" s="12"/>
      <c r="B447" s="12"/>
      <c r="C447" s="12"/>
      <c r="D447" s="12"/>
      <c r="E447" s="12"/>
      <c r="F447" s="12"/>
      <c r="G447" s="12"/>
      <c r="H447" s="592"/>
      <c r="I447" s="592"/>
      <c r="J447" s="592"/>
      <c r="K447" s="592"/>
      <c r="L447" s="592"/>
      <c r="M447" s="592"/>
      <c r="N447" s="592"/>
      <c r="O447" s="592"/>
      <c r="P447" s="592"/>
      <c r="Q447" s="592"/>
      <c r="R447" s="592"/>
      <c r="S447" s="592"/>
      <c r="T447" s="592"/>
      <c r="U447" s="12"/>
      <c r="V447" s="12"/>
      <c r="W447" s="12"/>
      <c r="X447" s="12"/>
      <c r="Y447" s="12"/>
      <c r="Z447" s="12"/>
      <c r="AA447" s="12"/>
      <c r="AB447" s="12"/>
      <c r="AC447" s="12"/>
    </row>
    <row r="448" spans="1:29" ht="12.75" customHeight="1">
      <c r="A448" s="12"/>
      <c r="B448" s="12"/>
      <c r="C448" s="12"/>
      <c r="D448" s="12"/>
      <c r="E448" s="12"/>
      <c r="F448" s="12"/>
      <c r="G448" s="12"/>
      <c r="H448" s="592"/>
      <c r="I448" s="592"/>
      <c r="J448" s="592"/>
      <c r="K448" s="592"/>
      <c r="L448" s="592"/>
      <c r="M448" s="592"/>
      <c r="N448" s="592"/>
      <c r="O448" s="592"/>
      <c r="P448" s="592"/>
      <c r="Q448" s="592"/>
      <c r="R448" s="592"/>
      <c r="S448" s="592"/>
      <c r="T448" s="592"/>
      <c r="U448" s="12"/>
      <c r="V448" s="12"/>
      <c r="W448" s="12"/>
      <c r="X448" s="12"/>
      <c r="Y448" s="12"/>
      <c r="Z448" s="12"/>
      <c r="AA448" s="12"/>
      <c r="AB448" s="12"/>
      <c r="AC448" s="12"/>
    </row>
    <row r="449" spans="1:29" ht="12.75" customHeight="1">
      <c r="A449" s="12"/>
      <c r="B449" s="12"/>
      <c r="C449" s="12"/>
      <c r="D449" s="12"/>
      <c r="E449" s="12"/>
      <c r="F449" s="12"/>
      <c r="G449" s="12"/>
      <c r="H449" s="592"/>
      <c r="I449" s="592"/>
      <c r="J449" s="592"/>
      <c r="K449" s="592"/>
      <c r="L449" s="592"/>
      <c r="M449" s="592"/>
      <c r="N449" s="592"/>
      <c r="O449" s="592"/>
      <c r="P449" s="592"/>
      <c r="Q449" s="592"/>
      <c r="R449" s="592"/>
      <c r="S449" s="592"/>
      <c r="T449" s="592"/>
      <c r="U449" s="12"/>
      <c r="V449" s="12"/>
      <c r="W449" s="12"/>
      <c r="X449" s="12"/>
      <c r="Y449" s="12"/>
      <c r="Z449" s="12"/>
      <c r="AA449" s="12"/>
      <c r="AB449" s="12"/>
      <c r="AC449" s="12"/>
    </row>
    <row r="450" spans="1:29" ht="12.75" customHeight="1">
      <c r="A450" s="12"/>
      <c r="B450" s="12"/>
      <c r="C450" s="12"/>
      <c r="D450" s="12"/>
      <c r="E450" s="12"/>
      <c r="F450" s="12"/>
      <c r="G450" s="12"/>
      <c r="H450" s="592"/>
      <c r="I450" s="592"/>
      <c r="J450" s="592"/>
      <c r="K450" s="592"/>
      <c r="L450" s="592"/>
      <c r="M450" s="592"/>
      <c r="N450" s="592"/>
      <c r="O450" s="592"/>
      <c r="P450" s="592"/>
      <c r="Q450" s="592"/>
      <c r="R450" s="592"/>
      <c r="S450" s="592"/>
      <c r="T450" s="592"/>
      <c r="U450" s="12"/>
      <c r="V450" s="12"/>
      <c r="W450" s="12"/>
      <c r="X450" s="12"/>
      <c r="Y450" s="12"/>
      <c r="Z450" s="12"/>
      <c r="AA450" s="12"/>
      <c r="AB450" s="12"/>
      <c r="AC450" s="12"/>
    </row>
    <row r="451" spans="1:29" ht="12.75" customHeight="1">
      <c r="A451" s="12"/>
      <c r="B451" s="12"/>
      <c r="C451" s="12"/>
      <c r="D451" s="12"/>
      <c r="E451" s="12"/>
      <c r="F451" s="12"/>
      <c r="G451" s="12"/>
      <c r="H451" s="592"/>
      <c r="I451" s="592"/>
      <c r="J451" s="592"/>
      <c r="K451" s="592"/>
      <c r="L451" s="592"/>
      <c r="M451" s="592"/>
      <c r="N451" s="592"/>
      <c r="O451" s="592"/>
      <c r="P451" s="592"/>
      <c r="Q451" s="592"/>
      <c r="R451" s="592"/>
      <c r="S451" s="592"/>
      <c r="T451" s="592"/>
      <c r="U451" s="12"/>
      <c r="V451" s="12"/>
      <c r="W451" s="12"/>
      <c r="X451" s="12"/>
      <c r="Y451" s="12"/>
      <c r="Z451" s="12"/>
      <c r="AA451" s="12"/>
      <c r="AB451" s="12"/>
      <c r="AC451" s="12"/>
    </row>
    <row r="452" spans="1:29" ht="12.75" customHeight="1">
      <c r="A452" s="12"/>
      <c r="B452" s="12"/>
      <c r="C452" s="12"/>
      <c r="D452" s="12"/>
      <c r="E452" s="12"/>
      <c r="F452" s="12"/>
      <c r="G452" s="12"/>
      <c r="H452" s="592"/>
      <c r="I452" s="592"/>
      <c r="J452" s="592"/>
      <c r="K452" s="592"/>
      <c r="L452" s="592"/>
      <c r="M452" s="592"/>
      <c r="N452" s="592"/>
      <c r="O452" s="592"/>
      <c r="P452" s="592"/>
      <c r="Q452" s="592"/>
      <c r="R452" s="592"/>
      <c r="S452" s="592"/>
      <c r="T452" s="592"/>
      <c r="U452" s="12"/>
      <c r="V452" s="12"/>
      <c r="W452" s="12"/>
      <c r="X452" s="12"/>
      <c r="Y452" s="12"/>
      <c r="Z452" s="12"/>
      <c r="AA452" s="12"/>
      <c r="AB452" s="12"/>
      <c r="AC452" s="12"/>
    </row>
    <row r="453" spans="1:29" ht="12.75" customHeight="1">
      <c r="A453" s="12"/>
      <c r="B453" s="12"/>
      <c r="C453" s="12"/>
      <c r="D453" s="12"/>
      <c r="E453" s="12"/>
      <c r="F453" s="12"/>
      <c r="G453" s="12"/>
      <c r="H453" s="592"/>
      <c r="I453" s="592"/>
      <c r="J453" s="592"/>
      <c r="K453" s="592"/>
      <c r="L453" s="592"/>
      <c r="M453" s="592"/>
      <c r="N453" s="592"/>
      <c r="O453" s="592"/>
      <c r="P453" s="592"/>
      <c r="Q453" s="592"/>
      <c r="R453" s="592"/>
      <c r="S453" s="592"/>
      <c r="T453" s="592"/>
      <c r="U453" s="12"/>
      <c r="V453" s="12"/>
      <c r="W453" s="12"/>
      <c r="X453" s="12"/>
      <c r="Y453" s="12"/>
      <c r="Z453" s="12"/>
      <c r="AA453" s="12"/>
      <c r="AB453" s="12"/>
      <c r="AC453" s="12"/>
    </row>
    <row r="454" spans="1:29" ht="12.75" customHeight="1">
      <c r="A454" s="12"/>
      <c r="B454" s="12"/>
      <c r="C454" s="12"/>
      <c r="D454" s="12"/>
      <c r="E454" s="12"/>
      <c r="F454" s="12"/>
      <c r="G454" s="12"/>
      <c r="H454" s="592"/>
      <c r="I454" s="592"/>
      <c r="J454" s="592"/>
      <c r="K454" s="592"/>
      <c r="L454" s="592"/>
      <c r="M454" s="592"/>
      <c r="N454" s="592"/>
      <c r="O454" s="592"/>
      <c r="P454" s="592"/>
      <c r="Q454" s="592"/>
      <c r="R454" s="592"/>
      <c r="S454" s="592"/>
      <c r="T454" s="592"/>
      <c r="U454" s="12"/>
      <c r="V454" s="12"/>
      <c r="W454" s="12"/>
      <c r="X454" s="12"/>
      <c r="Y454" s="12"/>
      <c r="Z454" s="12"/>
      <c r="AA454" s="12"/>
      <c r="AB454" s="12"/>
      <c r="AC454" s="12"/>
    </row>
    <row r="455" spans="1:29" ht="12.75" customHeight="1">
      <c r="A455" s="12"/>
      <c r="B455" s="12"/>
      <c r="C455" s="12"/>
      <c r="D455" s="12"/>
      <c r="E455" s="12"/>
      <c r="F455" s="12"/>
      <c r="G455" s="12"/>
      <c r="H455" s="592"/>
      <c r="I455" s="592"/>
      <c r="J455" s="592"/>
      <c r="K455" s="592"/>
      <c r="L455" s="592"/>
      <c r="M455" s="592"/>
      <c r="N455" s="592"/>
      <c r="O455" s="592"/>
      <c r="P455" s="592"/>
      <c r="Q455" s="592"/>
      <c r="R455" s="592"/>
      <c r="S455" s="592"/>
      <c r="T455" s="592"/>
      <c r="U455" s="12"/>
      <c r="V455" s="12"/>
      <c r="W455" s="12"/>
      <c r="X455" s="12"/>
      <c r="Y455" s="12"/>
      <c r="Z455" s="12"/>
      <c r="AA455" s="12"/>
      <c r="AB455" s="12"/>
      <c r="AC455" s="12"/>
    </row>
    <row r="456" spans="1:29" ht="12.75" customHeight="1">
      <c r="A456" s="12"/>
      <c r="B456" s="12"/>
      <c r="C456" s="12"/>
      <c r="D456" s="12"/>
      <c r="E456" s="12"/>
      <c r="F456" s="12"/>
      <c r="G456" s="12"/>
      <c r="H456" s="592"/>
      <c r="I456" s="592"/>
      <c r="J456" s="592"/>
      <c r="K456" s="592"/>
      <c r="L456" s="592"/>
      <c r="M456" s="592"/>
      <c r="N456" s="592"/>
      <c r="O456" s="592"/>
      <c r="P456" s="592"/>
      <c r="Q456" s="592"/>
      <c r="R456" s="592"/>
      <c r="S456" s="592"/>
      <c r="T456" s="592"/>
      <c r="U456" s="12"/>
      <c r="V456" s="12"/>
      <c r="W456" s="12"/>
      <c r="X456" s="12"/>
      <c r="Y456" s="12"/>
      <c r="Z456" s="12"/>
      <c r="AA456" s="12"/>
      <c r="AB456" s="12"/>
      <c r="AC456" s="12"/>
    </row>
    <row r="457" spans="1:29" ht="12.75" customHeight="1">
      <c r="A457" s="12"/>
      <c r="B457" s="12"/>
      <c r="C457" s="12"/>
      <c r="D457" s="12"/>
      <c r="E457" s="12"/>
      <c r="F457" s="12"/>
      <c r="G457" s="12"/>
      <c r="H457" s="592"/>
      <c r="I457" s="592"/>
      <c r="J457" s="592"/>
      <c r="K457" s="592"/>
      <c r="L457" s="592"/>
      <c r="M457" s="592"/>
      <c r="N457" s="592"/>
      <c r="O457" s="592"/>
      <c r="P457" s="592"/>
      <c r="Q457" s="592"/>
      <c r="R457" s="592"/>
      <c r="S457" s="592"/>
      <c r="T457" s="592"/>
      <c r="U457" s="12"/>
      <c r="V457" s="12"/>
      <c r="W457" s="12"/>
      <c r="X457" s="12"/>
      <c r="Y457" s="12"/>
      <c r="Z457" s="12"/>
      <c r="AA457" s="12"/>
      <c r="AB457" s="12"/>
      <c r="AC457" s="12"/>
    </row>
    <row r="458" spans="1:29" ht="12.75" customHeight="1">
      <c r="A458" s="12"/>
      <c r="B458" s="12"/>
      <c r="C458" s="12"/>
      <c r="D458" s="12"/>
      <c r="E458" s="12"/>
      <c r="F458" s="12"/>
      <c r="G458" s="12"/>
      <c r="H458" s="592"/>
      <c r="I458" s="592"/>
      <c r="J458" s="592"/>
      <c r="K458" s="592"/>
      <c r="L458" s="592"/>
      <c r="M458" s="592"/>
      <c r="N458" s="592"/>
      <c r="O458" s="592"/>
      <c r="P458" s="592"/>
      <c r="Q458" s="592"/>
      <c r="R458" s="592"/>
      <c r="S458" s="592"/>
      <c r="T458" s="592"/>
      <c r="U458" s="12"/>
      <c r="V458" s="12"/>
      <c r="W458" s="12"/>
      <c r="X458" s="12"/>
      <c r="Y458" s="12"/>
      <c r="Z458" s="12"/>
      <c r="AA458" s="12"/>
      <c r="AB458" s="12"/>
      <c r="AC458" s="12"/>
    </row>
    <row r="459" spans="1:29" ht="12.75" customHeight="1">
      <c r="A459" s="12"/>
      <c r="B459" s="12"/>
      <c r="C459" s="12"/>
      <c r="D459" s="12"/>
      <c r="E459" s="12"/>
      <c r="F459" s="12"/>
      <c r="G459" s="12"/>
      <c r="H459" s="592"/>
      <c r="I459" s="592"/>
      <c r="J459" s="592"/>
      <c r="K459" s="592"/>
      <c r="L459" s="592"/>
      <c r="M459" s="592"/>
      <c r="N459" s="592"/>
      <c r="O459" s="592"/>
      <c r="P459" s="592"/>
      <c r="Q459" s="592"/>
      <c r="R459" s="592"/>
      <c r="S459" s="592"/>
      <c r="T459" s="592"/>
      <c r="U459" s="12"/>
      <c r="V459" s="12"/>
      <c r="W459" s="12"/>
      <c r="X459" s="12"/>
      <c r="Y459" s="12"/>
      <c r="Z459" s="12"/>
      <c r="AA459" s="12"/>
      <c r="AB459" s="12"/>
      <c r="AC459" s="12"/>
    </row>
    <row r="460" spans="1:29" ht="12.75" customHeight="1">
      <c r="A460" s="12"/>
      <c r="B460" s="12"/>
      <c r="C460" s="12"/>
      <c r="D460" s="12"/>
      <c r="E460" s="12"/>
      <c r="F460" s="12"/>
      <c r="G460" s="12"/>
      <c r="H460" s="592"/>
      <c r="I460" s="592"/>
      <c r="J460" s="592"/>
      <c r="K460" s="592"/>
      <c r="L460" s="592"/>
      <c r="M460" s="592"/>
      <c r="N460" s="592"/>
      <c r="O460" s="592"/>
      <c r="P460" s="592"/>
      <c r="Q460" s="592"/>
      <c r="R460" s="592"/>
      <c r="S460" s="592"/>
      <c r="T460" s="592"/>
      <c r="U460" s="12"/>
      <c r="V460" s="12"/>
      <c r="W460" s="12"/>
      <c r="X460" s="12"/>
      <c r="Y460" s="12"/>
      <c r="Z460" s="12"/>
      <c r="AA460" s="12"/>
      <c r="AB460" s="12"/>
      <c r="AC460" s="12"/>
    </row>
    <row r="461" spans="1:29" ht="12.75" customHeight="1">
      <c r="A461" s="12"/>
      <c r="B461" s="12"/>
      <c r="C461" s="12"/>
      <c r="D461" s="12"/>
      <c r="E461" s="12"/>
      <c r="F461" s="12"/>
      <c r="G461" s="12"/>
      <c r="H461" s="592"/>
      <c r="I461" s="592"/>
      <c r="J461" s="592"/>
      <c r="K461" s="592"/>
      <c r="L461" s="592"/>
      <c r="M461" s="592"/>
      <c r="N461" s="592"/>
      <c r="O461" s="592"/>
      <c r="P461" s="592"/>
      <c r="Q461" s="592"/>
      <c r="R461" s="592"/>
      <c r="S461" s="592"/>
      <c r="T461" s="592"/>
      <c r="U461" s="12"/>
      <c r="V461" s="12"/>
      <c r="W461" s="12"/>
      <c r="X461" s="12"/>
      <c r="Y461" s="12"/>
      <c r="Z461" s="12"/>
      <c r="AA461" s="12"/>
      <c r="AB461" s="12"/>
      <c r="AC461" s="12"/>
    </row>
    <row r="462" spans="1:29" ht="12.75" customHeight="1">
      <c r="A462" s="12"/>
      <c r="B462" s="12"/>
      <c r="C462" s="12"/>
      <c r="D462" s="12"/>
      <c r="E462" s="12"/>
      <c r="F462" s="12"/>
      <c r="G462" s="12"/>
      <c r="H462" s="592"/>
      <c r="I462" s="592"/>
      <c r="J462" s="592"/>
      <c r="K462" s="592"/>
      <c r="L462" s="592"/>
      <c r="M462" s="592"/>
      <c r="N462" s="592"/>
      <c r="O462" s="592"/>
      <c r="P462" s="592"/>
      <c r="Q462" s="592"/>
      <c r="R462" s="592"/>
      <c r="S462" s="592"/>
      <c r="T462" s="592"/>
      <c r="U462" s="12"/>
      <c r="V462" s="12"/>
      <c r="W462" s="12"/>
      <c r="X462" s="12"/>
      <c r="Y462" s="12"/>
      <c r="Z462" s="12"/>
      <c r="AA462" s="12"/>
      <c r="AB462" s="12"/>
      <c r="AC462" s="12"/>
    </row>
    <row r="463" spans="1:29" ht="12.75" customHeight="1">
      <c r="A463" s="12"/>
      <c r="B463" s="12"/>
      <c r="C463" s="12"/>
      <c r="D463" s="12"/>
      <c r="E463" s="12"/>
      <c r="F463" s="12"/>
      <c r="G463" s="12"/>
      <c r="H463" s="592"/>
      <c r="I463" s="592"/>
      <c r="J463" s="592"/>
      <c r="K463" s="592"/>
      <c r="L463" s="592"/>
      <c r="M463" s="592"/>
      <c r="N463" s="592"/>
      <c r="O463" s="592"/>
      <c r="P463" s="592"/>
      <c r="Q463" s="592"/>
      <c r="R463" s="592"/>
      <c r="S463" s="592"/>
      <c r="T463" s="592"/>
      <c r="U463" s="12"/>
      <c r="V463" s="12"/>
      <c r="W463" s="12"/>
      <c r="X463" s="12"/>
      <c r="Y463" s="12"/>
      <c r="Z463" s="12"/>
      <c r="AA463" s="12"/>
      <c r="AB463" s="12"/>
      <c r="AC463" s="12"/>
    </row>
    <row r="464" spans="1:29" ht="12.75" customHeight="1">
      <c r="A464" s="12"/>
      <c r="B464" s="12"/>
      <c r="C464" s="12"/>
      <c r="D464" s="12"/>
      <c r="E464" s="12"/>
      <c r="F464" s="12"/>
      <c r="G464" s="12"/>
      <c r="H464" s="592"/>
      <c r="I464" s="592"/>
      <c r="J464" s="592"/>
      <c r="K464" s="592"/>
      <c r="L464" s="592"/>
      <c r="M464" s="592"/>
      <c r="N464" s="592"/>
      <c r="O464" s="592"/>
      <c r="P464" s="592"/>
      <c r="Q464" s="592"/>
      <c r="R464" s="592"/>
      <c r="S464" s="592"/>
      <c r="T464" s="592"/>
      <c r="U464" s="12"/>
      <c r="V464" s="12"/>
      <c r="W464" s="12"/>
      <c r="X464" s="12"/>
      <c r="Y464" s="12"/>
      <c r="Z464" s="12"/>
      <c r="AA464" s="12"/>
      <c r="AB464" s="12"/>
      <c r="AC464" s="12"/>
    </row>
    <row r="465" spans="1:29" ht="12.75" customHeight="1">
      <c r="A465" s="12"/>
      <c r="B465" s="12"/>
      <c r="C465" s="12"/>
      <c r="D465" s="12"/>
      <c r="E465" s="12"/>
      <c r="F465" s="12"/>
      <c r="G465" s="12"/>
      <c r="H465" s="592"/>
      <c r="I465" s="592"/>
      <c r="J465" s="592"/>
      <c r="K465" s="592"/>
      <c r="L465" s="592"/>
      <c r="M465" s="592"/>
      <c r="N465" s="592"/>
      <c r="O465" s="592"/>
      <c r="P465" s="592"/>
      <c r="Q465" s="592"/>
      <c r="R465" s="592"/>
      <c r="S465" s="592"/>
      <c r="T465" s="592"/>
      <c r="U465" s="12"/>
      <c r="V465" s="12"/>
      <c r="W465" s="12"/>
      <c r="X465" s="12"/>
      <c r="Y465" s="12"/>
      <c r="Z465" s="12"/>
      <c r="AA465" s="12"/>
      <c r="AB465" s="12"/>
      <c r="AC465" s="12"/>
    </row>
    <row r="466" spans="1:29" ht="12.75" customHeight="1">
      <c r="A466" s="12"/>
      <c r="B466" s="12"/>
      <c r="C466" s="12"/>
      <c r="D466" s="12"/>
      <c r="E466" s="12"/>
      <c r="F466" s="12"/>
      <c r="G466" s="12"/>
      <c r="H466" s="592"/>
      <c r="I466" s="592"/>
      <c r="J466" s="592"/>
      <c r="K466" s="592"/>
      <c r="L466" s="592"/>
      <c r="M466" s="592"/>
      <c r="N466" s="592"/>
      <c r="O466" s="592"/>
      <c r="P466" s="592"/>
      <c r="Q466" s="592"/>
      <c r="R466" s="592"/>
      <c r="S466" s="592"/>
      <c r="T466" s="592"/>
      <c r="U466" s="12"/>
      <c r="V466" s="12"/>
      <c r="W466" s="12"/>
      <c r="X466" s="12"/>
      <c r="Y466" s="12"/>
      <c r="Z466" s="12"/>
      <c r="AA466" s="12"/>
      <c r="AB466" s="12"/>
      <c r="AC466" s="12"/>
    </row>
    <row r="467" spans="1:29" ht="12.75" customHeight="1">
      <c r="A467" s="12"/>
      <c r="B467" s="12"/>
      <c r="C467" s="12"/>
      <c r="D467" s="12"/>
      <c r="E467" s="12"/>
      <c r="F467" s="12"/>
      <c r="G467" s="12"/>
      <c r="H467" s="592"/>
      <c r="I467" s="592"/>
      <c r="J467" s="592"/>
      <c r="K467" s="592"/>
      <c r="L467" s="592"/>
      <c r="M467" s="592"/>
      <c r="N467" s="592"/>
      <c r="O467" s="592"/>
      <c r="P467" s="592"/>
      <c r="Q467" s="592"/>
      <c r="R467" s="592"/>
      <c r="S467" s="592"/>
      <c r="T467" s="592"/>
      <c r="U467" s="12"/>
      <c r="V467" s="12"/>
      <c r="W467" s="12"/>
      <c r="X467" s="12"/>
      <c r="Y467" s="12"/>
      <c r="Z467" s="12"/>
      <c r="AA467" s="12"/>
      <c r="AB467" s="12"/>
      <c r="AC467" s="12"/>
    </row>
    <row r="468" spans="1:29" ht="12.75" customHeight="1">
      <c r="A468" s="12"/>
      <c r="B468" s="12"/>
      <c r="C468" s="12"/>
      <c r="D468" s="12"/>
      <c r="E468" s="12"/>
      <c r="F468" s="12"/>
      <c r="G468" s="12"/>
      <c r="H468" s="592"/>
      <c r="I468" s="592"/>
      <c r="J468" s="592"/>
      <c r="K468" s="592"/>
      <c r="L468" s="592"/>
      <c r="M468" s="592"/>
      <c r="N468" s="592"/>
      <c r="O468" s="592"/>
      <c r="P468" s="592"/>
      <c r="Q468" s="592"/>
      <c r="R468" s="592"/>
      <c r="S468" s="592"/>
      <c r="T468" s="592"/>
      <c r="U468" s="12"/>
      <c r="V468" s="12"/>
      <c r="W468" s="12"/>
      <c r="X468" s="12"/>
      <c r="Y468" s="12"/>
      <c r="Z468" s="12"/>
      <c r="AA468" s="12"/>
      <c r="AB468" s="12"/>
      <c r="AC468" s="12"/>
    </row>
    <row r="469" spans="1:29" ht="12.75" customHeight="1">
      <c r="A469" s="12"/>
      <c r="B469" s="12"/>
      <c r="C469" s="12"/>
      <c r="D469" s="12"/>
      <c r="E469" s="12"/>
      <c r="F469" s="12"/>
      <c r="G469" s="12"/>
      <c r="H469" s="592"/>
      <c r="I469" s="592"/>
      <c r="J469" s="592"/>
      <c r="K469" s="592"/>
      <c r="L469" s="592"/>
      <c r="M469" s="592"/>
      <c r="N469" s="592"/>
      <c r="O469" s="592"/>
      <c r="P469" s="592"/>
      <c r="Q469" s="592"/>
      <c r="R469" s="592"/>
      <c r="S469" s="592"/>
      <c r="T469" s="592"/>
      <c r="U469" s="12"/>
      <c r="V469" s="12"/>
      <c r="W469" s="12"/>
      <c r="X469" s="12"/>
      <c r="Y469" s="12"/>
      <c r="Z469" s="12"/>
      <c r="AA469" s="12"/>
      <c r="AB469" s="12"/>
      <c r="AC469" s="12"/>
    </row>
    <row r="470" spans="1:29" ht="12.75" customHeight="1">
      <c r="A470" s="12"/>
      <c r="B470" s="12"/>
      <c r="C470" s="12"/>
      <c r="D470" s="12"/>
      <c r="E470" s="12"/>
      <c r="F470" s="12"/>
      <c r="G470" s="12"/>
      <c r="H470" s="592"/>
      <c r="I470" s="592"/>
      <c r="J470" s="592"/>
      <c r="K470" s="592"/>
      <c r="L470" s="592"/>
      <c r="M470" s="592"/>
      <c r="N470" s="592"/>
      <c r="O470" s="592"/>
      <c r="P470" s="592"/>
      <c r="Q470" s="592"/>
      <c r="R470" s="592"/>
      <c r="S470" s="592"/>
      <c r="T470" s="592"/>
      <c r="U470" s="12"/>
      <c r="V470" s="12"/>
      <c r="W470" s="12"/>
      <c r="X470" s="12"/>
      <c r="Y470" s="12"/>
      <c r="Z470" s="12"/>
      <c r="AA470" s="12"/>
      <c r="AB470" s="12"/>
      <c r="AC470" s="12"/>
    </row>
    <row r="471" spans="1:29" ht="12.75" customHeight="1">
      <c r="A471" s="12"/>
      <c r="B471" s="12"/>
      <c r="C471" s="12"/>
      <c r="D471" s="12"/>
      <c r="E471" s="12"/>
      <c r="F471" s="12"/>
      <c r="G471" s="12"/>
      <c r="H471" s="592"/>
      <c r="I471" s="592"/>
      <c r="J471" s="592"/>
      <c r="K471" s="592"/>
      <c r="L471" s="592"/>
      <c r="M471" s="592"/>
      <c r="N471" s="592"/>
      <c r="O471" s="592"/>
      <c r="P471" s="592"/>
      <c r="Q471" s="592"/>
      <c r="R471" s="592"/>
      <c r="S471" s="592"/>
      <c r="T471" s="592"/>
      <c r="U471" s="12"/>
      <c r="V471" s="12"/>
      <c r="W471" s="12"/>
      <c r="X471" s="12"/>
      <c r="Y471" s="12"/>
      <c r="Z471" s="12"/>
      <c r="AA471" s="12"/>
      <c r="AB471" s="12"/>
      <c r="AC471" s="12"/>
    </row>
    <row r="472" spans="1:29" ht="12.75" customHeight="1">
      <c r="A472" s="12"/>
      <c r="B472" s="12"/>
      <c r="C472" s="12"/>
      <c r="D472" s="12"/>
      <c r="E472" s="12"/>
      <c r="F472" s="12"/>
      <c r="G472" s="12"/>
      <c r="H472" s="592"/>
      <c r="I472" s="592"/>
      <c r="J472" s="592"/>
      <c r="K472" s="592"/>
      <c r="L472" s="592"/>
      <c r="M472" s="592"/>
      <c r="N472" s="592"/>
      <c r="O472" s="592"/>
      <c r="P472" s="592"/>
      <c r="Q472" s="592"/>
      <c r="R472" s="592"/>
      <c r="S472" s="592"/>
      <c r="T472" s="592"/>
      <c r="U472" s="12"/>
      <c r="V472" s="12"/>
      <c r="W472" s="12"/>
      <c r="X472" s="12"/>
      <c r="Y472" s="12"/>
      <c r="Z472" s="12"/>
      <c r="AA472" s="12"/>
      <c r="AB472" s="12"/>
      <c r="AC472" s="12"/>
    </row>
    <row r="473" spans="1:29" ht="12.75" customHeight="1">
      <c r="A473" s="12"/>
      <c r="B473" s="12"/>
      <c r="C473" s="12"/>
      <c r="D473" s="12"/>
      <c r="E473" s="12"/>
      <c r="F473" s="12"/>
      <c r="G473" s="12"/>
      <c r="H473" s="592"/>
      <c r="I473" s="592"/>
      <c r="J473" s="592"/>
      <c r="K473" s="592"/>
      <c r="L473" s="592"/>
      <c r="M473" s="592"/>
      <c r="N473" s="592"/>
      <c r="O473" s="592"/>
      <c r="P473" s="592"/>
      <c r="Q473" s="592"/>
      <c r="R473" s="592"/>
      <c r="S473" s="592"/>
      <c r="T473" s="592"/>
      <c r="U473" s="12"/>
      <c r="V473" s="12"/>
      <c r="W473" s="12"/>
      <c r="X473" s="12"/>
      <c r="Y473" s="12"/>
      <c r="Z473" s="12"/>
      <c r="AA473" s="12"/>
      <c r="AB473" s="12"/>
      <c r="AC473" s="12"/>
    </row>
    <row r="474" spans="1:29" ht="12.75" customHeight="1">
      <c r="A474" s="12"/>
      <c r="B474" s="12"/>
      <c r="C474" s="12"/>
      <c r="D474" s="12"/>
      <c r="E474" s="12"/>
      <c r="F474" s="12"/>
      <c r="G474" s="12"/>
      <c r="H474" s="592"/>
      <c r="I474" s="592"/>
      <c r="J474" s="592"/>
      <c r="K474" s="592"/>
      <c r="L474" s="592"/>
      <c r="M474" s="592"/>
      <c r="N474" s="592"/>
      <c r="O474" s="592"/>
      <c r="P474" s="592"/>
      <c r="Q474" s="592"/>
      <c r="R474" s="592"/>
      <c r="S474" s="592"/>
      <c r="T474" s="592"/>
      <c r="U474" s="12"/>
      <c r="V474" s="12"/>
      <c r="W474" s="12"/>
      <c r="X474" s="12"/>
      <c r="Y474" s="12"/>
      <c r="Z474" s="12"/>
      <c r="AA474" s="12"/>
      <c r="AB474" s="12"/>
      <c r="AC474" s="12"/>
    </row>
    <row r="475" spans="1:29" ht="12.75" customHeight="1">
      <c r="A475" s="12"/>
      <c r="B475" s="12"/>
      <c r="C475" s="12"/>
      <c r="D475" s="12"/>
      <c r="E475" s="12"/>
      <c r="F475" s="12"/>
      <c r="G475" s="12"/>
      <c r="H475" s="592"/>
      <c r="I475" s="592"/>
      <c r="J475" s="592"/>
      <c r="K475" s="592"/>
      <c r="L475" s="592"/>
      <c r="M475" s="592"/>
      <c r="N475" s="592"/>
      <c r="O475" s="592"/>
      <c r="P475" s="592"/>
      <c r="Q475" s="592"/>
      <c r="R475" s="592"/>
      <c r="S475" s="592"/>
      <c r="T475" s="592"/>
      <c r="U475" s="12"/>
      <c r="V475" s="12"/>
      <c r="W475" s="12"/>
      <c r="X475" s="12"/>
      <c r="Y475" s="12"/>
      <c r="Z475" s="12"/>
      <c r="AA475" s="12"/>
      <c r="AB475" s="12"/>
      <c r="AC475" s="12"/>
    </row>
    <row r="476" spans="1:29" ht="12.75" customHeight="1">
      <c r="A476" s="12"/>
      <c r="B476" s="12"/>
      <c r="C476" s="12"/>
      <c r="D476" s="12"/>
      <c r="E476" s="12"/>
      <c r="F476" s="12"/>
      <c r="G476" s="12"/>
      <c r="H476" s="592"/>
      <c r="I476" s="592"/>
      <c r="J476" s="592"/>
      <c r="K476" s="592"/>
      <c r="L476" s="592"/>
      <c r="M476" s="592"/>
      <c r="N476" s="592"/>
      <c r="O476" s="592"/>
      <c r="P476" s="592"/>
      <c r="Q476" s="592"/>
      <c r="R476" s="592"/>
      <c r="S476" s="592"/>
      <c r="T476" s="592"/>
      <c r="U476" s="12"/>
      <c r="V476" s="12"/>
      <c r="W476" s="12"/>
      <c r="X476" s="12"/>
      <c r="Y476" s="12"/>
      <c r="Z476" s="12"/>
      <c r="AA476" s="12"/>
      <c r="AB476" s="12"/>
      <c r="AC476" s="12"/>
    </row>
    <row r="477" spans="1:29" ht="12.75" customHeight="1">
      <c r="A477" s="12"/>
      <c r="B477" s="12"/>
      <c r="C477" s="12"/>
      <c r="D477" s="12"/>
      <c r="E477" s="12"/>
      <c r="F477" s="12"/>
      <c r="G477" s="12"/>
      <c r="H477" s="592"/>
      <c r="I477" s="592"/>
      <c r="J477" s="592"/>
      <c r="K477" s="592"/>
      <c r="L477" s="592"/>
      <c r="M477" s="592"/>
      <c r="N477" s="592"/>
      <c r="O477" s="592"/>
      <c r="P477" s="592"/>
      <c r="Q477" s="592"/>
      <c r="R477" s="592"/>
      <c r="S477" s="592"/>
      <c r="T477" s="592"/>
      <c r="U477" s="12"/>
      <c r="V477" s="12"/>
      <c r="W477" s="12"/>
      <c r="X477" s="12"/>
      <c r="Y477" s="12"/>
      <c r="Z477" s="12"/>
      <c r="AA477" s="12"/>
      <c r="AB477" s="12"/>
      <c r="AC477" s="12"/>
    </row>
    <row r="478" spans="1:29" ht="12.75" customHeight="1">
      <c r="A478" s="12"/>
      <c r="B478" s="12"/>
      <c r="C478" s="12"/>
      <c r="D478" s="12"/>
      <c r="E478" s="12"/>
      <c r="F478" s="12"/>
      <c r="G478" s="12"/>
      <c r="H478" s="592"/>
      <c r="I478" s="592"/>
      <c r="J478" s="592"/>
      <c r="K478" s="592"/>
      <c r="L478" s="592"/>
      <c r="M478" s="592"/>
      <c r="N478" s="592"/>
      <c r="O478" s="592"/>
      <c r="P478" s="592"/>
      <c r="Q478" s="592"/>
      <c r="R478" s="592"/>
      <c r="S478" s="592"/>
      <c r="T478" s="592"/>
      <c r="U478" s="12"/>
      <c r="V478" s="12"/>
      <c r="W478" s="12"/>
      <c r="X478" s="12"/>
      <c r="Y478" s="12"/>
      <c r="Z478" s="12"/>
      <c r="AA478" s="12"/>
      <c r="AB478" s="12"/>
      <c r="AC478" s="12"/>
    </row>
    <row r="479" spans="1:29" ht="12.75" customHeight="1">
      <c r="A479" s="12"/>
      <c r="B479" s="12"/>
      <c r="C479" s="12"/>
      <c r="D479" s="12"/>
      <c r="E479" s="12"/>
      <c r="F479" s="12"/>
      <c r="G479" s="12"/>
      <c r="H479" s="592"/>
      <c r="I479" s="592"/>
      <c r="J479" s="592"/>
      <c r="K479" s="592"/>
      <c r="L479" s="592"/>
      <c r="M479" s="592"/>
      <c r="N479" s="592"/>
      <c r="O479" s="592"/>
      <c r="P479" s="592"/>
      <c r="Q479" s="592"/>
      <c r="R479" s="592"/>
      <c r="S479" s="592"/>
      <c r="T479" s="592"/>
      <c r="U479" s="12"/>
      <c r="V479" s="12"/>
      <c r="W479" s="12"/>
      <c r="X479" s="12"/>
      <c r="Y479" s="12"/>
      <c r="Z479" s="12"/>
      <c r="AA479" s="12"/>
      <c r="AB479" s="12"/>
      <c r="AC479" s="12"/>
    </row>
    <row r="480" spans="1:29" ht="12.75" customHeight="1">
      <c r="A480" s="12"/>
      <c r="B480" s="12"/>
      <c r="C480" s="12"/>
      <c r="D480" s="12"/>
      <c r="E480" s="12"/>
      <c r="F480" s="12"/>
      <c r="G480" s="12"/>
      <c r="H480" s="592"/>
      <c r="I480" s="592"/>
      <c r="J480" s="592"/>
      <c r="K480" s="592"/>
      <c r="L480" s="592"/>
      <c r="M480" s="592"/>
      <c r="N480" s="592"/>
      <c r="O480" s="592"/>
      <c r="P480" s="592"/>
      <c r="Q480" s="592"/>
      <c r="R480" s="592"/>
      <c r="S480" s="592"/>
      <c r="T480" s="592"/>
      <c r="U480" s="12"/>
      <c r="V480" s="12"/>
      <c r="W480" s="12"/>
      <c r="X480" s="12"/>
      <c r="Y480" s="12"/>
      <c r="Z480" s="12"/>
      <c r="AA480" s="12"/>
      <c r="AB480" s="12"/>
      <c r="AC480" s="12"/>
    </row>
    <row r="481" spans="1:29" ht="12.75" customHeight="1">
      <c r="A481" s="12"/>
      <c r="B481" s="12"/>
      <c r="C481" s="12"/>
      <c r="D481" s="12"/>
      <c r="E481" s="12"/>
      <c r="F481" s="12"/>
      <c r="G481" s="12"/>
      <c r="H481" s="592"/>
      <c r="I481" s="592"/>
      <c r="J481" s="592"/>
      <c r="K481" s="592"/>
      <c r="L481" s="592"/>
      <c r="M481" s="592"/>
      <c r="N481" s="592"/>
      <c r="O481" s="592"/>
      <c r="P481" s="592"/>
      <c r="Q481" s="592"/>
      <c r="R481" s="592"/>
      <c r="S481" s="592"/>
      <c r="T481" s="592"/>
      <c r="U481" s="12"/>
      <c r="V481" s="12"/>
      <c r="W481" s="12"/>
      <c r="X481" s="12"/>
      <c r="Y481" s="12"/>
      <c r="Z481" s="12"/>
      <c r="AA481" s="12"/>
      <c r="AB481" s="12"/>
      <c r="AC481" s="12"/>
    </row>
    <row r="482" spans="1:29" ht="12.75" customHeight="1">
      <c r="A482" s="12"/>
      <c r="B482" s="12"/>
      <c r="C482" s="12"/>
      <c r="D482" s="12"/>
      <c r="E482" s="12"/>
      <c r="F482" s="12"/>
      <c r="G482" s="12"/>
      <c r="H482" s="592"/>
      <c r="I482" s="592"/>
      <c r="J482" s="592"/>
      <c r="K482" s="592"/>
      <c r="L482" s="592"/>
      <c r="M482" s="592"/>
      <c r="N482" s="592"/>
      <c r="O482" s="592"/>
      <c r="P482" s="592"/>
      <c r="Q482" s="592"/>
      <c r="R482" s="592"/>
      <c r="S482" s="592"/>
      <c r="T482" s="592"/>
      <c r="U482" s="12"/>
      <c r="V482" s="12"/>
      <c r="W482" s="12"/>
      <c r="X482" s="12"/>
      <c r="Y482" s="12"/>
      <c r="Z482" s="12"/>
      <c r="AA482" s="12"/>
      <c r="AB482" s="12"/>
      <c r="AC482" s="12"/>
    </row>
    <row r="483" spans="1:29" ht="12.75" customHeight="1">
      <c r="A483" s="12"/>
      <c r="B483" s="12"/>
      <c r="C483" s="12"/>
      <c r="D483" s="12"/>
      <c r="E483" s="12"/>
      <c r="F483" s="12"/>
      <c r="G483" s="12"/>
      <c r="H483" s="592"/>
      <c r="I483" s="592"/>
      <c r="J483" s="592"/>
      <c r="K483" s="592"/>
      <c r="L483" s="592"/>
      <c r="M483" s="592"/>
      <c r="N483" s="592"/>
      <c r="O483" s="592"/>
      <c r="P483" s="592"/>
      <c r="Q483" s="592"/>
      <c r="R483" s="592"/>
      <c r="S483" s="592"/>
      <c r="T483" s="592"/>
      <c r="U483" s="12"/>
      <c r="V483" s="12"/>
      <c r="W483" s="12"/>
      <c r="X483" s="12"/>
      <c r="Y483" s="12"/>
      <c r="Z483" s="12"/>
      <c r="AA483" s="12"/>
      <c r="AB483" s="12"/>
      <c r="AC483" s="12"/>
    </row>
    <row r="484" spans="1:29" ht="12.75" customHeight="1">
      <c r="A484" s="12"/>
      <c r="B484" s="12"/>
      <c r="C484" s="12"/>
      <c r="D484" s="12"/>
      <c r="E484" s="12"/>
      <c r="F484" s="12"/>
      <c r="G484" s="12"/>
      <c r="H484" s="592"/>
      <c r="I484" s="592"/>
      <c r="J484" s="592"/>
      <c r="K484" s="592"/>
      <c r="L484" s="592"/>
      <c r="M484" s="592"/>
      <c r="N484" s="592"/>
      <c r="O484" s="592"/>
      <c r="P484" s="592"/>
      <c r="Q484" s="592"/>
      <c r="R484" s="592"/>
      <c r="S484" s="592"/>
      <c r="T484" s="592"/>
      <c r="U484" s="12"/>
      <c r="V484" s="12"/>
      <c r="W484" s="12"/>
      <c r="X484" s="12"/>
      <c r="Y484" s="12"/>
      <c r="Z484" s="12"/>
      <c r="AA484" s="12"/>
      <c r="AB484" s="12"/>
      <c r="AC484" s="12"/>
    </row>
    <row r="485" spans="1:29" ht="12.75" customHeight="1">
      <c r="A485" s="12"/>
      <c r="B485" s="12"/>
      <c r="C485" s="12"/>
      <c r="D485" s="12"/>
      <c r="E485" s="12"/>
      <c r="F485" s="12"/>
      <c r="G485" s="12"/>
      <c r="H485" s="592"/>
      <c r="I485" s="592"/>
      <c r="J485" s="592"/>
      <c r="K485" s="592"/>
      <c r="L485" s="592"/>
      <c r="M485" s="592"/>
      <c r="N485" s="592"/>
      <c r="O485" s="592"/>
      <c r="P485" s="592"/>
      <c r="Q485" s="592"/>
      <c r="R485" s="592"/>
      <c r="S485" s="592"/>
      <c r="T485" s="592"/>
      <c r="U485" s="12"/>
      <c r="V485" s="12"/>
      <c r="W485" s="12"/>
      <c r="X485" s="12"/>
      <c r="Y485" s="12"/>
      <c r="Z485" s="12"/>
      <c r="AA485" s="12"/>
      <c r="AB485" s="12"/>
      <c r="AC485" s="12"/>
    </row>
    <row r="486" spans="1:29" ht="12.75" customHeight="1">
      <c r="A486" s="12"/>
      <c r="B486" s="12"/>
      <c r="C486" s="12"/>
      <c r="D486" s="12"/>
      <c r="E486" s="12"/>
      <c r="F486" s="12"/>
      <c r="G486" s="12"/>
      <c r="H486" s="592"/>
      <c r="I486" s="592"/>
      <c r="J486" s="592"/>
      <c r="K486" s="592"/>
      <c r="L486" s="592"/>
      <c r="M486" s="592"/>
      <c r="N486" s="592"/>
      <c r="O486" s="592"/>
      <c r="P486" s="592"/>
      <c r="Q486" s="592"/>
      <c r="R486" s="592"/>
      <c r="S486" s="592"/>
      <c r="T486" s="592"/>
      <c r="U486" s="12"/>
      <c r="V486" s="12"/>
      <c r="W486" s="12"/>
      <c r="X486" s="12"/>
      <c r="Y486" s="12"/>
      <c r="Z486" s="12"/>
      <c r="AA486" s="12"/>
      <c r="AB486" s="12"/>
      <c r="AC486" s="12"/>
    </row>
    <row r="487" spans="1:29" ht="12.75" customHeight="1">
      <c r="A487" s="12"/>
      <c r="B487" s="12"/>
      <c r="C487" s="12"/>
      <c r="D487" s="12"/>
      <c r="E487" s="12"/>
      <c r="F487" s="12"/>
      <c r="G487" s="12"/>
      <c r="H487" s="592"/>
      <c r="I487" s="592"/>
      <c r="J487" s="592"/>
      <c r="K487" s="592"/>
      <c r="L487" s="592"/>
      <c r="M487" s="592"/>
      <c r="N487" s="592"/>
      <c r="O487" s="592"/>
      <c r="P487" s="592"/>
      <c r="Q487" s="592"/>
      <c r="R487" s="592"/>
      <c r="S487" s="592"/>
      <c r="T487" s="592"/>
      <c r="U487" s="12"/>
      <c r="V487" s="12"/>
      <c r="W487" s="12"/>
      <c r="X487" s="12"/>
      <c r="Y487" s="12"/>
      <c r="Z487" s="12"/>
      <c r="AA487" s="12"/>
      <c r="AB487" s="12"/>
      <c r="AC487" s="12"/>
    </row>
    <row r="488" spans="1:29" ht="12.75" customHeight="1">
      <c r="A488" s="12"/>
      <c r="B488" s="12"/>
      <c r="C488" s="12"/>
      <c r="D488" s="12"/>
      <c r="E488" s="12"/>
      <c r="F488" s="12"/>
      <c r="G488" s="12"/>
      <c r="H488" s="592"/>
      <c r="I488" s="592"/>
      <c r="J488" s="592"/>
      <c r="K488" s="592"/>
      <c r="L488" s="592"/>
      <c r="M488" s="592"/>
      <c r="N488" s="592"/>
      <c r="O488" s="592"/>
      <c r="P488" s="592"/>
      <c r="Q488" s="592"/>
      <c r="R488" s="592"/>
      <c r="S488" s="592"/>
      <c r="T488" s="592"/>
      <c r="U488" s="12"/>
      <c r="V488" s="12"/>
      <c r="W488" s="12"/>
      <c r="X488" s="12"/>
      <c r="Y488" s="12"/>
      <c r="Z488" s="12"/>
      <c r="AA488" s="12"/>
      <c r="AB488" s="12"/>
      <c r="AC488" s="12"/>
    </row>
    <row r="489" spans="1:29" ht="12.75" customHeight="1">
      <c r="A489" s="12"/>
      <c r="B489" s="12"/>
      <c r="C489" s="12"/>
      <c r="D489" s="12"/>
      <c r="E489" s="12"/>
      <c r="F489" s="12"/>
      <c r="G489" s="12"/>
      <c r="H489" s="592"/>
      <c r="I489" s="592"/>
      <c r="J489" s="592"/>
      <c r="K489" s="592"/>
      <c r="L489" s="592"/>
      <c r="M489" s="592"/>
      <c r="N489" s="592"/>
      <c r="O489" s="592"/>
      <c r="P489" s="592"/>
      <c r="Q489" s="592"/>
      <c r="R489" s="592"/>
      <c r="S489" s="592"/>
      <c r="T489" s="592"/>
      <c r="U489" s="12"/>
      <c r="V489" s="12"/>
      <c r="W489" s="12"/>
      <c r="X489" s="12"/>
      <c r="Y489" s="12"/>
      <c r="Z489" s="12"/>
      <c r="AA489" s="12"/>
      <c r="AB489" s="12"/>
      <c r="AC489" s="12"/>
    </row>
    <row r="490" spans="1:29" ht="12.75" customHeight="1">
      <c r="A490" s="12"/>
      <c r="B490" s="12"/>
      <c r="C490" s="12"/>
      <c r="D490" s="12"/>
      <c r="E490" s="12"/>
      <c r="F490" s="12"/>
      <c r="G490" s="12"/>
      <c r="H490" s="592"/>
      <c r="I490" s="592"/>
      <c r="J490" s="592"/>
      <c r="K490" s="592"/>
      <c r="L490" s="592"/>
      <c r="M490" s="592"/>
      <c r="N490" s="592"/>
      <c r="O490" s="592"/>
      <c r="P490" s="592"/>
      <c r="Q490" s="592"/>
      <c r="R490" s="592"/>
      <c r="S490" s="592"/>
      <c r="T490" s="592"/>
      <c r="U490" s="12"/>
      <c r="V490" s="12"/>
      <c r="W490" s="12"/>
      <c r="X490" s="12"/>
      <c r="Y490" s="12"/>
      <c r="Z490" s="12"/>
      <c r="AA490" s="12"/>
      <c r="AB490" s="12"/>
      <c r="AC490" s="12"/>
    </row>
    <row r="491" spans="1:29" ht="12.75" customHeight="1">
      <c r="A491" s="12"/>
      <c r="B491" s="12"/>
      <c r="C491" s="12"/>
      <c r="D491" s="12"/>
      <c r="E491" s="12"/>
      <c r="F491" s="12"/>
      <c r="G491" s="12"/>
      <c r="H491" s="592"/>
      <c r="I491" s="592"/>
      <c r="J491" s="592"/>
      <c r="K491" s="592"/>
      <c r="L491" s="592"/>
      <c r="M491" s="592"/>
      <c r="N491" s="592"/>
      <c r="O491" s="592"/>
      <c r="P491" s="592"/>
      <c r="Q491" s="592"/>
      <c r="R491" s="592"/>
      <c r="S491" s="592"/>
      <c r="T491" s="592"/>
      <c r="U491" s="12"/>
      <c r="V491" s="12"/>
      <c r="W491" s="12"/>
      <c r="X491" s="12"/>
      <c r="Y491" s="12"/>
      <c r="Z491" s="12"/>
      <c r="AA491" s="12"/>
      <c r="AB491" s="12"/>
      <c r="AC491" s="12"/>
    </row>
    <row r="492" spans="1:29" ht="12.75" customHeight="1">
      <c r="A492" s="12"/>
      <c r="B492" s="12"/>
      <c r="C492" s="12"/>
      <c r="D492" s="12"/>
      <c r="E492" s="12"/>
      <c r="F492" s="12"/>
      <c r="G492" s="12"/>
      <c r="H492" s="592"/>
      <c r="I492" s="592"/>
      <c r="J492" s="592"/>
      <c r="K492" s="592"/>
      <c r="L492" s="592"/>
      <c r="M492" s="592"/>
      <c r="N492" s="592"/>
      <c r="O492" s="592"/>
      <c r="P492" s="592"/>
      <c r="Q492" s="592"/>
      <c r="R492" s="592"/>
      <c r="S492" s="592"/>
      <c r="T492" s="592"/>
      <c r="U492" s="12"/>
      <c r="V492" s="12"/>
      <c r="W492" s="12"/>
      <c r="X492" s="12"/>
      <c r="Y492" s="12"/>
      <c r="Z492" s="12"/>
      <c r="AA492" s="12"/>
      <c r="AB492" s="12"/>
      <c r="AC492" s="12"/>
    </row>
    <row r="493" spans="1:29" ht="12.75" customHeight="1">
      <c r="A493" s="12"/>
      <c r="B493" s="12"/>
      <c r="C493" s="12"/>
      <c r="D493" s="12"/>
      <c r="E493" s="12"/>
      <c r="F493" s="12"/>
      <c r="G493" s="12"/>
      <c r="H493" s="592"/>
      <c r="I493" s="592"/>
      <c r="J493" s="592"/>
      <c r="K493" s="592"/>
      <c r="L493" s="592"/>
      <c r="M493" s="592"/>
      <c r="N493" s="592"/>
      <c r="O493" s="592"/>
      <c r="P493" s="592"/>
      <c r="Q493" s="592"/>
      <c r="R493" s="592"/>
      <c r="S493" s="592"/>
      <c r="T493" s="592"/>
      <c r="U493" s="12"/>
      <c r="V493" s="12"/>
      <c r="W493" s="12"/>
      <c r="X493" s="12"/>
      <c r="Y493" s="12"/>
      <c r="Z493" s="12"/>
      <c r="AA493" s="12"/>
      <c r="AB493" s="12"/>
      <c r="AC493" s="12"/>
    </row>
    <row r="494" spans="1:29" ht="12.75" customHeight="1">
      <c r="A494" s="12"/>
      <c r="B494" s="12"/>
      <c r="C494" s="12"/>
      <c r="D494" s="12"/>
      <c r="E494" s="12"/>
      <c r="F494" s="12"/>
      <c r="G494" s="12"/>
      <c r="H494" s="592"/>
      <c r="I494" s="592"/>
      <c r="J494" s="592"/>
      <c r="K494" s="592"/>
      <c r="L494" s="592"/>
      <c r="M494" s="592"/>
      <c r="N494" s="592"/>
      <c r="O494" s="592"/>
      <c r="P494" s="592"/>
      <c r="Q494" s="592"/>
      <c r="R494" s="592"/>
      <c r="S494" s="592"/>
      <c r="T494" s="592"/>
      <c r="U494" s="12"/>
      <c r="V494" s="12"/>
      <c r="W494" s="12"/>
      <c r="X494" s="12"/>
      <c r="Y494" s="12"/>
      <c r="Z494" s="12"/>
      <c r="AA494" s="12"/>
      <c r="AB494" s="12"/>
      <c r="AC494" s="12"/>
    </row>
    <row r="495" spans="1:29" ht="12.75" customHeight="1">
      <c r="A495" s="12"/>
      <c r="B495" s="12"/>
      <c r="C495" s="12"/>
      <c r="D495" s="12"/>
      <c r="E495" s="12"/>
      <c r="F495" s="12"/>
      <c r="G495" s="12"/>
      <c r="H495" s="592"/>
      <c r="I495" s="592"/>
      <c r="J495" s="592"/>
      <c r="K495" s="592"/>
      <c r="L495" s="592"/>
      <c r="M495" s="592"/>
      <c r="N495" s="592"/>
      <c r="O495" s="592"/>
      <c r="P495" s="592"/>
      <c r="Q495" s="592"/>
      <c r="R495" s="592"/>
      <c r="S495" s="592"/>
      <c r="T495" s="592"/>
      <c r="U495" s="12"/>
      <c r="V495" s="12"/>
      <c r="W495" s="12"/>
      <c r="X495" s="12"/>
      <c r="Y495" s="12"/>
      <c r="Z495" s="12"/>
      <c r="AA495" s="12"/>
      <c r="AB495" s="12"/>
      <c r="AC495" s="12"/>
    </row>
    <row r="496" spans="1:29" ht="12.75" customHeight="1">
      <c r="A496" s="12"/>
      <c r="B496" s="12"/>
      <c r="C496" s="12"/>
      <c r="D496" s="12"/>
      <c r="E496" s="12"/>
      <c r="F496" s="12"/>
      <c r="G496" s="12"/>
      <c r="H496" s="592"/>
      <c r="I496" s="592"/>
      <c r="J496" s="592"/>
      <c r="K496" s="592"/>
      <c r="L496" s="592"/>
      <c r="M496" s="592"/>
      <c r="N496" s="592"/>
      <c r="O496" s="592"/>
      <c r="P496" s="592"/>
      <c r="Q496" s="592"/>
      <c r="R496" s="592"/>
      <c r="S496" s="592"/>
      <c r="T496" s="592"/>
      <c r="U496" s="12"/>
      <c r="V496" s="12"/>
      <c r="W496" s="12"/>
      <c r="X496" s="12"/>
      <c r="Y496" s="12"/>
      <c r="Z496" s="12"/>
      <c r="AA496" s="12"/>
      <c r="AB496" s="12"/>
      <c r="AC496" s="12"/>
    </row>
    <row r="497" spans="1:29" ht="12.75" customHeight="1">
      <c r="A497" s="12"/>
      <c r="B497" s="12"/>
      <c r="C497" s="12"/>
      <c r="D497" s="12"/>
      <c r="E497" s="12"/>
      <c r="F497" s="12"/>
      <c r="G497" s="12"/>
      <c r="H497" s="592"/>
      <c r="I497" s="592"/>
      <c r="J497" s="592"/>
      <c r="K497" s="592"/>
      <c r="L497" s="592"/>
      <c r="M497" s="592"/>
      <c r="N497" s="592"/>
      <c r="O497" s="592"/>
      <c r="P497" s="592"/>
      <c r="Q497" s="592"/>
      <c r="R497" s="592"/>
      <c r="S497" s="592"/>
      <c r="T497" s="592"/>
      <c r="U497" s="12"/>
      <c r="V497" s="12"/>
      <c r="W497" s="12"/>
      <c r="X497" s="12"/>
      <c r="Y497" s="12"/>
      <c r="Z497" s="12"/>
      <c r="AA497" s="12"/>
      <c r="AB497" s="12"/>
      <c r="AC497" s="12"/>
    </row>
    <row r="498" spans="1:29" ht="12.75" customHeight="1">
      <c r="A498" s="12"/>
      <c r="B498" s="12"/>
      <c r="C498" s="12"/>
      <c r="D498" s="12"/>
      <c r="E498" s="12"/>
      <c r="F498" s="12"/>
      <c r="G498" s="12"/>
      <c r="H498" s="592"/>
      <c r="I498" s="592"/>
      <c r="J498" s="592"/>
      <c r="K498" s="592"/>
      <c r="L498" s="592"/>
      <c r="M498" s="592"/>
      <c r="N498" s="592"/>
      <c r="O498" s="592"/>
      <c r="P498" s="592"/>
      <c r="Q498" s="592"/>
      <c r="R498" s="592"/>
      <c r="S498" s="592"/>
      <c r="T498" s="592"/>
      <c r="U498" s="12"/>
      <c r="V498" s="12"/>
      <c r="W498" s="12"/>
      <c r="X498" s="12"/>
      <c r="Y498" s="12"/>
      <c r="Z498" s="12"/>
      <c r="AA498" s="12"/>
      <c r="AB498" s="12"/>
      <c r="AC498" s="12"/>
    </row>
    <row r="499" spans="1:29" ht="12.75" customHeight="1">
      <c r="A499" s="12"/>
      <c r="B499" s="12"/>
      <c r="C499" s="12"/>
      <c r="D499" s="12"/>
      <c r="E499" s="12"/>
      <c r="F499" s="12"/>
      <c r="G499" s="12"/>
      <c r="H499" s="592"/>
      <c r="I499" s="592"/>
      <c r="J499" s="592"/>
      <c r="K499" s="592"/>
      <c r="L499" s="592"/>
      <c r="M499" s="592"/>
      <c r="N499" s="592"/>
      <c r="O499" s="592"/>
      <c r="P499" s="592"/>
      <c r="Q499" s="592"/>
      <c r="R499" s="592"/>
      <c r="S499" s="592"/>
      <c r="T499" s="592"/>
      <c r="U499" s="12"/>
      <c r="V499" s="12"/>
      <c r="W499" s="12"/>
      <c r="X499" s="12"/>
      <c r="Y499" s="12"/>
      <c r="Z499" s="12"/>
      <c r="AA499" s="12"/>
      <c r="AB499" s="12"/>
      <c r="AC499" s="12"/>
    </row>
    <row r="500" spans="1:29" ht="12.75" customHeight="1">
      <c r="A500" s="12"/>
      <c r="B500" s="12"/>
      <c r="C500" s="12"/>
      <c r="D500" s="12"/>
      <c r="E500" s="12"/>
      <c r="F500" s="12"/>
      <c r="G500" s="12"/>
      <c r="H500" s="592"/>
      <c r="I500" s="592"/>
      <c r="J500" s="592"/>
      <c r="K500" s="592"/>
      <c r="L500" s="592"/>
      <c r="M500" s="592"/>
      <c r="N500" s="592"/>
      <c r="O500" s="592"/>
      <c r="P500" s="592"/>
      <c r="Q500" s="592"/>
      <c r="R500" s="592"/>
      <c r="S500" s="592"/>
      <c r="T500" s="592"/>
      <c r="U500" s="12"/>
      <c r="V500" s="12"/>
      <c r="W500" s="12"/>
      <c r="X500" s="12"/>
      <c r="Y500" s="12"/>
      <c r="Z500" s="12"/>
      <c r="AA500" s="12"/>
      <c r="AB500" s="12"/>
      <c r="AC500" s="12"/>
    </row>
    <row r="501" spans="1:29" ht="12.75" customHeight="1">
      <c r="A501" s="12"/>
      <c r="B501" s="12"/>
      <c r="C501" s="12"/>
      <c r="D501" s="12"/>
      <c r="E501" s="12"/>
      <c r="F501" s="12"/>
      <c r="G501" s="12"/>
      <c r="H501" s="592"/>
      <c r="I501" s="592"/>
      <c r="J501" s="592"/>
      <c r="K501" s="592"/>
      <c r="L501" s="592"/>
      <c r="M501" s="592"/>
      <c r="N501" s="592"/>
      <c r="O501" s="592"/>
      <c r="P501" s="592"/>
      <c r="Q501" s="592"/>
      <c r="R501" s="592"/>
      <c r="S501" s="592"/>
      <c r="T501" s="592"/>
      <c r="U501" s="12"/>
      <c r="V501" s="12"/>
      <c r="W501" s="12"/>
      <c r="X501" s="12"/>
      <c r="Y501" s="12"/>
      <c r="Z501" s="12"/>
      <c r="AA501" s="12"/>
      <c r="AB501" s="12"/>
      <c r="AC501" s="12"/>
    </row>
    <row r="502" spans="1:29" ht="12.75" customHeight="1">
      <c r="A502" s="12"/>
      <c r="B502" s="12"/>
      <c r="C502" s="12"/>
      <c r="D502" s="12"/>
      <c r="E502" s="12"/>
      <c r="F502" s="12"/>
      <c r="G502" s="12"/>
      <c r="H502" s="592"/>
      <c r="I502" s="592"/>
      <c r="J502" s="592"/>
      <c r="K502" s="592"/>
      <c r="L502" s="592"/>
      <c r="M502" s="592"/>
      <c r="N502" s="592"/>
      <c r="O502" s="592"/>
      <c r="P502" s="592"/>
      <c r="Q502" s="592"/>
      <c r="R502" s="592"/>
      <c r="S502" s="592"/>
      <c r="T502" s="592"/>
      <c r="U502" s="12"/>
      <c r="V502" s="12"/>
      <c r="W502" s="12"/>
      <c r="X502" s="12"/>
      <c r="Y502" s="12"/>
      <c r="Z502" s="12"/>
      <c r="AA502" s="12"/>
      <c r="AB502" s="12"/>
      <c r="AC502" s="12"/>
    </row>
    <row r="503" spans="1:29" ht="12.75" customHeight="1">
      <c r="A503" s="12"/>
      <c r="B503" s="12"/>
      <c r="C503" s="12"/>
      <c r="D503" s="12"/>
      <c r="E503" s="12"/>
      <c r="F503" s="12"/>
      <c r="G503" s="12"/>
      <c r="H503" s="592"/>
      <c r="I503" s="592"/>
      <c r="J503" s="592"/>
      <c r="K503" s="592"/>
      <c r="L503" s="592"/>
      <c r="M503" s="592"/>
      <c r="N503" s="592"/>
      <c r="O503" s="592"/>
      <c r="P503" s="592"/>
      <c r="Q503" s="592"/>
      <c r="R503" s="592"/>
      <c r="S503" s="592"/>
      <c r="T503" s="592"/>
      <c r="U503" s="12"/>
      <c r="V503" s="12"/>
      <c r="W503" s="12"/>
      <c r="X503" s="12"/>
      <c r="Y503" s="12"/>
      <c r="Z503" s="12"/>
      <c r="AA503" s="12"/>
      <c r="AB503" s="12"/>
      <c r="AC503" s="12"/>
    </row>
    <row r="504" spans="1:29" ht="12.75" customHeight="1">
      <c r="A504" s="12"/>
      <c r="B504" s="12"/>
      <c r="C504" s="12"/>
      <c r="D504" s="12"/>
      <c r="E504" s="12"/>
      <c r="F504" s="12"/>
      <c r="G504" s="12"/>
      <c r="H504" s="592"/>
      <c r="I504" s="592"/>
      <c r="J504" s="592"/>
      <c r="K504" s="592"/>
      <c r="L504" s="592"/>
      <c r="M504" s="592"/>
      <c r="N504" s="592"/>
      <c r="O504" s="592"/>
      <c r="P504" s="592"/>
      <c r="Q504" s="592"/>
      <c r="R504" s="592"/>
      <c r="S504" s="592"/>
      <c r="T504" s="592"/>
      <c r="U504" s="12"/>
      <c r="V504" s="12"/>
      <c r="W504" s="12"/>
      <c r="X504" s="12"/>
      <c r="Y504" s="12"/>
      <c r="Z504" s="12"/>
      <c r="AA504" s="12"/>
      <c r="AB504" s="12"/>
      <c r="AC504" s="12"/>
    </row>
    <row r="505" spans="1:29" ht="12.75" customHeight="1">
      <c r="A505" s="12"/>
      <c r="B505" s="12"/>
      <c r="C505" s="12"/>
      <c r="D505" s="12"/>
      <c r="E505" s="12"/>
      <c r="F505" s="12"/>
      <c r="G505" s="12"/>
      <c r="H505" s="592"/>
      <c r="I505" s="592"/>
      <c r="J505" s="592"/>
      <c r="K505" s="592"/>
      <c r="L505" s="592"/>
      <c r="M505" s="592"/>
      <c r="N505" s="592"/>
      <c r="O505" s="592"/>
      <c r="P505" s="592"/>
      <c r="Q505" s="592"/>
      <c r="R505" s="592"/>
      <c r="S505" s="592"/>
      <c r="T505" s="592"/>
      <c r="U505" s="12"/>
      <c r="V505" s="12"/>
      <c r="W505" s="12"/>
      <c r="X505" s="12"/>
      <c r="Y505" s="12"/>
      <c r="Z505" s="12"/>
      <c r="AA505" s="12"/>
      <c r="AB505" s="12"/>
      <c r="AC505" s="12"/>
    </row>
    <row r="506" spans="1:29" ht="12.75" customHeight="1">
      <c r="A506" s="12"/>
      <c r="B506" s="12"/>
      <c r="C506" s="12"/>
      <c r="D506" s="12"/>
      <c r="E506" s="12"/>
      <c r="F506" s="12"/>
      <c r="G506" s="12"/>
      <c r="H506" s="592"/>
      <c r="I506" s="592"/>
      <c r="J506" s="592"/>
      <c r="K506" s="592"/>
      <c r="L506" s="592"/>
      <c r="M506" s="592"/>
      <c r="N506" s="592"/>
      <c r="O506" s="592"/>
      <c r="P506" s="592"/>
      <c r="Q506" s="592"/>
      <c r="R506" s="592"/>
      <c r="S506" s="592"/>
      <c r="T506" s="592"/>
      <c r="U506" s="12"/>
      <c r="V506" s="12"/>
      <c r="W506" s="12"/>
      <c r="X506" s="12"/>
      <c r="Y506" s="12"/>
      <c r="Z506" s="12"/>
      <c r="AA506" s="12"/>
      <c r="AB506" s="12"/>
      <c r="AC506" s="12"/>
    </row>
    <row r="507" spans="1:29" ht="12.75" customHeight="1">
      <c r="A507" s="12"/>
      <c r="B507" s="12"/>
      <c r="C507" s="12"/>
      <c r="D507" s="12"/>
      <c r="E507" s="12"/>
      <c r="F507" s="12"/>
      <c r="G507" s="12"/>
      <c r="H507" s="592"/>
      <c r="I507" s="592"/>
      <c r="J507" s="592"/>
      <c r="K507" s="592"/>
      <c r="L507" s="592"/>
      <c r="M507" s="592"/>
      <c r="N507" s="592"/>
      <c r="O507" s="592"/>
      <c r="P507" s="592"/>
      <c r="Q507" s="592"/>
      <c r="R507" s="592"/>
      <c r="S507" s="592"/>
      <c r="T507" s="592"/>
      <c r="U507" s="12"/>
      <c r="V507" s="12"/>
      <c r="W507" s="12"/>
      <c r="X507" s="12"/>
      <c r="Y507" s="12"/>
      <c r="Z507" s="12"/>
      <c r="AA507" s="12"/>
      <c r="AB507" s="12"/>
      <c r="AC507" s="12"/>
    </row>
    <row r="508" spans="1:29" ht="12.75" customHeight="1">
      <c r="A508" s="12"/>
      <c r="B508" s="12"/>
      <c r="C508" s="12"/>
      <c r="D508" s="12"/>
      <c r="E508" s="12"/>
      <c r="F508" s="12"/>
      <c r="G508" s="12"/>
      <c r="H508" s="592"/>
      <c r="I508" s="592"/>
      <c r="J508" s="592"/>
      <c r="K508" s="592"/>
      <c r="L508" s="592"/>
      <c r="M508" s="592"/>
      <c r="N508" s="592"/>
      <c r="O508" s="592"/>
      <c r="P508" s="592"/>
      <c r="Q508" s="592"/>
      <c r="R508" s="592"/>
      <c r="S508" s="592"/>
      <c r="T508" s="592"/>
      <c r="U508" s="12"/>
      <c r="V508" s="12"/>
      <c r="W508" s="12"/>
      <c r="X508" s="12"/>
      <c r="Y508" s="12"/>
      <c r="Z508" s="12"/>
      <c r="AA508" s="12"/>
      <c r="AB508" s="12"/>
      <c r="AC508" s="12"/>
    </row>
    <row r="509" spans="1:29" ht="12.75" customHeight="1">
      <c r="A509" s="12"/>
      <c r="B509" s="12"/>
      <c r="C509" s="12"/>
      <c r="D509" s="12"/>
      <c r="E509" s="12"/>
      <c r="F509" s="12"/>
      <c r="G509" s="12"/>
      <c r="H509" s="592"/>
      <c r="I509" s="592"/>
      <c r="J509" s="592"/>
      <c r="K509" s="592"/>
      <c r="L509" s="592"/>
      <c r="M509" s="592"/>
      <c r="N509" s="592"/>
      <c r="O509" s="592"/>
      <c r="P509" s="592"/>
      <c r="Q509" s="592"/>
      <c r="R509" s="592"/>
      <c r="S509" s="592"/>
      <c r="T509" s="592"/>
      <c r="U509" s="12"/>
      <c r="V509" s="12"/>
      <c r="W509" s="12"/>
      <c r="X509" s="12"/>
      <c r="Y509" s="12"/>
      <c r="Z509" s="12"/>
      <c r="AA509" s="12"/>
      <c r="AB509" s="12"/>
      <c r="AC509" s="12"/>
    </row>
    <row r="510" spans="1:29" ht="12.75" customHeight="1">
      <c r="A510" s="12"/>
      <c r="B510" s="12"/>
      <c r="C510" s="12"/>
      <c r="D510" s="12"/>
      <c r="E510" s="12"/>
      <c r="F510" s="12"/>
      <c r="G510" s="12"/>
      <c r="H510" s="592"/>
      <c r="I510" s="592"/>
      <c r="J510" s="592"/>
      <c r="K510" s="592"/>
      <c r="L510" s="592"/>
      <c r="M510" s="592"/>
      <c r="N510" s="592"/>
      <c r="O510" s="592"/>
      <c r="P510" s="592"/>
      <c r="Q510" s="592"/>
      <c r="R510" s="592"/>
      <c r="S510" s="592"/>
      <c r="T510" s="592"/>
      <c r="U510" s="12"/>
      <c r="V510" s="12"/>
      <c r="W510" s="12"/>
      <c r="X510" s="12"/>
      <c r="Y510" s="12"/>
      <c r="Z510" s="12"/>
      <c r="AA510" s="12"/>
      <c r="AB510" s="12"/>
      <c r="AC510" s="12"/>
    </row>
    <row r="511" spans="1:29" ht="12.75" customHeight="1">
      <c r="A511" s="12"/>
      <c r="B511" s="12"/>
      <c r="C511" s="12"/>
      <c r="D511" s="12"/>
      <c r="E511" s="12"/>
      <c r="F511" s="12"/>
      <c r="G511" s="12"/>
      <c r="H511" s="592"/>
      <c r="I511" s="592"/>
      <c r="J511" s="592"/>
      <c r="K511" s="592"/>
      <c r="L511" s="592"/>
      <c r="M511" s="592"/>
      <c r="N511" s="592"/>
      <c r="O511" s="592"/>
      <c r="P511" s="592"/>
      <c r="Q511" s="592"/>
      <c r="R511" s="592"/>
      <c r="S511" s="592"/>
      <c r="T511" s="592"/>
      <c r="U511" s="12"/>
      <c r="V511" s="12"/>
      <c r="W511" s="12"/>
      <c r="X511" s="12"/>
      <c r="Y511" s="12"/>
      <c r="Z511" s="12"/>
      <c r="AA511" s="12"/>
      <c r="AB511" s="12"/>
      <c r="AC511" s="12"/>
    </row>
    <row r="512" spans="1:29" ht="12.75" customHeight="1">
      <c r="A512" s="12"/>
      <c r="B512" s="12"/>
      <c r="C512" s="12"/>
      <c r="D512" s="12"/>
      <c r="E512" s="12"/>
      <c r="F512" s="12"/>
      <c r="G512" s="12"/>
      <c r="H512" s="592"/>
      <c r="I512" s="592"/>
      <c r="J512" s="592"/>
      <c r="K512" s="592"/>
      <c r="L512" s="592"/>
      <c r="M512" s="592"/>
      <c r="N512" s="592"/>
      <c r="O512" s="592"/>
      <c r="P512" s="592"/>
      <c r="Q512" s="592"/>
      <c r="R512" s="592"/>
      <c r="S512" s="592"/>
      <c r="T512" s="592"/>
      <c r="U512" s="12"/>
      <c r="V512" s="12"/>
      <c r="W512" s="12"/>
      <c r="X512" s="12"/>
      <c r="Y512" s="12"/>
      <c r="Z512" s="12"/>
      <c r="AA512" s="12"/>
      <c r="AB512" s="12"/>
      <c r="AC512" s="12"/>
    </row>
    <row r="513" spans="1:29" ht="12.75" customHeight="1">
      <c r="A513" s="12"/>
      <c r="B513" s="12"/>
      <c r="C513" s="12"/>
      <c r="D513" s="12"/>
      <c r="E513" s="12"/>
      <c r="F513" s="12"/>
      <c r="G513" s="12"/>
      <c r="H513" s="592"/>
      <c r="I513" s="592"/>
      <c r="J513" s="592"/>
      <c r="K513" s="592"/>
      <c r="L513" s="592"/>
      <c r="M513" s="592"/>
      <c r="N513" s="592"/>
      <c r="O513" s="592"/>
      <c r="P513" s="592"/>
      <c r="Q513" s="592"/>
      <c r="R513" s="592"/>
      <c r="S513" s="592"/>
      <c r="T513" s="592"/>
      <c r="U513" s="12"/>
      <c r="V513" s="12"/>
      <c r="W513" s="12"/>
      <c r="X513" s="12"/>
      <c r="Y513" s="12"/>
      <c r="Z513" s="12"/>
      <c r="AA513" s="12"/>
      <c r="AB513" s="12"/>
      <c r="AC513" s="12"/>
    </row>
    <row r="514" spans="1:29" ht="12.75" customHeight="1">
      <c r="A514" s="12"/>
      <c r="B514" s="12"/>
      <c r="C514" s="12"/>
      <c r="D514" s="12"/>
      <c r="E514" s="12"/>
      <c r="F514" s="12"/>
      <c r="G514" s="12"/>
      <c r="H514" s="592"/>
      <c r="I514" s="592"/>
      <c r="J514" s="592"/>
      <c r="K514" s="592"/>
      <c r="L514" s="592"/>
      <c r="M514" s="592"/>
      <c r="N514" s="592"/>
      <c r="O514" s="592"/>
      <c r="P514" s="592"/>
      <c r="Q514" s="592"/>
      <c r="R514" s="592"/>
      <c r="S514" s="592"/>
      <c r="T514" s="592"/>
      <c r="U514" s="12"/>
      <c r="V514" s="12"/>
      <c r="W514" s="12"/>
      <c r="X514" s="12"/>
      <c r="Y514" s="12"/>
      <c r="Z514" s="12"/>
      <c r="AA514" s="12"/>
      <c r="AB514" s="12"/>
      <c r="AC514" s="12"/>
    </row>
    <row r="515" spans="1:29" ht="12.75" customHeight="1">
      <c r="A515" s="12"/>
      <c r="B515" s="12"/>
      <c r="C515" s="12"/>
      <c r="D515" s="12"/>
      <c r="E515" s="12"/>
      <c r="F515" s="12"/>
      <c r="G515" s="12"/>
      <c r="H515" s="592"/>
      <c r="I515" s="592"/>
      <c r="J515" s="592"/>
      <c r="K515" s="592"/>
      <c r="L515" s="592"/>
      <c r="M515" s="592"/>
      <c r="N515" s="592"/>
      <c r="O515" s="592"/>
      <c r="P515" s="592"/>
      <c r="Q515" s="592"/>
      <c r="R515" s="592"/>
      <c r="S515" s="592"/>
      <c r="T515" s="592"/>
      <c r="U515" s="12"/>
      <c r="V515" s="12"/>
      <c r="W515" s="12"/>
      <c r="X515" s="12"/>
      <c r="Y515" s="12"/>
      <c r="Z515" s="12"/>
      <c r="AA515" s="12"/>
      <c r="AB515" s="12"/>
      <c r="AC515" s="12"/>
    </row>
    <row r="516" spans="1:29" ht="12.75" customHeight="1">
      <c r="A516" s="12"/>
      <c r="B516" s="12"/>
      <c r="C516" s="12"/>
      <c r="D516" s="12"/>
      <c r="E516" s="12"/>
      <c r="F516" s="12"/>
      <c r="G516" s="12"/>
      <c r="H516" s="592"/>
      <c r="I516" s="592"/>
      <c r="J516" s="592"/>
      <c r="K516" s="592"/>
      <c r="L516" s="592"/>
      <c r="M516" s="592"/>
      <c r="N516" s="592"/>
      <c r="O516" s="592"/>
      <c r="P516" s="592"/>
      <c r="Q516" s="592"/>
      <c r="R516" s="592"/>
      <c r="S516" s="592"/>
      <c r="T516" s="592"/>
      <c r="U516" s="12"/>
      <c r="V516" s="12"/>
      <c r="W516" s="12"/>
      <c r="X516" s="12"/>
      <c r="Y516" s="12"/>
      <c r="Z516" s="12"/>
      <c r="AA516" s="12"/>
      <c r="AB516" s="12"/>
      <c r="AC516" s="12"/>
    </row>
    <row r="517" spans="1:29" ht="12.75" customHeight="1">
      <c r="A517" s="12"/>
      <c r="B517" s="12"/>
      <c r="C517" s="12"/>
      <c r="D517" s="12"/>
      <c r="E517" s="12"/>
      <c r="F517" s="12"/>
      <c r="G517" s="12"/>
      <c r="H517" s="592"/>
      <c r="I517" s="592"/>
      <c r="J517" s="592"/>
      <c r="K517" s="592"/>
      <c r="L517" s="592"/>
      <c r="M517" s="592"/>
      <c r="N517" s="592"/>
      <c r="O517" s="592"/>
      <c r="P517" s="592"/>
      <c r="Q517" s="592"/>
      <c r="R517" s="592"/>
      <c r="S517" s="592"/>
      <c r="T517" s="592"/>
      <c r="U517" s="12"/>
      <c r="V517" s="12"/>
      <c r="W517" s="12"/>
      <c r="X517" s="12"/>
      <c r="Y517" s="12"/>
      <c r="Z517" s="12"/>
      <c r="AA517" s="12"/>
      <c r="AB517" s="12"/>
      <c r="AC517" s="12"/>
    </row>
    <row r="518" spans="1:29" ht="12.75" customHeight="1">
      <c r="A518" s="12"/>
      <c r="B518" s="12"/>
      <c r="C518" s="12"/>
      <c r="D518" s="12"/>
      <c r="E518" s="12"/>
      <c r="F518" s="12"/>
      <c r="G518" s="12"/>
      <c r="H518" s="592"/>
      <c r="I518" s="592"/>
      <c r="J518" s="592"/>
      <c r="K518" s="592"/>
      <c r="L518" s="592"/>
      <c r="M518" s="592"/>
      <c r="N518" s="592"/>
      <c r="O518" s="592"/>
      <c r="P518" s="592"/>
      <c r="Q518" s="592"/>
      <c r="R518" s="592"/>
      <c r="S518" s="592"/>
      <c r="T518" s="592"/>
      <c r="U518" s="12"/>
      <c r="V518" s="12"/>
      <c r="W518" s="12"/>
      <c r="X518" s="12"/>
      <c r="Y518" s="12"/>
      <c r="Z518" s="12"/>
      <c r="AA518" s="12"/>
      <c r="AB518" s="12"/>
      <c r="AC518" s="12"/>
    </row>
    <row r="519" spans="1:29" ht="12.75" customHeight="1">
      <c r="A519" s="12"/>
      <c r="B519" s="12"/>
      <c r="C519" s="12"/>
      <c r="D519" s="12"/>
      <c r="E519" s="12"/>
      <c r="F519" s="12"/>
      <c r="G519" s="12"/>
      <c r="H519" s="592"/>
      <c r="I519" s="592"/>
      <c r="J519" s="592"/>
      <c r="K519" s="592"/>
      <c r="L519" s="592"/>
      <c r="M519" s="592"/>
      <c r="N519" s="592"/>
      <c r="O519" s="592"/>
      <c r="P519" s="592"/>
      <c r="Q519" s="592"/>
      <c r="R519" s="592"/>
      <c r="S519" s="592"/>
      <c r="T519" s="592"/>
      <c r="U519" s="12"/>
      <c r="V519" s="12"/>
      <c r="W519" s="12"/>
      <c r="X519" s="12"/>
      <c r="Y519" s="12"/>
      <c r="Z519" s="12"/>
      <c r="AA519" s="12"/>
      <c r="AB519" s="12"/>
      <c r="AC519" s="12"/>
    </row>
    <row r="520" spans="1:29" ht="12.75" customHeight="1">
      <c r="A520" s="12"/>
      <c r="B520" s="12"/>
      <c r="C520" s="12"/>
      <c r="D520" s="12"/>
      <c r="E520" s="12"/>
      <c r="F520" s="12"/>
      <c r="G520" s="12"/>
      <c r="H520" s="592"/>
      <c r="I520" s="592"/>
      <c r="J520" s="592"/>
      <c r="K520" s="592"/>
      <c r="L520" s="592"/>
      <c r="M520" s="592"/>
      <c r="N520" s="592"/>
      <c r="O520" s="592"/>
      <c r="P520" s="592"/>
      <c r="Q520" s="592"/>
      <c r="R520" s="592"/>
      <c r="S520" s="592"/>
      <c r="T520" s="592"/>
      <c r="U520" s="12"/>
      <c r="V520" s="12"/>
      <c r="W520" s="12"/>
      <c r="X520" s="12"/>
      <c r="Y520" s="12"/>
      <c r="Z520" s="12"/>
      <c r="AA520" s="12"/>
      <c r="AB520" s="12"/>
      <c r="AC520" s="12"/>
    </row>
    <row r="521" spans="1:29" ht="12.75" customHeight="1">
      <c r="A521" s="12"/>
      <c r="B521" s="12"/>
      <c r="C521" s="12"/>
      <c r="D521" s="12"/>
      <c r="E521" s="12"/>
      <c r="F521" s="12"/>
      <c r="G521" s="12"/>
      <c r="H521" s="592"/>
      <c r="I521" s="592"/>
      <c r="J521" s="592"/>
      <c r="K521" s="592"/>
      <c r="L521" s="592"/>
      <c r="M521" s="592"/>
      <c r="N521" s="592"/>
      <c r="O521" s="592"/>
      <c r="P521" s="592"/>
      <c r="Q521" s="592"/>
      <c r="R521" s="592"/>
      <c r="S521" s="592"/>
      <c r="T521" s="592"/>
      <c r="U521" s="12"/>
      <c r="V521" s="12"/>
      <c r="W521" s="12"/>
      <c r="X521" s="12"/>
      <c r="Y521" s="12"/>
      <c r="Z521" s="12"/>
      <c r="AA521" s="12"/>
      <c r="AB521" s="12"/>
      <c r="AC521" s="12"/>
    </row>
    <row r="522" spans="1:29" ht="12.75" customHeight="1">
      <c r="A522" s="12"/>
      <c r="B522" s="12"/>
      <c r="C522" s="12"/>
      <c r="D522" s="12"/>
      <c r="E522" s="12"/>
      <c r="F522" s="12"/>
      <c r="G522" s="12"/>
      <c r="H522" s="592"/>
      <c r="I522" s="592"/>
      <c r="J522" s="592"/>
      <c r="K522" s="592"/>
      <c r="L522" s="592"/>
      <c r="M522" s="592"/>
      <c r="N522" s="592"/>
      <c r="O522" s="592"/>
      <c r="P522" s="592"/>
      <c r="Q522" s="592"/>
      <c r="R522" s="592"/>
      <c r="S522" s="592"/>
      <c r="T522" s="592"/>
      <c r="U522" s="12"/>
      <c r="V522" s="12"/>
      <c r="W522" s="12"/>
      <c r="X522" s="12"/>
      <c r="Y522" s="12"/>
      <c r="Z522" s="12"/>
      <c r="AA522" s="12"/>
      <c r="AB522" s="12"/>
      <c r="AC522" s="12"/>
    </row>
    <row r="523" spans="1:29" ht="12.75" customHeight="1">
      <c r="A523" s="12"/>
      <c r="B523" s="12"/>
      <c r="C523" s="12"/>
      <c r="D523" s="12"/>
      <c r="E523" s="12"/>
      <c r="F523" s="12"/>
      <c r="G523" s="12"/>
      <c r="H523" s="592"/>
      <c r="I523" s="592"/>
      <c r="J523" s="592"/>
      <c r="K523" s="592"/>
      <c r="L523" s="592"/>
      <c r="M523" s="592"/>
      <c r="N523" s="592"/>
      <c r="O523" s="592"/>
      <c r="P523" s="592"/>
      <c r="Q523" s="592"/>
      <c r="R523" s="592"/>
      <c r="S523" s="592"/>
      <c r="T523" s="592"/>
      <c r="U523" s="12"/>
      <c r="V523" s="12"/>
      <c r="W523" s="12"/>
      <c r="X523" s="12"/>
      <c r="Y523" s="12"/>
      <c r="Z523" s="12"/>
      <c r="AA523" s="12"/>
      <c r="AB523" s="12"/>
      <c r="AC523" s="12"/>
    </row>
    <row r="524" spans="1:29" ht="12.75" customHeight="1">
      <c r="A524" s="12"/>
      <c r="B524" s="12"/>
      <c r="C524" s="12"/>
      <c r="D524" s="12"/>
      <c r="E524" s="12"/>
      <c r="F524" s="12"/>
      <c r="G524" s="12"/>
      <c r="H524" s="592"/>
      <c r="I524" s="592"/>
      <c r="J524" s="592"/>
      <c r="K524" s="592"/>
      <c r="L524" s="592"/>
      <c r="M524" s="592"/>
      <c r="N524" s="592"/>
      <c r="O524" s="592"/>
      <c r="P524" s="592"/>
      <c r="Q524" s="592"/>
      <c r="R524" s="592"/>
      <c r="S524" s="592"/>
      <c r="T524" s="592"/>
      <c r="U524" s="12"/>
      <c r="V524" s="12"/>
      <c r="W524" s="12"/>
      <c r="X524" s="12"/>
      <c r="Y524" s="12"/>
      <c r="Z524" s="12"/>
      <c r="AA524" s="12"/>
      <c r="AB524" s="12"/>
      <c r="AC524" s="12"/>
    </row>
    <row r="525" spans="1:29" ht="12.75" customHeight="1">
      <c r="A525" s="12"/>
      <c r="B525" s="12"/>
      <c r="C525" s="12"/>
      <c r="D525" s="12"/>
      <c r="E525" s="12"/>
      <c r="F525" s="12"/>
      <c r="G525" s="12"/>
      <c r="H525" s="592"/>
      <c r="I525" s="592"/>
      <c r="J525" s="592"/>
      <c r="K525" s="592"/>
      <c r="L525" s="592"/>
      <c r="M525" s="592"/>
      <c r="N525" s="592"/>
      <c r="O525" s="592"/>
      <c r="P525" s="592"/>
      <c r="Q525" s="592"/>
      <c r="R525" s="592"/>
      <c r="S525" s="592"/>
      <c r="T525" s="592"/>
      <c r="U525" s="12"/>
      <c r="V525" s="12"/>
      <c r="W525" s="12"/>
      <c r="X525" s="12"/>
      <c r="Y525" s="12"/>
      <c r="Z525" s="12"/>
      <c r="AA525" s="12"/>
      <c r="AB525" s="12"/>
      <c r="AC525" s="12"/>
    </row>
    <row r="526" spans="1:29" ht="12.75" customHeight="1">
      <c r="A526" s="12"/>
      <c r="B526" s="12"/>
      <c r="C526" s="12"/>
      <c r="D526" s="12"/>
      <c r="E526" s="12"/>
      <c r="F526" s="12"/>
      <c r="G526" s="12"/>
      <c r="H526" s="592"/>
      <c r="I526" s="592"/>
      <c r="J526" s="592"/>
      <c r="K526" s="592"/>
      <c r="L526" s="592"/>
      <c r="M526" s="592"/>
      <c r="N526" s="592"/>
      <c r="O526" s="592"/>
      <c r="P526" s="592"/>
      <c r="Q526" s="592"/>
      <c r="R526" s="592"/>
      <c r="S526" s="592"/>
      <c r="T526" s="592"/>
      <c r="U526" s="12"/>
      <c r="V526" s="12"/>
      <c r="W526" s="12"/>
      <c r="X526" s="12"/>
      <c r="Y526" s="12"/>
      <c r="Z526" s="12"/>
      <c r="AA526" s="12"/>
      <c r="AB526" s="12"/>
      <c r="AC526" s="12"/>
    </row>
    <row r="527" spans="1:29" ht="12.75" customHeight="1">
      <c r="A527" s="12"/>
      <c r="B527" s="12"/>
      <c r="C527" s="12"/>
      <c r="D527" s="12"/>
      <c r="E527" s="12"/>
      <c r="F527" s="12"/>
      <c r="G527" s="12"/>
      <c r="H527" s="592"/>
      <c r="I527" s="592"/>
      <c r="J527" s="592"/>
      <c r="K527" s="592"/>
      <c r="L527" s="592"/>
      <c r="M527" s="592"/>
      <c r="N527" s="592"/>
      <c r="O527" s="592"/>
      <c r="P527" s="592"/>
      <c r="Q527" s="592"/>
      <c r="R527" s="592"/>
      <c r="S527" s="592"/>
      <c r="T527" s="592"/>
      <c r="U527" s="12"/>
      <c r="V527" s="12"/>
      <c r="W527" s="12"/>
      <c r="X527" s="12"/>
      <c r="Y527" s="12"/>
      <c r="Z527" s="12"/>
      <c r="AA527" s="12"/>
      <c r="AB527" s="12"/>
      <c r="AC527" s="12"/>
    </row>
    <row r="528" spans="1:29" ht="12.75" customHeight="1">
      <c r="A528" s="12"/>
      <c r="B528" s="12"/>
      <c r="C528" s="12"/>
      <c r="D528" s="12"/>
      <c r="E528" s="12"/>
      <c r="F528" s="12"/>
      <c r="G528" s="12"/>
      <c r="H528" s="592"/>
      <c r="I528" s="592"/>
      <c r="J528" s="592"/>
      <c r="K528" s="592"/>
      <c r="L528" s="592"/>
      <c r="M528" s="592"/>
      <c r="N528" s="592"/>
      <c r="O528" s="592"/>
      <c r="P528" s="592"/>
      <c r="Q528" s="592"/>
      <c r="R528" s="592"/>
      <c r="S528" s="592"/>
      <c r="T528" s="592"/>
      <c r="U528" s="12"/>
      <c r="V528" s="12"/>
      <c r="W528" s="12"/>
      <c r="X528" s="12"/>
      <c r="Y528" s="12"/>
      <c r="Z528" s="12"/>
      <c r="AA528" s="12"/>
      <c r="AB528" s="12"/>
      <c r="AC528" s="12"/>
    </row>
    <row r="529" spans="1:29" ht="12.75" customHeight="1">
      <c r="A529" s="12"/>
      <c r="B529" s="12"/>
      <c r="C529" s="12"/>
      <c r="D529" s="12"/>
      <c r="E529" s="12"/>
      <c r="F529" s="12"/>
      <c r="G529" s="12"/>
      <c r="H529" s="592"/>
      <c r="I529" s="592"/>
      <c r="J529" s="592"/>
      <c r="K529" s="592"/>
      <c r="L529" s="592"/>
      <c r="M529" s="592"/>
      <c r="N529" s="592"/>
      <c r="O529" s="592"/>
      <c r="P529" s="592"/>
      <c r="Q529" s="592"/>
      <c r="R529" s="592"/>
      <c r="S529" s="592"/>
      <c r="T529" s="592"/>
      <c r="U529" s="12"/>
      <c r="V529" s="12"/>
      <c r="W529" s="12"/>
      <c r="X529" s="12"/>
      <c r="Y529" s="12"/>
      <c r="Z529" s="12"/>
      <c r="AA529" s="12"/>
      <c r="AB529" s="12"/>
      <c r="AC529" s="12"/>
    </row>
    <row r="530" spans="1:29" ht="12.75" customHeight="1">
      <c r="A530" s="12"/>
      <c r="B530" s="12"/>
      <c r="C530" s="12"/>
      <c r="D530" s="12"/>
      <c r="E530" s="12"/>
      <c r="F530" s="12"/>
      <c r="G530" s="12"/>
      <c r="H530" s="592"/>
      <c r="I530" s="592"/>
      <c r="J530" s="592"/>
      <c r="K530" s="592"/>
      <c r="L530" s="592"/>
      <c r="M530" s="592"/>
      <c r="N530" s="592"/>
      <c r="O530" s="592"/>
      <c r="P530" s="592"/>
      <c r="Q530" s="592"/>
      <c r="R530" s="592"/>
      <c r="S530" s="592"/>
      <c r="T530" s="592"/>
      <c r="U530" s="12"/>
      <c r="V530" s="12"/>
      <c r="W530" s="12"/>
      <c r="X530" s="12"/>
      <c r="Y530" s="12"/>
      <c r="Z530" s="12"/>
      <c r="AA530" s="12"/>
      <c r="AB530" s="12"/>
      <c r="AC530" s="12"/>
    </row>
    <row r="531" spans="1:29" ht="12.75" customHeight="1">
      <c r="A531" s="12"/>
      <c r="B531" s="12"/>
      <c r="C531" s="12"/>
      <c r="D531" s="12"/>
      <c r="E531" s="12"/>
      <c r="F531" s="12"/>
      <c r="G531" s="12"/>
      <c r="H531" s="592"/>
      <c r="I531" s="592"/>
      <c r="J531" s="592"/>
      <c r="K531" s="592"/>
      <c r="L531" s="592"/>
      <c r="M531" s="592"/>
      <c r="N531" s="592"/>
      <c r="O531" s="592"/>
      <c r="P531" s="592"/>
      <c r="Q531" s="592"/>
      <c r="R531" s="592"/>
      <c r="S531" s="592"/>
      <c r="T531" s="592"/>
      <c r="U531" s="12"/>
      <c r="V531" s="12"/>
      <c r="W531" s="12"/>
      <c r="X531" s="12"/>
      <c r="Y531" s="12"/>
      <c r="Z531" s="12"/>
      <c r="AA531" s="12"/>
      <c r="AB531" s="12"/>
      <c r="AC531" s="12"/>
    </row>
    <row r="532" spans="1:29" ht="12.75" customHeight="1">
      <c r="A532" s="12"/>
      <c r="B532" s="12"/>
      <c r="C532" s="12"/>
      <c r="D532" s="12"/>
      <c r="E532" s="12"/>
      <c r="F532" s="12"/>
      <c r="G532" s="12"/>
      <c r="H532" s="592"/>
      <c r="I532" s="592"/>
      <c r="J532" s="592"/>
      <c r="K532" s="592"/>
      <c r="L532" s="592"/>
      <c r="M532" s="592"/>
      <c r="N532" s="592"/>
      <c r="O532" s="592"/>
      <c r="P532" s="592"/>
      <c r="Q532" s="592"/>
      <c r="R532" s="592"/>
      <c r="S532" s="592"/>
      <c r="T532" s="592"/>
      <c r="U532" s="12"/>
      <c r="V532" s="12"/>
      <c r="W532" s="12"/>
      <c r="X532" s="12"/>
      <c r="Y532" s="12"/>
      <c r="Z532" s="12"/>
      <c r="AA532" s="12"/>
      <c r="AB532" s="12"/>
      <c r="AC532" s="12"/>
    </row>
    <row r="533" spans="1:29" ht="12.75" customHeight="1">
      <c r="A533" s="12"/>
      <c r="B533" s="12"/>
      <c r="C533" s="12"/>
      <c r="D533" s="12"/>
      <c r="E533" s="12"/>
      <c r="F533" s="12"/>
      <c r="G533" s="12"/>
      <c r="H533" s="592"/>
      <c r="I533" s="592"/>
      <c r="J533" s="592"/>
      <c r="K533" s="592"/>
      <c r="L533" s="592"/>
      <c r="M533" s="592"/>
      <c r="N533" s="592"/>
      <c r="O533" s="592"/>
      <c r="P533" s="592"/>
      <c r="Q533" s="592"/>
      <c r="R533" s="592"/>
      <c r="S533" s="592"/>
      <c r="T533" s="592"/>
      <c r="U533" s="12"/>
      <c r="V533" s="12"/>
      <c r="W533" s="12"/>
      <c r="X533" s="12"/>
      <c r="Y533" s="12"/>
      <c r="Z533" s="12"/>
      <c r="AA533" s="12"/>
      <c r="AB533" s="12"/>
      <c r="AC533" s="12"/>
    </row>
    <row r="534" spans="1:29" ht="12.75" customHeight="1">
      <c r="A534" s="12"/>
      <c r="B534" s="12"/>
      <c r="C534" s="12"/>
      <c r="D534" s="12"/>
      <c r="E534" s="12"/>
      <c r="F534" s="12"/>
      <c r="G534" s="12"/>
      <c r="H534" s="592"/>
      <c r="I534" s="592"/>
      <c r="J534" s="592"/>
      <c r="K534" s="592"/>
      <c r="L534" s="592"/>
      <c r="M534" s="592"/>
      <c r="N534" s="592"/>
      <c r="O534" s="592"/>
      <c r="P534" s="592"/>
      <c r="Q534" s="592"/>
      <c r="R534" s="592"/>
      <c r="S534" s="592"/>
      <c r="T534" s="592"/>
      <c r="U534" s="12"/>
      <c r="V534" s="12"/>
      <c r="W534" s="12"/>
      <c r="X534" s="12"/>
      <c r="Y534" s="12"/>
      <c r="Z534" s="12"/>
      <c r="AA534" s="12"/>
      <c r="AB534" s="12"/>
      <c r="AC534" s="12"/>
    </row>
    <row r="535" spans="1:29" ht="12.75" customHeight="1">
      <c r="A535" s="12"/>
      <c r="B535" s="12"/>
      <c r="C535" s="12"/>
      <c r="D535" s="12"/>
      <c r="E535" s="12"/>
      <c r="F535" s="12"/>
      <c r="G535" s="12"/>
      <c r="H535" s="592"/>
      <c r="I535" s="592"/>
      <c r="J535" s="592"/>
      <c r="K535" s="592"/>
      <c r="L535" s="592"/>
      <c r="M535" s="592"/>
      <c r="N535" s="592"/>
      <c r="O535" s="592"/>
      <c r="P535" s="592"/>
      <c r="Q535" s="592"/>
      <c r="R535" s="592"/>
      <c r="S535" s="592"/>
      <c r="T535" s="592"/>
      <c r="U535" s="12"/>
      <c r="V535" s="12"/>
      <c r="W535" s="12"/>
      <c r="X535" s="12"/>
      <c r="Y535" s="12"/>
      <c r="Z535" s="12"/>
      <c r="AA535" s="12"/>
      <c r="AB535" s="12"/>
      <c r="AC535" s="12"/>
    </row>
    <row r="536" spans="1:29" ht="12.75" customHeight="1">
      <c r="A536" s="12"/>
      <c r="B536" s="12"/>
      <c r="C536" s="12"/>
      <c r="D536" s="12"/>
      <c r="E536" s="12"/>
      <c r="F536" s="12"/>
      <c r="G536" s="12"/>
      <c r="H536" s="592"/>
      <c r="I536" s="592"/>
      <c r="J536" s="592"/>
      <c r="K536" s="592"/>
      <c r="L536" s="592"/>
      <c r="M536" s="592"/>
      <c r="N536" s="592"/>
      <c r="O536" s="592"/>
      <c r="P536" s="592"/>
      <c r="Q536" s="592"/>
      <c r="R536" s="592"/>
      <c r="S536" s="592"/>
      <c r="T536" s="592"/>
      <c r="U536" s="12"/>
      <c r="V536" s="12"/>
      <c r="W536" s="12"/>
      <c r="X536" s="12"/>
      <c r="Y536" s="12"/>
      <c r="Z536" s="12"/>
      <c r="AA536" s="12"/>
      <c r="AB536" s="12"/>
      <c r="AC536" s="12"/>
    </row>
    <row r="537" spans="1:29" ht="12.75" customHeight="1">
      <c r="A537" s="12"/>
      <c r="B537" s="12"/>
      <c r="C537" s="12"/>
      <c r="D537" s="12"/>
      <c r="E537" s="12"/>
      <c r="F537" s="12"/>
      <c r="G537" s="12"/>
      <c r="H537" s="592"/>
      <c r="I537" s="592"/>
      <c r="J537" s="592"/>
      <c r="K537" s="592"/>
      <c r="L537" s="592"/>
      <c r="M537" s="592"/>
      <c r="N537" s="592"/>
      <c r="O537" s="592"/>
      <c r="P537" s="592"/>
      <c r="Q537" s="592"/>
      <c r="R537" s="592"/>
      <c r="S537" s="592"/>
      <c r="T537" s="592"/>
      <c r="U537" s="12"/>
      <c r="V537" s="12"/>
      <c r="W537" s="12"/>
      <c r="X537" s="12"/>
      <c r="Y537" s="12"/>
      <c r="Z537" s="12"/>
      <c r="AA537" s="12"/>
      <c r="AB537" s="12"/>
      <c r="AC537" s="12"/>
    </row>
    <row r="538" spans="1:29" ht="12.75" customHeight="1">
      <c r="A538" s="12"/>
      <c r="B538" s="12"/>
      <c r="C538" s="12"/>
      <c r="D538" s="12"/>
      <c r="E538" s="12"/>
      <c r="F538" s="12"/>
      <c r="G538" s="12"/>
      <c r="H538" s="592"/>
      <c r="I538" s="592"/>
      <c r="J538" s="592"/>
      <c r="K538" s="592"/>
      <c r="L538" s="592"/>
      <c r="M538" s="592"/>
      <c r="N538" s="592"/>
      <c r="O538" s="592"/>
      <c r="P538" s="592"/>
      <c r="Q538" s="592"/>
      <c r="R538" s="592"/>
      <c r="S538" s="592"/>
      <c r="T538" s="592"/>
      <c r="U538" s="12"/>
      <c r="V538" s="12"/>
      <c r="W538" s="12"/>
      <c r="X538" s="12"/>
      <c r="Y538" s="12"/>
      <c r="Z538" s="12"/>
      <c r="AA538" s="12"/>
      <c r="AB538" s="12"/>
      <c r="AC538" s="12"/>
    </row>
    <row r="539" spans="1:29" ht="12.75" customHeight="1">
      <c r="A539" s="12"/>
      <c r="B539" s="12"/>
      <c r="C539" s="12"/>
      <c r="D539" s="12"/>
      <c r="E539" s="12"/>
      <c r="F539" s="12"/>
      <c r="G539" s="12"/>
      <c r="H539" s="592"/>
      <c r="I539" s="592"/>
      <c r="J539" s="592"/>
      <c r="K539" s="592"/>
      <c r="L539" s="592"/>
      <c r="M539" s="592"/>
      <c r="N539" s="592"/>
      <c r="O539" s="592"/>
      <c r="P539" s="592"/>
      <c r="Q539" s="592"/>
      <c r="R539" s="592"/>
      <c r="S539" s="592"/>
      <c r="T539" s="592"/>
      <c r="U539" s="12"/>
      <c r="V539" s="12"/>
      <c r="W539" s="12"/>
      <c r="X539" s="12"/>
      <c r="Y539" s="12"/>
      <c r="Z539" s="12"/>
      <c r="AA539" s="12"/>
      <c r="AB539" s="12"/>
      <c r="AC539" s="12"/>
    </row>
    <row r="540" spans="1:29" ht="12.75" customHeight="1">
      <c r="A540" s="12"/>
      <c r="B540" s="12"/>
      <c r="C540" s="12"/>
      <c r="D540" s="12"/>
      <c r="E540" s="12"/>
      <c r="F540" s="12"/>
      <c r="G540" s="12"/>
      <c r="H540" s="592"/>
      <c r="I540" s="592"/>
      <c r="J540" s="592"/>
      <c r="K540" s="592"/>
      <c r="L540" s="592"/>
      <c r="M540" s="592"/>
      <c r="N540" s="592"/>
      <c r="O540" s="592"/>
      <c r="P540" s="592"/>
      <c r="Q540" s="592"/>
      <c r="R540" s="592"/>
      <c r="S540" s="592"/>
      <c r="T540" s="592"/>
      <c r="U540" s="12"/>
      <c r="V540" s="12"/>
      <c r="W540" s="12"/>
      <c r="X540" s="12"/>
      <c r="Y540" s="12"/>
      <c r="Z540" s="12"/>
      <c r="AA540" s="12"/>
      <c r="AB540" s="12"/>
      <c r="AC540" s="12"/>
    </row>
    <row r="541" spans="1:29" ht="12.75" customHeight="1">
      <c r="A541" s="12"/>
      <c r="B541" s="12"/>
      <c r="C541" s="12"/>
      <c r="D541" s="12"/>
      <c r="E541" s="12"/>
      <c r="F541" s="12"/>
      <c r="G541" s="12"/>
      <c r="H541" s="592"/>
      <c r="I541" s="592"/>
      <c r="J541" s="592"/>
      <c r="K541" s="592"/>
      <c r="L541" s="592"/>
      <c r="M541" s="592"/>
      <c r="N541" s="592"/>
      <c r="O541" s="592"/>
      <c r="P541" s="592"/>
      <c r="Q541" s="592"/>
      <c r="R541" s="592"/>
      <c r="S541" s="592"/>
      <c r="T541" s="592"/>
      <c r="U541" s="12"/>
      <c r="V541" s="12"/>
      <c r="W541" s="12"/>
      <c r="X541" s="12"/>
      <c r="Y541" s="12"/>
      <c r="Z541" s="12"/>
      <c r="AA541" s="12"/>
      <c r="AB541" s="12"/>
      <c r="AC541" s="12"/>
    </row>
    <row r="542" spans="1:29" ht="12.75" customHeight="1">
      <c r="A542" s="12"/>
      <c r="B542" s="12"/>
      <c r="C542" s="12"/>
      <c r="D542" s="12"/>
      <c r="E542" s="12"/>
      <c r="F542" s="12"/>
      <c r="G542" s="12"/>
      <c r="H542" s="592"/>
      <c r="I542" s="592"/>
      <c r="J542" s="592"/>
      <c r="K542" s="592"/>
      <c r="L542" s="592"/>
      <c r="M542" s="592"/>
      <c r="N542" s="592"/>
      <c r="O542" s="592"/>
      <c r="P542" s="592"/>
      <c r="Q542" s="592"/>
      <c r="R542" s="592"/>
      <c r="S542" s="592"/>
      <c r="T542" s="592"/>
      <c r="U542" s="12"/>
      <c r="V542" s="12"/>
      <c r="W542" s="12"/>
      <c r="X542" s="12"/>
      <c r="Y542" s="12"/>
      <c r="Z542" s="12"/>
      <c r="AA542" s="12"/>
      <c r="AB542" s="12"/>
      <c r="AC542" s="12"/>
    </row>
    <row r="543" spans="1:29" ht="12.75" customHeight="1">
      <c r="A543" s="12"/>
      <c r="B543" s="12"/>
      <c r="C543" s="12"/>
      <c r="D543" s="12"/>
      <c r="E543" s="12"/>
      <c r="F543" s="12"/>
      <c r="G543" s="12"/>
      <c r="H543" s="592"/>
      <c r="I543" s="592"/>
      <c r="J543" s="592"/>
      <c r="K543" s="592"/>
      <c r="L543" s="592"/>
      <c r="M543" s="592"/>
      <c r="N543" s="592"/>
      <c r="O543" s="592"/>
      <c r="P543" s="592"/>
      <c r="Q543" s="592"/>
      <c r="R543" s="592"/>
      <c r="S543" s="592"/>
      <c r="T543" s="592"/>
      <c r="U543" s="12"/>
      <c r="V543" s="12"/>
      <c r="W543" s="12"/>
      <c r="X543" s="12"/>
      <c r="Y543" s="12"/>
      <c r="Z543" s="12"/>
      <c r="AA543" s="12"/>
      <c r="AB543" s="12"/>
      <c r="AC543" s="12"/>
    </row>
    <row r="544" spans="1:29" ht="12.75" customHeight="1">
      <c r="A544" s="12"/>
      <c r="B544" s="12"/>
      <c r="C544" s="12"/>
      <c r="D544" s="12"/>
      <c r="E544" s="12"/>
      <c r="F544" s="12"/>
      <c r="G544" s="12"/>
      <c r="H544" s="592"/>
      <c r="I544" s="592"/>
      <c r="J544" s="592"/>
      <c r="K544" s="592"/>
      <c r="L544" s="592"/>
      <c r="M544" s="592"/>
      <c r="N544" s="592"/>
      <c r="O544" s="592"/>
      <c r="P544" s="592"/>
      <c r="Q544" s="592"/>
      <c r="R544" s="592"/>
      <c r="S544" s="592"/>
      <c r="T544" s="592"/>
      <c r="U544" s="12"/>
      <c r="V544" s="12"/>
      <c r="W544" s="12"/>
      <c r="X544" s="12"/>
      <c r="Y544" s="12"/>
      <c r="Z544" s="12"/>
      <c r="AA544" s="12"/>
      <c r="AB544" s="12"/>
      <c r="AC544" s="12"/>
    </row>
    <row r="545" spans="1:29" ht="12.75" customHeight="1">
      <c r="A545" s="12"/>
      <c r="B545" s="12"/>
      <c r="C545" s="12"/>
      <c r="D545" s="12"/>
      <c r="E545" s="12"/>
      <c r="F545" s="12"/>
      <c r="G545" s="12"/>
      <c r="H545" s="592"/>
      <c r="I545" s="592"/>
      <c r="J545" s="592"/>
      <c r="K545" s="592"/>
      <c r="L545" s="592"/>
      <c r="M545" s="592"/>
      <c r="N545" s="592"/>
      <c r="O545" s="592"/>
      <c r="P545" s="592"/>
      <c r="Q545" s="592"/>
      <c r="R545" s="592"/>
      <c r="S545" s="592"/>
      <c r="T545" s="592"/>
      <c r="U545" s="12"/>
      <c r="V545" s="12"/>
      <c r="W545" s="12"/>
      <c r="X545" s="12"/>
      <c r="Y545" s="12"/>
      <c r="Z545" s="12"/>
      <c r="AA545" s="12"/>
      <c r="AB545" s="12"/>
      <c r="AC545" s="12"/>
    </row>
    <row r="546" spans="1:29" ht="12.75" customHeight="1">
      <c r="A546" s="12"/>
      <c r="B546" s="12"/>
      <c r="C546" s="12"/>
      <c r="D546" s="12"/>
      <c r="E546" s="12"/>
      <c r="F546" s="12"/>
      <c r="G546" s="12"/>
      <c r="H546" s="592"/>
      <c r="I546" s="592"/>
      <c r="J546" s="592"/>
      <c r="K546" s="592"/>
      <c r="L546" s="592"/>
      <c r="M546" s="592"/>
      <c r="N546" s="592"/>
      <c r="O546" s="592"/>
      <c r="P546" s="592"/>
      <c r="Q546" s="592"/>
      <c r="R546" s="592"/>
      <c r="S546" s="592"/>
      <c r="T546" s="592"/>
      <c r="U546" s="12"/>
      <c r="V546" s="12"/>
      <c r="W546" s="12"/>
      <c r="X546" s="12"/>
      <c r="Y546" s="12"/>
      <c r="Z546" s="12"/>
      <c r="AA546" s="12"/>
      <c r="AB546" s="12"/>
      <c r="AC546" s="12"/>
    </row>
    <row r="547" spans="1:29" ht="12.75" customHeight="1">
      <c r="A547" s="12"/>
      <c r="B547" s="12"/>
      <c r="C547" s="12"/>
      <c r="D547" s="12"/>
      <c r="E547" s="12"/>
      <c r="F547" s="12"/>
      <c r="G547" s="12"/>
      <c r="H547" s="592"/>
      <c r="I547" s="592"/>
      <c r="J547" s="592"/>
      <c r="K547" s="592"/>
      <c r="L547" s="592"/>
      <c r="M547" s="592"/>
      <c r="N547" s="592"/>
      <c r="O547" s="592"/>
      <c r="P547" s="592"/>
      <c r="Q547" s="592"/>
      <c r="R547" s="592"/>
      <c r="S547" s="592"/>
      <c r="T547" s="592"/>
      <c r="U547" s="12"/>
      <c r="V547" s="12"/>
      <c r="W547" s="12"/>
      <c r="X547" s="12"/>
      <c r="Y547" s="12"/>
      <c r="Z547" s="12"/>
      <c r="AA547" s="12"/>
      <c r="AB547" s="12"/>
      <c r="AC547" s="12"/>
    </row>
    <row r="548" spans="1:29" ht="12.75" customHeight="1">
      <c r="A548" s="12"/>
      <c r="B548" s="12"/>
      <c r="C548" s="12"/>
      <c r="D548" s="12"/>
      <c r="E548" s="12"/>
      <c r="F548" s="12"/>
      <c r="G548" s="12"/>
      <c r="H548" s="592"/>
      <c r="I548" s="592"/>
      <c r="J548" s="592"/>
      <c r="K548" s="592"/>
      <c r="L548" s="592"/>
      <c r="M548" s="592"/>
      <c r="N548" s="592"/>
      <c r="O548" s="592"/>
      <c r="P548" s="592"/>
      <c r="Q548" s="592"/>
      <c r="R548" s="592"/>
      <c r="S548" s="592"/>
      <c r="T548" s="592"/>
      <c r="U548" s="12"/>
      <c r="V548" s="12"/>
      <c r="W548" s="12"/>
      <c r="X548" s="12"/>
      <c r="Y548" s="12"/>
      <c r="Z548" s="12"/>
      <c r="AA548" s="12"/>
      <c r="AB548" s="12"/>
      <c r="AC548" s="12"/>
    </row>
    <row r="549" spans="1:29" ht="12.75" customHeight="1">
      <c r="A549" s="12"/>
      <c r="B549" s="12"/>
      <c r="C549" s="12"/>
      <c r="D549" s="12"/>
      <c r="E549" s="12"/>
      <c r="F549" s="12"/>
      <c r="G549" s="12"/>
      <c r="H549" s="592"/>
      <c r="I549" s="592"/>
      <c r="J549" s="592"/>
      <c r="K549" s="592"/>
      <c r="L549" s="592"/>
      <c r="M549" s="592"/>
      <c r="N549" s="592"/>
      <c r="O549" s="592"/>
      <c r="P549" s="592"/>
      <c r="Q549" s="592"/>
      <c r="R549" s="592"/>
      <c r="S549" s="592"/>
      <c r="T549" s="592"/>
      <c r="U549" s="12"/>
      <c r="V549" s="12"/>
      <c r="W549" s="12"/>
      <c r="X549" s="12"/>
      <c r="Y549" s="12"/>
      <c r="Z549" s="12"/>
      <c r="AA549" s="12"/>
      <c r="AB549" s="12"/>
      <c r="AC549" s="12"/>
    </row>
    <row r="550" spans="1:29" ht="12.75" customHeight="1">
      <c r="A550" s="12"/>
      <c r="B550" s="12"/>
      <c r="C550" s="12"/>
      <c r="D550" s="12"/>
      <c r="E550" s="12"/>
      <c r="F550" s="12"/>
      <c r="G550" s="12"/>
      <c r="H550" s="592"/>
      <c r="I550" s="592"/>
      <c r="J550" s="592"/>
      <c r="K550" s="592"/>
      <c r="L550" s="592"/>
      <c r="M550" s="592"/>
      <c r="N550" s="592"/>
      <c r="O550" s="592"/>
      <c r="P550" s="592"/>
      <c r="Q550" s="592"/>
      <c r="R550" s="592"/>
      <c r="S550" s="592"/>
      <c r="T550" s="592"/>
      <c r="U550" s="12"/>
      <c r="V550" s="12"/>
      <c r="W550" s="12"/>
      <c r="X550" s="12"/>
      <c r="Y550" s="12"/>
      <c r="Z550" s="12"/>
      <c r="AA550" s="12"/>
      <c r="AB550" s="12"/>
      <c r="AC550" s="12"/>
    </row>
    <row r="551" spans="1:29" ht="12.75" customHeight="1">
      <c r="A551" s="12"/>
      <c r="B551" s="12"/>
      <c r="C551" s="12"/>
      <c r="D551" s="12"/>
      <c r="E551" s="12"/>
      <c r="F551" s="12"/>
      <c r="G551" s="12"/>
      <c r="H551" s="592"/>
      <c r="I551" s="592"/>
      <c r="J551" s="592"/>
      <c r="K551" s="592"/>
      <c r="L551" s="592"/>
      <c r="M551" s="592"/>
      <c r="N551" s="592"/>
      <c r="O551" s="592"/>
      <c r="P551" s="592"/>
      <c r="Q551" s="592"/>
      <c r="R551" s="592"/>
      <c r="S551" s="592"/>
      <c r="T551" s="592"/>
      <c r="U551" s="12"/>
      <c r="V551" s="12"/>
      <c r="W551" s="12"/>
      <c r="X551" s="12"/>
      <c r="Y551" s="12"/>
      <c r="Z551" s="12"/>
      <c r="AA551" s="12"/>
      <c r="AB551" s="12"/>
      <c r="AC551" s="12"/>
    </row>
    <row r="552" spans="1:29" ht="12.75" customHeight="1">
      <c r="A552" s="12"/>
      <c r="B552" s="12"/>
      <c r="C552" s="12"/>
      <c r="D552" s="12"/>
      <c r="E552" s="12"/>
      <c r="F552" s="12"/>
      <c r="G552" s="12"/>
      <c r="H552" s="592"/>
      <c r="I552" s="592"/>
      <c r="J552" s="592"/>
      <c r="K552" s="592"/>
      <c r="L552" s="592"/>
      <c r="M552" s="592"/>
      <c r="N552" s="592"/>
      <c r="O552" s="592"/>
      <c r="P552" s="592"/>
      <c r="Q552" s="592"/>
      <c r="R552" s="592"/>
      <c r="S552" s="592"/>
      <c r="T552" s="592"/>
      <c r="U552" s="12"/>
      <c r="V552" s="12"/>
      <c r="W552" s="12"/>
      <c r="X552" s="12"/>
      <c r="Y552" s="12"/>
      <c r="Z552" s="12"/>
      <c r="AA552" s="12"/>
      <c r="AB552" s="12"/>
      <c r="AC552" s="12"/>
    </row>
    <row r="553" spans="1:29" ht="12.75" customHeight="1">
      <c r="A553" s="12"/>
      <c r="B553" s="12"/>
      <c r="C553" s="12"/>
      <c r="D553" s="12"/>
      <c r="E553" s="12"/>
      <c r="F553" s="12"/>
      <c r="G553" s="12"/>
      <c r="H553" s="592"/>
      <c r="I553" s="592"/>
      <c r="J553" s="592"/>
      <c r="K553" s="592"/>
      <c r="L553" s="592"/>
      <c r="M553" s="592"/>
      <c r="N553" s="592"/>
      <c r="O553" s="592"/>
      <c r="P553" s="592"/>
      <c r="Q553" s="592"/>
      <c r="R553" s="592"/>
      <c r="S553" s="592"/>
      <c r="T553" s="592"/>
      <c r="U553" s="12"/>
      <c r="V553" s="12"/>
      <c r="W553" s="12"/>
      <c r="X553" s="12"/>
      <c r="Y553" s="12"/>
      <c r="Z553" s="12"/>
      <c r="AA553" s="12"/>
      <c r="AB553" s="12"/>
      <c r="AC553" s="12"/>
    </row>
    <row r="554" spans="1:29" ht="12.75" customHeight="1">
      <c r="A554" s="12"/>
      <c r="B554" s="12"/>
      <c r="C554" s="12"/>
      <c r="D554" s="12"/>
      <c r="E554" s="12"/>
      <c r="F554" s="12"/>
      <c r="G554" s="12"/>
      <c r="H554" s="592"/>
      <c r="I554" s="592"/>
      <c r="J554" s="592"/>
      <c r="K554" s="592"/>
      <c r="L554" s="592"/>
      <c r="M554" s="592"/>
      <c r="N554" s="592"/>
      <c r="O554" s="592"/>
      <c r="P554" s="592"/>
      <c r="Q554" s="592"/>
      <c r="R554" s="592"/>
      <c r="S554" s="592"/>
      <c r="T554" s="592"/>
      <c r="U554" s="12"/>
      <c r="V554" s="12"/>
      <c r="W554" s="12"/>
      <c r="X554" s="12"/>
      <c r="Y554" s="12"/>
      <c r="Z554" s="12"/>
      <c r="AA554" s="12"/>
      <c r="AB554" s="12"/>
      <c r="AC554" s="12"/>
    </row>
    <row r="555" spans="1:29" ht="12.75" customHeight="1">
      <c r="A555" s="12"/>
      <c r="B555" s="12"/>
      <c r="C555" s="12"/>
      <c r="D555" s="12"/>
      <c r="E555" s="12"/>
      <c r="F555" s="12"/>
      <c r="G555" s="12"/>
      <c r="H555" s="592"/>
      <c r="I555" s="592"/>
      <c r="J555" s="592"/>
      <c r="K555" s="592"/>
      <c r="L555" s="592"/>
      <c r="M555" s="592"/>
      <c r="N555" s="592"/>
      <c r="O555" s="592"/>
      <c r="P555" s="592"/>
      <c r="Q555" s="592"/>
      <c r="R555" s="592"/>
      <c r="S555" s="592"/>
      <c r="T555" s="592"/>
      <c r="U555" s="12"/>
      <c r="V555" s="12"/>
      <c r="W555" s="12"/>
      <c r="X555" s="12"/>
      <c r="Y555" s="12"/>
      <c r="Z555" s="12"/>
      <c r="AA555" s="12"/>
      <c r="AB555" s="12"/>
      <c r="AC555" s="12"/>
    </row>
    <row r="556" spans="1:29" ht="12.75" customHeight="1">
      <c r="A556" s="12"/>
      <c r="B556" s="12"/>
      <c r="C556" s="12"/>
      <c r="D556" s="12"/>
      <c r="E556" s="12"/>
      <c r="F556" s="12"/>
      <c r="G556" s="12"/>
      <c r="H556" s="592"/>
      <c r="I556" s="592"/>
      <c r="J556" s="592"/>
      <c r="K556" s="592"/>
      <c r="L556" s="592"/>
      <c r="M556" s="592"/>
      <c r="N556" s="592"/>
      <c r="O556" s="592"/>
      <c r="P556" s="592"/>
      <c r="Q556" s="592"/>
      <c r="R556" s="592"/>
      <c r="S556" s="592"/>
      <c r="T556" s="592"/>
      <c r="U556" s="12"/>
      <c r="V556" s="12"/>
      <c r="W556" s="12"/>
      <c r="X556" s="12"/>
      <c r="Y556" s="12"/>
      <c r="Z556" s="12"/>
      <c r="AA556" s="12"/>
      <c r="AB556" s="12"/>
      <c r="AC556" s="12"/>
    </row>
    <row r="557" spans="1:29" ht="12.75" customHeight="1">
      <c r="A557" s="12"/>
      <c r="B557" s="12"/>
      <c r="C557" s="12"/>
      <c r="D557" s="12"/>
      <c r="E557" s="12"/>
      <c r="F557" s="12"/>
      <c r="G557" s="12"/>
      <c r="H557" s="592"/>
      <c r="I557" s="592"/>
      <c r="J557" s="592"/>
      <c r="K557" s="592"/>
      <c r="L557" s="592"/>
      <c r="M557" s="592"/>
      <c r="N557" s="592"/>
      <c r="O557" s="592"/>
      <c r="P557" s="592"/>
      <c r="Q557" s="592"/>
      <c r="R557" s="592"/>
      <c r="S557" s="592"/>
      <c r="T557" s="592"/>
      <c r="U557" s="12"/>
      <c r="V557" s="12"/>
      <c r="W557" s="12"/>
      <c r="X557" s="12"/>
      <c r="Y557" s="12"/>
      <c r="Z557" s="12"/>
      <c r="AA557" s="12"/>
      <c r="AB557" s="12"/>
      <c r="AC557" s="12"/>
    </row>
    <row r="558" spans="1:29" ht="12.75" customHeight="1">
      <c r="A558" s="12"/>
      <c r="B558" s="12"/>
      <c r="C558" s="12"/>
      <c r="D558" s="12"/>
      <c r="E558" s="12"/>
      <c r="F558" s="12"/>
      <c r="G558" s="12"/>
      <c r="H558" s="592"/>
      <c r="I558" s="592"/>
      <c r="J558" s="592"/>
      <c r="K558" s="592"/>
      <c r="L558" s="592"/>
      <c r="M558" s="592"/>
      <c r="N558" s="592"/>
      <c r="O558" s="592"/>
      <c r="P558" s="592"/>
      <c r="Q558" s="592"/>
      <c r="R558" s="592"/>
      <c r="S558" s="592"/>
      <c r="T558" s="592"/>
      <c r="U558" s="12"/>
      <c r="V558" s="12"/>
      <c r="W558" s="12"/>
      <c r="X558" s="12"/>
      <c r="Y558" s="12"/>
      <c r="Z558" s="12"/>
      <c r="AA558" s="12"/>
      <c r="AB558" s="12"/>
      <c r="AC558" s="12"/>
    </row>
    <row r="559" spans="1:29" ht="12.75" customHeight="1">
      <c r="A559" s="12"/>
      <c r="B559" s="12"/>
      <c r="C559" s="12"/>
      <c r="D559" s="12"/>
      <c r="E559" s="12"/>
      <c r="F559" s="12"/>
      <c r="G559" s="12"/>
      <c r="H559" s="592"/>
      <c r="I559" s="592"/>
      <c r="J559" s="592"/>
      <c r="K559" s="592"/>
      <c r="L559" s="592"/>
      <c r="M559" s="592"/>
      <c r="N559" s="592"/>
      <c r="O559" s="592"/>
      <c r="P559" s="592"/>
      <c r="Q559" s="592"/>
      <c r="R559" s="592"/>
      <c r="S559" s="592"/>
      <c r="T559" s="592"/>
      <c r="U559" s="12"/>
      <c r="V559" s="12"/>
      <c r="W559" s="12"/>
      <c r="X559" s="12"/>
      <c r="Y559" s="12"/>
      <c r="Z559" s="12"/>
      <c r="AA559" s="12"/>
      <c r="AB559" s="12"/>
      <c r="AC559" s="12"/>
    </row>
    <row r="560" spans="1:29" ht="12.75" customHeight="1">
      <c r="A560" s="12"/>
      <c r="B560" s="12"/>
      <c r="C560" s="12"/>
      <c r="D560" s="12"/>
      <c r="E560" s="12"/>
      <c r="F560" s="12"/>
      <c r="G560" s="12"/>
      <c r="H560" s="592"/>
      <c r="I560" s="592"/>
      <c r="J560" s="592"/>
      <c r="K560" s="592"/>
      <c r="L560" s="592"/>
      <c r="M560" s="592"/>
      <c r="N560" s="592"/>
      <c r="O560" s="592"/>
      <c r="P560" s="592"/>
      <c r="Q560" s="592"/>
      <c r="R560" s="592"/>
      <c r="S560" s="592"/>
      <c r="T560" s="592"/>
      <c r="U560" s="12"/>
      <c r="V560" s="12"/>
      <c r="W560" s="12"/>
      <c r="X560" s="12"/>
      <c r="Y560" s="12"/>
      <c r="Z560" s="12"/>
      <c r="AA560" s="12"/>
      <c r="AB560" s="12"/>
      <c r="AC560" s="12"/>
    </row>
    <row r="561" spans="1:29" ht="12.75" customHeight="1">
      <c r="A561" s="12"/>
      <c r="B561" s="12"/>
      <c r="C561" s="12"/>
      <c r="D561" s="12"/>
      <c r="E561" s="12"/>
      <c r="F561" s="12"/>
      <c r="G561" s="12"/>
      <c r="H561" s="592"/>
      <c r="I561" s="592"/>
      <c r="J561" s="592"/>
      <c r="K561" s="592"/>
      <c r="L561" s="592"/>
      <c r="M561" s="592"/>
      <c r="N561" s="592"/>
      <c r="O561" s="592"/>
      <c r="P561" s="592"/>
      <c r="Q561" s="592"/>
      <c r="R561" s="592"/>
      <c r="S561" s="592"/>
      <c r="T561" s="592"/>
      <c r="U561" s="12"/>
      <c r="V561" s="12"/>
      <c r="W561" s="12"/>
      <c r="X561" s="12"/>
      <c r="Y561" s="12"/>
      <c r="Z561" s="12"/>
      <c r="AA561" s="12"/>
      <c r="AB561" s="12"/>
      <c r="AC561" s="12"/>
    </row>
    <row r="562" spans="1:29" ht="12.75" customHeight="1">
      <c r="A562" s="12"/>
      <c r="B562" s="12"/>
      <c r="C562" s="12"/>
      <c r="D562" s="12"/>
      <c r="E562" s="12"/>
      <c r="F562" s="12"/>
      <c r="G562" s="12"/>
      <c r="H562" s="592"/>
      <c r="I562" s="592"/>
      <c r="J562" s="592"/>
      <c r="K562" s="592"/>
      <c r="L562" s="592"/>
      <c r="M562" s="592"/>
      <c r="N562" s="592"/>
      <c r="O562" s="592"/>
      <c r="P562" s="592"/>
      <c r="Q562" s="592"/>
      <c r="R562" s="592"/>
      <c r="S562" s="592"/>
      <c r="T562" s="592"/>
      <c r="U562" s="12"/>
      <c r="V562" s="12"/>
      <c r="W562" s="12"/>
      <c r="X562" s="12"/>
      <c r="Y562" s="12"/>
      <c r="Z562" s="12"/>
      <c r="AA562" s="12"/>
      <c r="AB562" s="12"/>
      <c r="AC562" s="12"/>
    </row>
    <row r="563" spans="1:29" ht="12.75" customHeight="1">
      <c r="A563" s="12"/>
      <c r="B563" s="12"/>
      <c r="C563" s="12"/>
      <c r="D563" s="12"/>
      <c r="E563" s="12"/>
      <c r="F563" s="12"/>
      <c r="G563" s="12"/>
      <c r="H563" s="592"/>
      <c r="I563" s="592"/>
      <c r="J563" s="592"/>
      <c r="K563" s="592"/>
      <c r="L563" s="592"/>
      <c r="M563" s="592"/>
      <c r="N563" s="592"/>
      <c r="O563" s="592"/>
      <c r="P563" s="592"/>
      <c r="Q563" s="592"/>
      <c r="R563" s="592"/>
      <c r="S563" s="592"/>
      <c r="T563" s="592"/>
      <c r="U563" s="12"/>
      <c r="V563" s="12"/>
      <c r="W563" s="12"/>
      <c r="X563" s="12"/>
      <c r="Y563" s="12"/>
      <c r="Z563" s="12"/>
      <c r="AA563" s="12"/>
      <c r="AB563" s="12"/>
      <c r="AC563" s="12"/>
    </row>
    <row r="564" spans="1:29" ht="12.75" customHeight="1">
      <c r="A564" s="12"/>
      <c r="B564" s="12"/>
      <c r="C564" s="12"/>
      <c r="D564" s="12"/>
      <c r="E564" s="12"/>
      <c r="F564" s="12"/>
      <c r="G564" s="12"/>
      <c r="H564" s="592"/>
      <c r="I564" s="592"/>
      <c r="J564" s="592"/>
      <c r="K564" s="592"/>
      <c r="L564" s="592"/>
      <c r="M564" s="592"/>
      <c r="N564" s="592"/>
      <c r="O564" s="592"/>
      <c r="P564" s="592"/>
      <c r="Q564" s="592"/>
      <c r="R564" s="592"/>
      <c r="S564" s="592"/>
      <c r="T564" s="592"/>
      <c r="U564" s="12"/>
      <c r="V564" s="12"/>
      <c r="W564" s="12"/>
      <c r="X564" s="12"/>
      <c r="Y564" s="12"/>
      <c r="Z564" s="12"/>
      <c r="AA564" s="12"/>
      <c r="AB564" s="12"/>
      <c r="AC564" s="12"/>
    </row>
    <row r="565" spans="1:29" ht="12.75" customHeight="1">
      <c r="A565" s="12"/>
      <c r="B565" s="12"/>
      <c r="C565" s="12"/>
      <c r="D565" s="12"/>
      <c r="E565" s="12"/>
      <c r="F565" s="12"/>
      <c r="G565" s="12"/>
      <c r="H565" s="592"/>
      <c r="I565" s="592"/>
      <c r="J565" s="592"/>
      <c r="K565" s="592"/>
      <c r="L565" s="592"/>
      <c r="M565" s="592"/>
      <c r="N565" s="592"/>
      <c r="O565" s="592"/>
      <c r="P565" s="592"/>
      <c r="Q565" s="592"/>
      <c r="R565" s="592"/>
      <c r="S565" s="592"/>
      <c r="T565" s="592"/>
      <c r="U565" s="12"/>
      <c r="V565" s="12"/>
      <c r="W565" s="12"/>
      <c r="X565" s="12"/>
      <c r="Y565" s="12"/>
      <c r="Z565" s="12"/>
      <c r="AA565" s="12"/>
      <c r="AB565" s="12"/>
      <c r="AC565" s="12"/>
    </row>
    <row r="566" spans="1:29" ht="12.75" customHeight="1">
      <c r="A566" s="12"/>
      <c r="B566" s="12"/>
      <c r="C566" s="12"/>
      <c r="D566" s="12"/>
      <c r="E566" s="12"/>
      <c r="F566" s="12"/>
      <c r="G566" s="12"/>
      <c r="H566" s="592"/>
      <c r="I566" s="592"/>
      <c r="J566" s="592"/>
      <c r="K566" s="592"/>
      <c r="L566" s="592"/>
      <c r="M566" s="592"/>
      <c r="N566" s="592"/>
      <c r="O566" s="592"/>
      <c r="P566" s="592"/>
      <c r="Q566" s="592"/>
      <c r="R566" s="592"/>
      <c r="S566" s="592"/>
      <c r="T566" s="592"/>
      <c r="U566" s="12"/>
      <c r="V566" s="12"/>
      <c r="W566" s="12"/>
      <c r="X566" s="12"/>
      <c r="Y566" s="12"/>
      <c r="Z566" s="12"/>
      <c r="AA566" s="12"/>
      <c r="AB566" s="12"/>
      <c r="AC566" s="12"/>
    </row>
    <row r="567" spans="1:29" ht="12.75" customHeight="1">
      <c r="A567" s="12"/>
      <c r="B567" s="12"/>
      <c r="C567" s="12"/>
      <c r="D567" s="12"/>
      <c r="E567" s="12"/>
      <c r="F567" s="12"/>
      <c r="G567" s="12"/>
      <c r="H567" s="592"/>
      <c r="I567" s="592"/>
      <c r="J567" s="592"/>
      <c r="K567" s="592"/>
      <c r="L567" s="592"/>
      <c r="M567" s="592"/>
      <c r="N567" s="592"/>
      <c r="O567" s="592"/>
      <c r="P567" s="592"/>
      <c r="Q567" s="592"/>
      <c r="R567" s="592"/>
      <c r="S567" s="592"/>
      <c r="T567" s="592"/>
      <c r="U567" s="12"/>
      <c r="V567" s="12"/>
      <c r="W567" s="12"/>
      <c r="X567" s="12"/>
      <c r="Y567" s="12"/>
      <c r="Z567" s="12"/>
      <c r="AA567" s="12"/>
      <c r="AB567" s="12"/>
      <c r="AC567" s="12"/>
    </row>
    <row r="568" spans="1:29" ht="12.75" customHeight="1">
      <c r="A568" s="12"/>
      <c r="B568" s="12"/>
      <c r="C568" s="12"/>
      <c r="D568" s="12"/>
      <c r="E568" s="12"/>
      <c r="F568" s="12"/>
      <c r="G568" s="12"/>
      <c r="H568" s="592"/>
      <c r="I568" s="592"/>
      <c r="J568" s="592"/>
      <c r="K568" s="592"/>
      <c r="L568" s="592"/>
      <c r="M568" s="592"/>
      <c r="N568" s="592"/>
      <c r="O568" s="592"/>
      <c r="P568" s="592"/>
      <c r="Q568" s="592"/>
      <c r="R568" s="592"/>
      <c r="S568" s="592"/>
      <c r="T568" s="592"/>
      <c r="U568" s="12"/>
      <c r="V568" s="12"/>
      <c r="W568" s="12"/>
      <c r="X568" s="12"/>
      <c r="Y568" s="12"/>
      <c r="Z568" s="12"/>
      <c r="AA568" s="12"/>
      <c r="AB568" s="12"/>
      <c r="AC568" s="12"/>
    </row>
    <row r="569" spans="1:29" ht="12.75" customHeight="1">
      <c r="A569" s="12"/>
      <c r="B569" s="12"/>
      <c r="C569" s="12"/>
      <c r="D569" s="12"/>
      <c r="E569" s="12"/>
      <c r="F569" s="12"/>
      <c r="G569" s="12"/>
      <c r="H569" s="592"/>
      <c r="I569" s="592"/>
      <c r="J569" s="592"/>
      <c r="K569" s="592"/>
      <c r="L569" s="592"/>
      <c r="M569" s="592"/>
      <c r="N569" s="592"/>
      <c r="O569" s="592"/>
      <c r="P569" s="592"/>
      <c r="Q569" s="592"/>
      <c r="R569" s="592"/>
      <c r="S569" s="592"/>
      <c r="T569" s="592"/>
      <c r="U569" s="12"/>
      <c r="V569" s="12"/>
      <c r="W569" s="12"/>
      <c r="X569" s="12"/>
      <c r="Y569" s="12"/>
      <c r="Z569" s="12"/>
      <c r="AA569" s="12"/>
      <c r="AB569" s="12"/>
      <c r="AC569" s="12"/>
    </row>
    <row r="570" spans="1:29" ht="12.75" customHeight="1">
      <c r="A570" s="12"/>
      <c r="B570" s="12"/>
      <c r="C570" s="12"/>
      <c r="D570" s="12"/>
      <c r="E570" s="12"/>
      <c r="F570" s="12"/>
      <c r="G570" s="12"/>
      <c r="H570" s="592"/>
      <c r="I570" s="592"/>
      <c r="J570" s="592"/>
      <c r="K570" s="592"/>
      <c r="L570" s="592"/>
      <c r="M570" s="592"/>
      <c r="N570" s="592"/>
      <c r="O570" s="592"/>
      <c r="P570" s="592"/>
      <c r="Q570" s="592"/>
      <c r="R570" s="592"/>
      <c r="S570" s="592"/>
      <c r="T570" s="592"/>
      <c r="U570" s="12"/>
      <c r="V570" s="12"/>
      <c r="W570" s="12"/>
      <c r="X570" s="12"/>
      <c r="Y570" s="12"/>
      <c r="Z570" s="12"/>
      <c r="AA570" s="12"/>
      <c r="AB570" s="12"/>
      <c r="AC570" s="12"/>
    </row>
    <row r="571" spans="1:29" ht="12.75" customHeight="1">
      <c r="A571" s="12"/>
      <c r="B571" s="12"/>
      <c r="C571" s="12"/>
      <c r="D571" s="12"/>
      <c r="E571" s="12"/>
      <c r="F571" s="12"/>
      <c r="G571" s="12"/>
      <c r="H571" s="592"/>
      <c r="I571" s="592"/>
      <c r="J571" s="592"/>
      <c r="K571" s="592"/>
      <c r="L571" s="592"/>
      <c r="M571" s="592"/>
      <c r="N571" s="592"/>
      <c r="O571" s="592"/>
      <c r="P571" s="592"/>
      <c r="Q571" s="592"/>
      <c r="R571" s="592"/>
      <c r="S571" s="592"/>
      <c r="T571" s="592"/>
      <c r="U571" s="12"/>
      <c r="V571" s="12"/>
      <c r="W571" s="12"/>
      <c r="X571" s="12"/>
      <c r="Y571" s="12"/>
      <c r="Z571" s="12"/>
      <c r="AA571" s="12"/>
      <c r="AB571" s="12"/>
      <c r="AC571" s="12"/>
    </row>
    <row r="572" spans="1:29" ht="12.75" customHeight="1">
      <c r="A572" s="12"/>
      <c r="B572" s="12"/>
      <c r="C572" s="12"/>
      <c r="D572" s="12"/>
      <c r="E572" s="12"/>
      <c r="F572" s="12"/>
      <c r="G572" s="12"/>
      <c r="H572" s="592"/>
      <c r="I572" s="592"/>
      <c r="J572" s="592"/>
      <c r="K572" s="592"/>
      <c r="L572" s="592"/>
      <c r="M572" s="592"/>
      <c r="N572" s="592"/>
      <c r="O572" s="592"/>
      <c r="P572" s="592"/>
      <c r="Q572" s="592"/>
      <c r="R572" s="592"/>
      <c r="S572" s="592"/>
      <c r="T572" s="592"/>
      <c r="U572" s="12"/>
      <c r="V572" s="12"/>
      <c r="W572" s="12"/>
      <c r="X572" s="12"/>
      <c r="Y572" s="12"/>
      <c r="Z572" s="12"/>
      <c r="AA572" s="12"/>
      <c r="AB572" s="12"/>
      <c r="AC572" s="12"/>
    </row>
    <row r="573" spans="1:29" ht="12.75" customHeight="1">
      <c r="A573" s="12"/>
      <c r="B573" s="12"/>
      <c r="C573" s="12"/>
      <c r="D573" s="12"/>
      <c r="E573" s="12"/>
      <c r="F573" s="12"/>
      <c r="G573" s="12"/>
      <c r="H573" s="592"/>
      <c r="I573" s="592"/>
      <c r="J573" s="592"/>
      <c r="K573" s="592"/>
      <c r="L573" s="592"/>
      <c r="M573" s="592"/>
      <c r="N573" s="592"/>
      <c r="O573" s="592"/>
      <c r="P573" s="592"/>
      <c r="Q573" s="592"/>
      <c r="R573" s="592"/>
      <c r="S573" s="592"/>
      <c r="T573" s="592"/>
      <c r="U573" s="12"/>
      <c r="V573" s="12"/>
      <c r="W573" s="12"/>
      <c r="X573" s="12"/>
      <c r="Y573" s="12"/>
      <c r="Z573" s="12"/>
      <c r="AA573" s="12"/>
      <c r="AB573" s="12"/>
      <c r="AC573" s="12"/>
    </row>
    <row r="574" spans="1:29" ht="12.75" customHeight="1">
      <c r="A574" s="12"/>
      <c r="B574" s="12"/>
      <c r="C574" s="12"/>
      <c r="D574" s="12"/>
      <c r="E574" s="12"/>
      <c r="F574" s="12"/>
      <c r="G574" s="12"/>
      <c r="H574" s="592"/>
      <c r="I574" s="592"/>
      <c r="J574" s="592"/>
      <c r="K574" s="592"/>
      <c r="L574" s="592"/>
      <c r="M574" s="592"/>
      <c r="N574" s="592"/>
      <c r="O574" s="592"/>
      <c r="P574" s="592"/>
      <c r="Q574" s="592"/>
      <c r="R574" s="592"/>
      <c r="S574" s="592"/>
      <c r="T574" s="592"/>
      <c r="U574" s="12"/>
      <c r="V574" s="12"/>
      <c r="W574" s="12"/>
      <c r="X574" s="12"/>
      <c r="Y574" s="12"/>
      <c r="Z574" s="12"/>
      <c r="AA574" s="12"/>
      <c r="AB574" s="12"/>
      <c r="AC574" s="12"/>
    </row>
    <row r="575" spans="1:29" ht="12.75" customHeight="1">
      <c r="A575" s="12"/>
      <c r="B575" s="12"/>
      <c r="C575" s="12"/>
      <c r="D575" s="12"/>
      <c r="E575" s="12"/>
      <c r="F575" s="12"/>
      <c r="G575" s="12"/>
      <c r="H575" s="592"/>
      <c r="I575" s="592"/>
      <c r="J575" s="592"/>
      <c r="K575" s="592"/>
      <c r="L575" s="592"/>
      <c r="M575" s="592"/>
      <c r="N575" s="592"/>
      <c r="O575" s="592"/>
      <c r="P575" s="592"/>
      <c r="Q575" s="592"/>
      <c r="R575" s="592"/>
      <c r="S575" s="592"/>
      <c r="T575" s="592"/>
      <c r="U575" s="12"/>
      <c r="V575" s="12"/>
      <c r="W575" s="12"/>
      <c r="X575" s="12"/>
      <c r="Y575" s="12"/>
      <c r="Z575" s="12"/>
      <c r="AA575" s="12"/>
      <c r="AB575" s="12"/>
      <c r="AC575" s="12"/>
    </row>
    <row r="576" spans="1:29" ht="12.75" customHeight="1">
      <c r="A576" s="12"/>
      <c r="B576" s="12"/>
      <c r="C576" s="12"/>
      <c r="D576" s="12"/>
      <c r="E576" s="12"/>
      <c r="F576" s="12"/>
      <c r="G576" s="12"/>
      <c r="H576" s="592"/>
      <c r="I576" s="592"/>
      <c r="J576" s="592"/>
      <c r="K576" s="592"/>
      <c r="L576" s="592"/>
      <c r="M576" s="592"/>
      <c r="N576" s="592"/>
      <c r="O576" s="592"/>
      <c r="P576" s="592"/>
      <c r="Q576" s="592"/>
      <c r="R576" s="592"/>
      <c r="S576" s="592"/>
      <c r="T576" s="592"/>
      <c r="U576" s="12"/>
      <c r="V576" s="12"/>
      <c r="W576" s="12"/>
      <c r="X576" s="12"/>
      <c r="Y576" s="12"/>
      <c r="Z576" s="12"/>
      <c r="AA576" s="12"/>
      <c r="AB576" s="12"/>
      <c r="AC576" s="12"/>
    </row>
    <row r="577" spans="1:29" ht="12.75" customHeight="1">
      <c r="A577" s="12"/>
      <c r="B577" s="12"/>
      <c r="C577" s="12"/>
      <c r="D577" s="12"/>
      <c r="E577" s="12"/>
      <c r="F577" s="12"/>
      <c r="G577" s="12"/>
      <c r="H577" s="592"/>
      <c r="I577" s="592"/>
      <c r="J577" s="592"/>
      <c r="K577" s="592"/>
      <c r="L577" s="592"/>
      <c r="M577" s="592"/>
      <c r="N577" s="592"/>
      <c r="O577" s="592"/>
      <c r="P577" s="592"/>
      <c r="Q577" s="592"/>
      <c r="R577" s="592"/>
      <c r="S577" s="592"/>
      <c r="T577" s="592"/>
      <c r="U577" s="12"/>
      <c r="V577" s="12"/>
      <c r="W577" s="12"/>
      <c r="X577" s="12"/>
      <c r="Y577" s="12"/>
      <c r="Z577" s="12"/>
      <c r="AA577" s="12"/>
      <c r="AB577" s="12"/>
      <c r="AC577" s="12"/>
    </row>
    <row r="578" spans="1:29" ht="12.75" customHeight="1">
      <c r="A578" s="12"/>
      <c r="B578" s="12"/>
      <c r="C578" s="12"/>
      <c r="D578" s="12"/>
      <c r="E578" s="12"/>
      <c r="F578" s="12"/>
      <c r="G578" s="12"/>
      <c r="H578" s="592"/>
      <c r="I578" s="592"/>
      <c r="J578" s="592"/>
      <c r="K578" s="592"/>
      <c r="L578" s="592"/>
      <c r="M578" s="592"/>
      <c r="N578" s="592"/>
      <c r="O578" s="592"/>
      <c r="P578" s="592"/>
      <c r="Q578" s="592"/>
      <c r="R578" s="592"/>
      <c r="S578" s="592"/>
      <c r="T578" s="592"/>
      <c r="U578" s="12"/>
      <c r="V578" s="12"/>
      <c r="W578" s="12"/>
      <c r="X578" s="12"/>
      <c r="Y578" s="12"/>
      <c r="Z578" s="12"/>
      <c r="AA578" s="12"/>
      <c r="AB578" s="12"/>
      <c r="AC578" s="12"/>
    </row>
    <row r="579" spans="1:29" ht="12.75" customHeight="1">
      <c r="A579" s="12"/>
      <c r="B579" s="12"/>
      <c r="C579" s="12"/>
      <c r="D579" s="12"/>
      <c r="E579" s="12"/>
      <c r="F579" s="12"/>
      <c r="G579" s="12"/>
      <c r="H579" s="592"/>
      <c r="I579" s="592"/>
      <c r="J579" s="592"/>
      <c r="K579" s="592"/>
      <c r="L579" s="592"/>
      <c r="M579" s="592"/>
      <c r="N579" s="592"/>
      <c r="O579" s="592"/>
      <c r="P579" s="592"/>
      <c r="Q579" s="592"/>
      <c r="R579" s="592"/>
      <c r="S579" s="592"/>
      <c r="T579" s="592"/>
      <c r="U579" s="12"/>
      <c r="V579" s="12"/>
      <c r="W579" s="12"/>
      <c r="X579" s="12"/>
      <c r="Y579" s="12"/>
      <c r="Z579" s="12"/>
      <c r="AA579" s="12"/>
      <c r="AB579" s="12"/>
      <c r="AC579" s="12"/>
    </row>
    <row r="580" spans="1:29" ht="12.75" customHeight="1">
      <c r="A580" s="12"/>
      <c r="B580" s="12"/>
      <c r="C580" s="12"/>
      <c r="D580" s="12"/>
      <c r="E580" s="12"/>
      <c r="F580" s="12"/>
      <c r="G580" s="12"/>
      <c r="H580" s="592"/>
      <c r="I580" s="592"/>
      <c r="J580" s="592"/>
      <c r="K580" s="592"/>
      <c r="L580" s="592"/>
      <c r="M580" s="592"/>
      <c r="N580" s="592"/>
      <c r="O580" s="592"/>
      <c r="P580" s="592"/>
      <c r="Q580" s="592"/>
      <c r="R580" s="592"/>
      <c r="S580" s="592"/>
      <c r="T580" s="592"/>
      <c r="U580" s="12"/>
      <c r="V580" s="12"/>
      <c r="W580" s="12"/>
      <c r="X580" s="12"/>
      <c r="Y580" s="12"/>
      <c r="Z580" s="12"/>
      <c r="AA580" s="12"/>
      <c r="AB580" s="12"/>
      <c r="AC580" s="12"/>
    </row>
    <row r="581" spans="1:29" ht="12.75" customHeight="1">
      <c r="A581" s="12"/>
      <c r="B581" s="12"/>
      <c r="C581" s="12"/>
      <c r="D581" s="12"/>
      <c r="E581" s="12"/>
      <c r="F581" s="12"/>
      <c r="G581" s="12"/>
      <c r="H581" s="592"/>
      <c r="I581" s="592"/>
      <c r="J581" s="592"/>
      <c r="K581" s="592"/>
      <c r="L581" s="592"/>
      <c r="M581" s="592"/>
      <c r="N581" s="592"/>
      <c r="O581" s="592"/>
      <c r="P581" s="592"/>
      <c r="Q581" s="592"/>
      <c r="R581" s="592"/>
      <c r="S581" s="592"/>
      <c r="T581" s="592"/>
      <c r="U581" s="12"/>
      <c r="V581" s="12"/>
      <c r="W581" s="12"/>
      <c r="X581" s="12"/>
      <c r="Y581" s="12"/>
      <c r="Z581" s="12"/>
      <c r="AA581" s="12"/>
      <c r="AB581" s="12"/>
      <c r="AC581" s="12"/>
    </row>
    <row r="582" spans="1:29" ht="12.75" customHeight="1">
      <c r="A582" s="12"/>
      <c r="B582" s="12"/>
      <c r="C582" s="12"/>
      <c r="D582" s="12"/>
      <c r="E582" s="12"/>
      <c r="F582" s="12"/>
      <c r="G582" s="12"/>
      <c r="H582" s="592"/>
      <c r="I582" s="592"/>
      <c r="J582" s="592"/>
      <c r="K582" s="592"/>
      <c r="L582" s="592"/>
      <c r="M582" s="592"/>
      <c r="N582" s="592"/>
      <c r="O582" s="592"/>
      <c r="P582" s="592"/>
      <c r="Q582" s="592"/>
      <c r="R582" s="592"/>
      <c r="S582" s="592"/>
      <c r="T582" s="592"/>
      <c r="U582" s="12"/>
      <c r="V582" s="12"/>
      <c r="W582" s="12"/>
      <c r="X582" s="12"/>
      <c r="Y582" s="12"/>
      <c r="Z582" s="12"/>
      <c r="AA582" s="12"/>
      <c r="AB582" s="12"/>
      <c r="AC582" s="12"/>
    </row>
    <row r="583" spans="1:29" ht="12.75" customHeight="1">
      <c r="A583" s="12"/>
      <c r="B583" s="12"/>
      <c r="C583" s="12"/>
      <c r="D583" s="12"/>
      <c r="E583" s="12"/>
      <c r="F583" s="12"/>
      <c r="G583" s="12"/>
      <c r="H583" s="592"/>
      <c r="I583" s="592"/>
      <c r="J583" s="592"/>
      <c r="K583" s="592"/>
      <c r="L583" s="592"/>
      <c r="M583" s="592"/>
      <c r="N583" s="592"/>
      <c r="O583" s="592"/>
      <c r="P583" s="592"/>
      <c r="Q583" s="592"/>
      <c r="R583" s="592"/>
      <c r="S583" s="592"/>
      <c r="T583" s="592"/>
      <c r="U583" s="12"/>
      <c r="V583" s="12"/>
      <c r="W583" s="12"/>
      <c r="X583" s="12"/>
      <c r="Y583" s="12"/>
      <c r="Z583" s="12"/>
      <c r="AA583" s="12"/>
      <c r="AB583" s="12"/>
      <c r="AC583" s="12"/>
    </row>
    <row r="584" spans="1:29" ht="12.75" customHeight="1">
      <c r="A584" s="12"/>
      <c r="B584" s="12"/>
      <c r="C584" s="12"/>
      <c r="D584" s="12"/>
      <c r="E584" s="12"/>
      <c r="F584" s="12"/>
      <c r="G584" s="12"/>
      <c r="H584" s="592"/>
      <c r="I584" s="592"/>
      <c r="J584" s="592"/>
      <c r="K584" s="592"/>
      <c r="L584" s="592"/>
      <c r="M584" s="592"/>
      <c r="N584" s="592"/>
      <c r="O584" s="592"/>
      <c r="P584" s="592"/>
      <c r="Q584" s="592"/>
      <c r="R584" s="592"/>
      <c r="S584" s="592"/>
      <c r="T584" s="592"/>
      <c r="U584" s="12"/>
      <c r="V584" s="12"/>
      <c r="W584" s="12"/>
      <c r="X584" s="12"/>
      <c r="Y584" s="12"/>
      <c r="Z584" s="12"/>
      <c r="AA584" s="12"/>
      <c r="AB584" s="12"/>
      <c r="AC584" s="12"/>
    </row>
    <row r="585" spans="1:29" ht="12.75" customHeight="1">
      <c r="A585" s="12"/>
      <c r="B585" s="12"/>
      <c r="C585" s="12"/>
      <c r="D585" s="12"/>
      <c r="E585" s="12"/>
      <c r="F585" s="12"/>
      <c r="G585" s="12"/>
      <c r="H585" s="592"/>
      <c r="I585" s="592"/>
      <c r="J585" s="592"/>
      <c r="K585" s="592"/>
      <c r="L585" s="592"/>
      <c r="M585" s="592"/>
      <c r="N585" s="592"/>
      <c r="O585" s="592"/>
      <c r="P585" s="592"/>
      <c r="Q585" s="592"/>
      <c r="R585" s="592"/>
      <c r="S585" s="592"/>
      <c r="T585" s="592"/>
      <c r="U585" s="12"/>
      <c r="V585" s="12"/>
      <c r="W585" s="12"/>
      <c r="X585" s="12"/>
      <c r="Y585" s="12"/>
      <c r="Z585" s="12"/>
      <c r="AA585" s="12"/>
      <c r="AB585" s="12"/>
      <c r="AC585" s="12"/>
    </row>
    <row r="586" spans="1:29" ht="12.75" customHeight="1">
      <c r="A586" s="12"/>
      <c r="B586" s="12"/>
      <c r="C586" s="12"/>
      <c r="D586" s="12"/>
      <c r="E586" s="12"/>
      <c r="F586" s="12"/>
      <c r="G586" s="12"/>
      <c r="H586" s="592"/>
      <c r="I586" s="592"/>
      <c r="J586" s="592"/>
      <c r="K586" s="592"/>
      <c r="L586" s="592"/>
      <c r="M586" s="592"/>
      <c r="N586" s="592"/>
      <c r="O586" s="592"/>
      <c r="P586" s="592"/>
      <c r="Q586" s="592"/>
      <c r="R586" s="592"/>
      <c r="S586" s="592"/>
      <c r="T586" s="592"/>
      <c r="U586" s="12"/>
      <c r="V586" s="12"/>
      <c r="W586" s="12"/>
      <c r="X586" s="12"/>
      <c r="Y586" s="12"/>
      <c r="Z586" s="12"/>
      <c r="AA586" s="12"/>
      <c r="AB586" s="12"/>
      <c r="AC586" s="12"/>
    </row>
    <row r="587" spans="1:29" ht="12.75" customHeight="1">
      <c r="A587" s="12"/>
      <c r="B587" s="12"/>
      <c r="C587" s="12"/>
      <c r="D587" s="12"/>
      <c r="E587" s="12"/>
      <c r="F587" s="12"/>
      <c r="G587" s="12"/>
      <c r="H587" s="592"/>
      <c r="I587" s="592"/>
      <c r="J587" s="592"/>
      <c r="K587" s="592"/>
      <c r="L587" s="592"/>
      <c r="M587" s="592"/>
      <c r="N587" s="592"/>
      <c r="O587" s="592"/>
      <c r="P587" s="592"/>
      <c r="Q587" s="592"/>
      <c r="R587" s="592"/>
      <c r="S587" s="592"/>
      <c r="T587" s="592"/>
      <c r="U587" s="12"/>
      <c r="V587" s="12"/>
      <c r="W587" s="12"/>
      <c r="X587" s="12"/>
      <c r="Y587" s="12"/>
      <c r="Z587" s="12"/>
      <c r="AA587" s="12"/>
      <c r="AB587" s="12"/>
      <c r="AC587" s="12"/>
    </row>
    <row r="588" spans="1:29" ht="12.75" customHeight="1">
      <c r="A588" s="12"/>
      <c r="B588" s="12"/>
      <c r="C588" s="12"/>
      <c r="D588" s="12"/>
      <c r="E588" s="12"/>
      <c r="F588" s="12"/>
      <c r="G588" s="12"/>
      <c r="H588" s="592"/>
      <c r="I588" s="592"/>
      <c r="J588" s="592"/>
      <c r="K588" s="592"/>
      <c r="L588" s="592"/>
      <c r="M588" s="592"/>
      <c r="N588" s="592"/>
      <c r="O588" s="592"/>
      <c r="P588" s="592"/>
      <c r="Q588" s="592"/>
      <c r="R588" s="592"/>
      <c r="S588" s="592"/>
      <c r="T588" s="592"/>
      <c r="U588" s="12"/>
      <c r="V588" s="12"/>
      <c r="W588" s="12"/>
      <c r="X588" s="12"/>
      <c r="Y588" s="12"/>
      <c r="Z588" s="12"/>
      <c r="AA588" s="12"/>
      <c r="AB588" s="12"/>
      <c r="AC588" s="12"/>
    </row>
    <row r="589" spans="1:29" ht="12.75" customHeight="1">
      <c r="A589" s="12"/>
      <c r="B589" s="12"/>
      <c r="C589" s="12"/>
      <c r="D589" s="12"/>
      <c r="E589" s="12"/>
      <c r="F589" s="12"/>
      <c r="G589" s="12"/>
      <c r="H589" s="592"/>
      <c r="I589" s="592"/>
      <c r="J589" s="592"/>
      <c r="K589" s="592"/>
      <c r="L589" s="592"/>
      <c r="M589" s="592"/>
      <c r="N589" s="592"/>
      <c r="O589" s="592"/>
      <c r="P589" s="592"/>
      <c r="Q589" s="592"/>
      <c r="R589" s="592"/>
      <c r="S589" s="592"/>
      <c r="T589" s="592"/>
      <c r="U589" s="12"/>
      <c r="V589" s="12"/>
      <c r="W589" s="12"/>
      <c r="X589" s="12"/>
      <c r="Y589" s="12"/>
      <c r="Z589" s="12"/>
      <c r="AA589" s="12"/>
      <c r="AB589" s="12"/>
      <c r="AC589" s="12"/>
    </row>
    <row r="590" spans="1:29" ht="12.75" customHeight="1">
      <c r="A590" s="12"/>
      <c r="B590" s="12"/>
      <c r="C590" s="12"/>
      <c r="D590" s="12"/>
      <c r="E590" s="12"/>
      <c r="F590" s="12"/>
      <c r="G590" s="12"/>
      <c r="H590" s="592"/>
      <c r="I590" s="592"/>
      <c r="J590" s="592"/>
      <c r="K590" s="592"/>
      <c r="L590" s="592"/>
      <c r="M590" s="592"/>
      <c r="N590" s="592"/>
      <c r="O590" s="592"/>
      <c r="P590" s="592"/>
      <c r="Q590" s="592"/>
      <c r="R590" s="592"/>
      <c r="S590" s="592"/>
      <c r="T590" s="592"/>
      <c r="U590" s="12"/>
      <c r="V590" s="12"/>
      <c r="W590" s="12"/>
      <c r="X590" s="12"/>
      <c r="Y590" s="12"/>
      <c r="Z590" s="12"/>
      <c r="AA590" s="12"/>
      <c r="AB590" s="12"/>
      <c r="AC590" s="12"/>
    </row>
    <row r="591" spans="1:29" ht="12.75" customHeight="1">
      <c r="A591" s="12"/>
      <c r="B591" s="12"/>
      <c r="C591" s="12"/>
      <c r="D591" s="12"/>
      <c r="E591" s="12"/>
      <c r="F591" s="12"/>
      <c r="G591" s="12"/>
      <c r="H591" s="592"/>
      <c r="I591" s="592"/>
      <c r="J591" s="592"/>
      <c r="K591" s="592"/>
      <c r="L591" s="592"/>
      <c r="M591" s="592"/>
      <c r="N591" s="592"/>
      <c r="O591" s="592"/>
      <c r="P591" s="592"/>
      <c r="Q591" s="592"/>
      <c r="R591" s="592"/>
      <c r="S591" s="592"/>
      <c r="T591" s="592"/>
      <c r="U591" s="12"/>
      <c r="V591" s="12"/>
      <c r="W591" s="12"/>
      <c r="X591" s="12"/>
      <c r="Y591" s="12"/>
      <c r="Z591" s="12"/>
      <c r="AA591" s="12"/>
      <c r="AB591" s="12"/>
      <c r="AC591" s="12"/>
    </row>
    <row r="592" spans="1:29" ht="12.75" customHeight="1">
      <c r="A592" s="12"/>
      <c r="B592" s="12"/>
      <c r="C592" s="12"/>
      <c r="D592" s="12"/>
      <c r="E592" s="12"/>
      <c r="F592" s="12"/>
      <c r="G592" s="12"/>
      <c r="H592" s="592"/>
      <c r="I592" s="592"/>
      <c r="J592" s="592"/>
      <c r="K592" s="592"/>
      <c r="L592" s="592"/>
      <c r="M592" s="592"/>
      <c r="N592" s="592"/>
      <c r="O592" s="592"/>
      <c r="P592" s="592"/>
      <c r="Q592" s="592"/>
      <c r="R592" s="592"/>
      <c r="S592" s="592"/>
      <c r="T592" s="592"/>
      <c r="U592" s="12"/>
      <c r="V592" s="12"/>
      <c r="W592" s="12"/>
      <c r="X592" s="12"/>
      <c r="Y592" s="12"/>
      <c r="Z592" s="12"/>
      <c r="AA592" s="12"/>
      <c r="AB592" s="12"/>
      <c r="AC592" s="12"/>
    </row>
    <row r="593" spans="1:29" ht="12.75" customHeight="1">
      <c r="A593" s="12"/>
      <c r="B593" s="12"/>
      <c r="C593" s="12"/>
      <c r="D593" s="12"/>
      <c r="E593" s="12"/>
      <c r="F593" s="12"/>
      <c r="G593" s="12"/>
      <c r="H593" s="592"/>
      <c r="I593" s="592"/>
      <c r="J593" s="592"/>
      <c r="K593" s="592"/>
      <c r="L593" s="592"/>
      <c r="M593" s="592"/>
      <c r="N593" s="592"/>
      <c r="O593" s="592"/>
      <c r="P593" s="592"/>
      <c r="Q593" s="592"/>
      <c r="R593" s="592"/>
      <c r="S593" s="592"/>
      <c r="T593" s="592"/>
      <c r="U593" s="12"/>
      <c r="V593" s="12"/>
      <c r="W593" s="12"/>
      <c r="X593" s="12"/>
      <c r="Y593" s="12"/>
      <c r="Z593" s="12"/>
      <c r="AA593" s="12"/>
      <c r="AB593" s="12"/>
      <c r="AC593" s="12"/>
    </row>
    <row r="594" spans="1:29" ht="12.75" customHeight="1">
      <c r="A594" s="12"/>
      <c r="B594" s="12"/>
      <c r="C594" s="12"/>
      <c r="D594" s="12"/>
      <c r="E594" s="12"/>
      <c r="F594" s="12"/>
      <c r="G594" s="12"/>
      <c r="H594" s="592"/>
      <c r="I594" s="592"/>
      <c r="J594" s="592"/>
      <c r="K594" s="592"/>
      <c r="L594" s="592"/>
      <c r="M594" s="592"/>
      <c r="N594" s="592"/>
      <c r="O594" s="592"/>
      <c r="P594" s="592"/>
      <c r="Q594" s="592"/>
      <c r="R594" s="592"/>
      <c r="S594" s="592"/>
      <c r="T594" s="592"/>
      <c r="U594" s="12"/>
      <c r="V594" s="12"/>
      <c r="W594" s="12"/>
      <c r="X594" s="12"/>
      <c r="Y594" s="12"/>
      <c r="Z594" s="12"/>
      <c r="AA594" s="12"/>
      <c r="AB594" s="12"/>
      <c r="AC594" s="12"/>
    </row>
    <row r="595" spans="1:29" ht="12.75" customHeight="1">
      <c r="A595" s="12"/>
      <c r="B595" s="12"/>
      <c r="C595" s="12"/>
      <c r="D595" s="12"/>
      <c r="E595" s="12"/>
      <c r="F595" s="12"/>
      <c r="G595" s="12"/>
      <c r="H595" s="592"/>
      <c r="I595" s="592"/>
      <c r="J595" s="592"/>
      <c r="K595" s="592"/>
      <c r="L595" s="592"/>
      <c r="M595" s="592"/>
      <c r="N595" s="592"/>
      <c r="O595" s="592"/>
      <c r="P595" s="592"/>
      <c r="Q595" s="592"/>
      <c r="R595" s="592"/>
      <c r="S595" s="592"/>
      <c r="T595" s="592"/>
      <c r="U595" s="12"/>
      <c r="V595" s="12"/>
      <c r="W595" s="12"/>
      <c r="X595" s="12"/>
      <c r="Y595" s="12"/>
      <c r="Z595" s="12"/>
      <c r="AA595" s="12"/>
      <c r="AB595" s="12"/>
      <c r="AC595" s="12"/>
    </row>
    <row r="596" spans="1:29" ht="12.75" customHeight="1">
      <c r="A596" s="12"/>
      <c r="B596" s="12"/>
      <c r="C596" s="12"/>
      <c r="D596" s="12"/>
      <c r="E596" s="12"/>
      <c r="F596" s="12"/>
      <c r="G596" s="12"/>
      <c r="H596" s="592"/>
      <c r="I596" s="592"/>
      <c r="J596" s="592"/>
      <c r="K596" s="592"/>
      <c r="L596" s="592"/>
      <c r="M596" s="592"/>
      <c r="N596" s="592"/>
      <c r="O596" s="592"/>
      <c r="P596" s="592"/>
      <c r="Q596" s="592"/>
      <c r="R596" s="592"/>
      <c r="S596" s="592"/>
      <c r="T596" s="592"/>
      <c r="U596" s="12"/>
      <c r="V596" s="12"/>
      <c r="W596" s="12"/>
      <c r="X596" s="12"/>
      <c r="Y596" s="12"/>
      <c r="Z596" s="12"/>
      <c r="AA596" s="12"/>
      <c r="AB596" s="12"/>
      <c r="AC596" s="12"/>
    </row>
    <row r="597" spans="1:29" ht="12.75" customHeight="1">
      <c r="A597" s="12"/>
      <c r="B597" s="12"/>
      <c r="C597" s="12"/>
      <c r="D597" s="12"/>
      <c r="E597" s="12"/>
      <c r="F597" s="12"/>
      <c r="G597" s="12"/>
      <c r="H597" s="592"/>
      <c r="I597" s="592"/>
      <c r="J597" s="592"/>
      <c r="K597" s="592"/>
      <c r="L597" s="592"/>
      <c r="M597" s="592"/>
      <c r="N597" s="592"/>
      <c r="O597" s="592"/>
      <c r="P597" s="592"/>
      <c r="Q597" s="592"/>
      <c r="R597" s="592"/>
      <c r="S597" s="592"/>
      <c r="T597" s="592"/>
      <c r="U597" s="12"/>
      <c r="V597" s="12"/>
      <c r="W597" s="12"/>
      <c r="X597" s="12"/>
      <c r="Y597" s="12"/>
      <c r="Z597" s="12"/>
      <c r="AA597" s="12"/>
      <c r="AB597" s="12"/>
      <c r="AC597" s="12"/>
    </row>
    <row r="598" spans="1:29" ht="12.75" customHeight="1">
      <c r="A598" s="12"/>
      <c r="B598" s="12"/>
      <c r="C598" s="12"/>
      <c r="D598" s="12"/>
      <c r="E598" s="12"/>
      <c r="F598" s="12"/>
      <c r="G598" s="12"/>
      <c r="H598" s="592"/>
      <c r="I598" s="592"/>
      <c r="J598" s="592"/>
      <c r="K598" s="592"/>
      <c r="L598" s="592"/>
      <c r="M598" s="592"/>
      <c r="N598" s="592"/>
      <c r="O598" s="592"/>
      <c r="P598" s="592"/>
      <c r="Q598" s="592"/>
      <c r="R598" s="592"/>
      <c r="S598" s="592"/>
      <c r="T598" s="592"/>
      <c r="U598" s="12"/>
      <c r="V598" s="12"/>
      <c r="W598" s="12"/>
      <c r="X598" s="12"/>
      <c r="Y598" s="12"/>
      <c r="Z598" s="12"/>
      <c r="AA598" s="12"/>
      <c r="AB598" s="12"/>
      <c r="AC598" s="12"/>
    </row>
    <row r="599" spans="1:29" ht="12.75" customHeight="1">
      <c r="A599" s="12"/>
      <c r="B599" s="12"/>
      <c r="C599" s="12"/>
      <c r="D599" s="12"/>
      <c r="E599" s="12"/>
      <c r="F599" s="12"/>
      <c r="G599" s="12"/>
      <c r="H599" s="592"/>
      <c r="I599" s="592"/>
      <c r="J599" s="592"/>
      <c r="K599" s="592"/>
      <c r="L599" s="592"/>
      <c r="M599" s="592"/>
      <c r="N599" s="592"/>
      <c r="O599" s="592"/>
      <c r="P599" s="592"/>
      <c r="Q599" s="592"/>
      <c r="R599" s="592"/>
      <c r="S599" s="592"/>
      <c r="T599" s="592"/>
      <c r="U599" s="12"/>
      <c r="V599" s="12"/>
      <c r="W599" s="12"/>
      <c r="X599" s="12"/>
      <c r="Y599" s="12"/>
      <c r="Z599" s="12"/>
      <c r="AA599" s="12"/>
      <c r="AB599" s="12"/>
      <c r="AC599" s="12"/>
    </row>
    <row r="600" spans="1:29" ht="12.75" customHeight="1">
      <c r="A600" s="12"/>
      <c r="B600" s="12"/>
      <c r="C600" s="12"/>
      <c r="D600" s="12"/>
      <c r="E600" s="12"/>
      <c r="F600" s="12"/>
      <c r="G600" s="12"/>
      <c r="H600" s="592"/>
      <c r="I600" s="592"/>
      <c r="J600" s="592"/>
      <c r="K600" s="592"/>
      <c r="L600" s="592"/>
      <c r="M600" s="592"/>
      <c r="N600" s="592"/>
      <c r="O600" s="592"/>
      <c r="P600" s="592"/>
      <c r="Q600" s="592"/>
      <c r="R600" s="592"/>
      <c r="S600" s="592"/>
      <c r="T600" s="592"/>
      <c r="U600" s="12"/>
      <c r="V600" s="12"/>
      <c r="W600" s="12"/>
      <c r="X600" s="12"/>
      <c r="Y600" s="12"/>
      <c r="Z600" s="12"/>
      <c r="AA600" s="12"/>
      <c r="AB600" s="12"/>
      <c r="AC600" s="12"/>
    </row>
    <row r="601" spans="1:29" ht="12.75" customHeight="1">
      <c r="A601" s="12"/>
      <c r="B601" s="12"/>
      <c r="C601" s="12"/>
      <c r="D601" s="12"/>
      <c r="E601" s="12"/>
      <c r="F601" s="12"/>
      <c r="G601" s="12"/>
      <c r="H601" s="592"/>
      <c r="I601" s="592"/>
      <c r="J601" s="592"/>
      <c r="K601" s="592"/>
      <c r="L601" s="592"/>
      <c r="M601" s="592"/>
      <c r="N601" s="592"/>
      <c r="O601" s="592"/>
      <c r="P601" s="592"/>
      <c r="Q601" s="592"/>
      <c r="R601" s="592"/>
      <c r="S601" s="592"/>
      <c r="T601" s="592"/>
      <c r="U601" s="12"/>
      <c r="V601" s="12"/>
      <c r="W601" s="12"/>
      <c r="X601" s="12"/>
      <c r="Y601" s="12"/>
      <c r="Z601" s="12"/>
      <c r="AA601" s="12"/>
      <c r="AB601" s="12"/>
      <c r="AC601" s="12"/>
    </row>
    <row r="602" spans="1:29" ht="12.75" customHeight="1">
      <c r="A602" s="12"/>
      <c r="B602" s="12"/>
      <c r="C602" s="12"/>
      <c r="D602" s="12"/>
      <c r="E602" s="12"/>
      <c r="F602" s="12"/>
      <c r="G602" s="12"/>
      <c r="H602" s="592"/>
      <c r="I602" s="592"/>
      <c r="J602" s="592"/>
      <c r="K602" s="592"/>
      <c r="L602" s="592"/>
      <c r="M602" s="592"/>
      <c r="N602" s="592"/>
      <c r="O602" s="592"/>
      <c r="P602" s="592"/>
      <c r="Q602" s="592"/>
      <c r="R602" s="592"/>
      <c r="S602" s="592"/>
      <c r="T602" s="592"/>
      <c r="U602" s="12"/>
      <c r="V602" s="12"/>
      <c r="W602" s="12"/>
      <c r="X602" s="12"/>
      <c r="Y602" s="12"/>
      <c r="Z602" s="12"/>
      <c r="AA602" s="12"/>
      <c r="AB602" s="12"/>
      <c r="AC602" s="12"/>
    </row>
    <row r="603" spans="1:29" ht="12.75" customHeight="1">
      <c r="A603" s="12"/>
      <c r="B603" s="12"/>
      <c r="C603" s="12"/>
      <c r="D603" s="12"/>
      <c r="E603" s="12"/>
      <c r="F603" s="12"/>
      <c r="G603" s="12"/>
      <c r="H603" s="592"/>
      <c r="I603" s="592"/>
      <c r="J603" s="592"/>
      <c r="K603" s="592"/>
      <c r="L603" s="592"/>
      <c r="M603" s="592"/>
      <c r="N603" s="592"/>
      <c r="O603" s="592"/>
      <c r="P603" s="592"/>
      <c r="Q603" s="592"/>
      <c r="R603" s="592"/>
      <c r="S603" s="592"/>
      <c r="T603" s="592"/>
      <c r="U603" s="12"/>
      <c r="V603" s="12"/>
      <c r="W603" s="12"/>
      <c r="X603" s="12"/>
      <c r="Y603" s="12"/>
      <c r="Z603" s="12"/>
      <c r="AA603" s="12"/>
      <c r="AB603" s="12"/>
      <c r="AC603" s="12"/>
    </row>
    <row r="604" spans="1:29" ht="12.75" customHeight="1">
      <c r="A604" s="12"/>
      <c r="B604" s="12"/>
      <c r="C604" s="12"/>
      <c r="D604" s="12"/>
      <c r="E604" s="12"/>
      <c r="F604" s="12"/>
      <c r="G604" s="12"/>
      <c r="H604" s="592"/>
      <c r="I604" s="592"/>
      <c r="J604" s="592"/>
      <c r="K604" s="592"/>
      <c r="L604" s="592"/>
      <c r="M604" s="592"/>
      <c r="N604" s="592"/>
      <c r="O604" s="592"/>
      <c r="P604" s="592"/>
      <c r="Q604" s="592"/>
      <c r="R604" s="592"/>
      <c r="S604" s="592"/>
      <c r="T604" s="592"/>
      <c r="U604" s="12"/>
      <c r="V604" s="12"/>
      <c r="W604" s="12"/>
      <c r="X604" s="12"/>
      <c r="Y604" s="12"/>
      <c r="Z604" s="12"/>
      <c r="AA604" s="12"/>
      <c r="AB604" s="12"/>
      <c r="AC604" s="12"/>
    </row>
    <row r="605" spans="1:29" ht="12.75" customHeight="1">
      <c r="A605" s="12"/>
      <c r="B605" s="12"/>
      <c r="C605" s="12"/>
      <c r="D605" s="12"/>
      <c r="E605" s="12"/>
      <c r="F605" s="12"/>
      <c r="G605" s="12"/>
      <c r="H605" s="592"/>
      <c r="I605" s="592"/>
      <c r="J605" s="592"/>
      <c r="K605" s="592"/>
      <c r="L605" s="592"/>
      <c r="M605" s="592"/>
      <c r="N605" s="592"/>
      <c r="O605" s="592"/>
      <c r="P605" s="592"/>
      <c r="Q605" s="592"/>
      <c r="R605" s="592"/>
      <c r="S605" s="592"/>
      <c r="T605" s="592"/>
      <c r="U605" s="12"/>
      <c r="V605" s="12"/>
      <c r="W605" s="12"/>
      <c r="X605" s="12"/>
      <c r="Y605" s="12"/>
      <c r="Z605" s="12"/>
      <c r="AA605" s="12"/>
      <c r="AB605" s="12"/>
      <c r="AC605" s="12"/>
    </row>
    <row r="606" spans="1:29" ht="12.75" customHeight="1">
      <c r="A606" s="12"/>
      <c r="B606" s="12"/>
      <c r="C606" s="12"/>
      <c r="D606" s="12"/>
      <c r="E606" s="12"/>
      <c r="F606" s="12"/>
      <c r="G606" s="12"/>
      <c r="H606" s="592"/>
      <c r="I606" s="592"/>
      <c r="J606" s="592"/>
      <c r="K606" s="592"/>
      <c r="L606" s="592"/>
      <c r="M606" s="592"/>
      <c r="N606" s="592"/>
      <c r="O606" s="592"/>
      <c r="P606" s="592"/>
      <c r="Q606" s="592"/>
      <c r="R606" s="592"/>
      <c r="S606" s="592"/>
      <c r="T606" s="592"/>
      <c r="U606" s="12"/>
      <c r="V606" s="12"/>
      <c r="W606" s="12"/>
      <c r="X606" s="12"/>
      <c r="Y606" s="12"/>
      <c r="Z606" s="12"/>
      <c r="AA606" s="12"/>
      <c r="AB606" s="12"/>
      <c r="AC606" s="12"/>
    </row>
    <row r="607" spans="1:29" ht="12.75" customHeight="1">
      <c r="A607" s="12"/>
      <c r="B607" s="12"/>
      <c r="C607" s="12"/>
      <c r="D607" s="12"/>
      <c r="E607" s="12"/>
      <c r="F607" s="12"/>
      <c r="G607" s="12"/>
      <c r="H607" s="592"/>
      <c r="I607" s="592"/>
      <c r="J607" s="592"/>
      <c r="K607" s="592"/>
      <c r="L607" s="592"/>
      <c r="M607" s="592"/>
      <c r="N607" s="592"/>
      <c r="O607" s="592"/>
      <c r="P607" s="592"/>
      <c r="Q607" s="592"/>
      <c r="R607" s="592"/>
      <c r="S607" s="592"/>
      <c r="T607" s="592"/>
      <c r="U607" s="12"/>
      <c r="V607" s="12"/>
      <c r="W607" s="12"/>
      <c r="X607" s="12"/>
      <c r="Y607" s="12"/>
      <c r="Z607" s="12"/>
      <c r="AA607" s="12"/>
      <c r="AB607" s="12"/>
      <c r="AC607" s="12"/>
    </row>
    <row r="608" spans="1:29" ht="12.75" customHeight="1">
      <c r="A608" s="12"/>
      <c r="B608" s="12"/>
      <c r="C608" s="12"/>
      <c r="D608" s="12"/>
      <c r="E608" s="12"/>
      <c r="F608" s="12"/>
      <c r="G608" s="12"/>
      <c r="H608" s="592"/>
      <c r="I608" s="592"/>
      <c r="J608" s="592"/>
      <c r="K608" s="592"/>
      <c r="L608" s="592"/>
      <c r="M608" s="592"/>
      <c r="N608" s="592"/>
      <c r="O608" s="592"/>
      <c r="P608" s="592"/>
      <c r="Q608" s="592"/>
      <c r="R608" s="592"/>
      <c r="S608" s="592"/>
      <c r="T608" s="592"/>
      <c r="U608" s="12"/>
      <c r="V608" s="12"/>
      <c r="W608" s="12"/>
      <c r="X608" s="12"/>
      <c r="Y608" s="12"/>
      <c r="Z608" s="12"/>
      <c r="AA608" s="12"/>
      <c r="AB608" s="12"/>
      <c r="AC608" s="12"/>
    </row>
    <row r="609" spans="1:29" ht="12.75" customHeight="1">
      <c r="A609" s="12"/>
      <c r="B609" s="12"/>
      <c r="C609" s="12"/>
      <c r="D609" s="12"/>
      <c r="E609" s="12"/>
      <c r="F609" s="12"/>
      <c r="G609" s="12"/>
      <c r="H609" s="592"/>
      <c r="I609" s="592"/>
      <c r="J609" s="592"/>
      <c r="K609" s="592"/>
      <c r="L609" s="592"/>
      <c r="M609" s="592"/>
      <c r="N609" s="592"/>
      <c r="O609" s="592"/>
      <c r="P609" s="592"/>
      <c r="Q609" s="592"/>
      <c r="R609" s="592"/>
      <c r="S609" s="592"/>
      <c r="T609" s="592"/>
      <c r="U609" s="12"/>
      <c r="V609" s="12"/>
      <c r="W609" s="12"/>
      <c r="X609" s="12"/>
      <c r="Y609" s="12"/>
      <c r="Z609" s="12"/>
      <c r="AA609" s="12"/>
      <c r="AB609" s="12"/>
      <c r="AC609" s="12"/>
    </row>
    <row r="610" spans="1:29" ht="12.75" customHeight="1">
      <c r="A610" s="12"/>
      <c r="B610" s="12"/>
      <c r="C610" s="12"/>
      <c r="D610" s="12"/>
      <c r="E610" s="12"/>
      <c r="F610" s="12"/>
      <c r="G610" s="12"/>
      <c r="H610" s="592"/>
      <c r="I610" s="592"/>
      <c r="J610" s="592"/>
      <c r="K610" s="592"/>
      <c r="L610" s="592"/>
      <c r="M610" s="592"/>
      <c r="N610" s="592"/>
      <c r="O610" s="592"/>
      <c r="P610" s="592"/>
      <c r="Q610" s="592"/>
      <c r="R610" s="592"/>
      <c r="S610" s="592"/>
      <c r="T610" s="592"/>
      <c r="U610" s="12"/>
      <c r="V610" s="12"/>
      <c r="W610" s="12"/>
      <c r="X610" s="12"/>
      <c r="Y610" s="12"/>
      <c r="Z610" s="12"/>
      <c r="AA610" s="12"/>
      <c r="AB610" s="12"/>
      <c r="AC610" s="12"/>
    </row>
    <row r="611" spans="1:29" ht="12.75" customHeight="1">
      <c r="A611" s="12"/>
      <c r="B611" s="12"/>
      <c r="C611" s="12"/>
      <c r="D611" s="12"/>
      <c r="E611" s="12"/>
      <c r="F611" s="12"/>
      <c r="G611" s="12"/>
      <c r="H611" s="592"/>
      <c r="I611" s="592"/>
      <c r="J611" s="592"/>
      <c r="K611" s="592"/>
      <c r="L611" s="592"/>
      <c r="M611" s="592"/>
      <c r="N611" s="592"/>
      <c r="O611" s="592"/>
      <c r="P611" s="592"/>
      <c r="Q611" s="592"/>
      <c r="R611" s="592"/>
      <c r="S611" s="592"/>
      <c r="T611" s="592"/>
      <c r="U611" s="12"/>
      <c r="V611" s="12"/>
      <c r="W611" s="12"/>
      <c r="X611" s="12"/>
      <c r="Y611" s="12"/>
      <c r="Z611" s="12"/>
      <c r="AA611" s="12"/>
      <c r="AB611" s="12"/>
      <c r="AC611" s="12"/>
    </row>
    <row r="612" spans="1:29" ht="12.75" customHeight="1">
      <c r="A612" s="12"/>
      <c r="B612" s="12"/>
      <c r="C612" s="12"/>
      <c r="D612" s="12"/>
      <c r="E612" s="12"/>
      <c r="F612" s="12"/>
      <c r="G612" s="12"/>
      <c r="H612" s="592"/>
      <c r="I612" s="592"/>
      <c r="J612" s="592"/>
      <c r="K612" s="592"/>
      <c r="L612" s="592"/>
      <c r="M612" s="592"/>
      <c r="N612" s="592"/>
      <c r="O612" s="592"/>
      <c r="P612" s="592"/>
      <c r="Q612" s="592"/>
      <c r="R612" s="592"/>
      <c r="S612" s="592"/>
      <c r="T612" s="592"/>
      <c r="U612" s="12"/>
      <c r="V612" s="12"/>
      <c r="W612" s="12"/>
      <c r="X612" s="12"/>
      <c r="Y612" s="12"/>
      <c r="Z612" s="12"/>
      <c r="AA612" s="12"/>
      <c r="AB612" s="12"/>
      <c r="AC612" s="12"/>
    </row>
    <row r="613" spans="1:29" ht="12.75" customHeight="1">
      <c r="A613" s="12"/>
      <c r="B613" s="12"/>
      <c r="C613" s="12"/>
      <c r="D613" s="12"/>
      <c r="E613" s="12"/>
      <c r="F613" s="12"/>
      <c r="G613" s="12"/>
      <c r="H613" s="592"/>
      <c r="I613" s="592"/>
      <c r="J613" s="592"/>
      <c r="K613" s="592"/>
      <c r="L613" s="592"/>
      <c r="M613" s="592"/>
      <c r="N613" s="592"/>
      <c r="O613" s="592"/>
      <c r="P613" s="592"/>
      <c r="Q613" s="592"/>
      <c r="R613" s="592"/>
      <c r="S613" s="592"/>
      <c r="T613" s="592"/>
      <c r="U613" s="12"/>
      <c r="V613" s="12"/>
      <c r="W613" s="12"/>
      <c r="X613" s="12"/>
      <c r="Y613" s="12"/>
      <c r="Z613" s="12"/>
      <c r="AA613" s="12"/>
      <c r="AB613" s="12"/>
      <c r="AC613" s="12"/>
    </row>
    <row r="614" spans="1:29" ht="12.75" customHeight="1">
      <c r="A614" s="12"/>
      <c r="B614" s="12"/>
      <c r="C614" s="12"/>
      <c r="D614" s="12"/>
      <c r="E614" s="12"/>
      <c r="F614" s="12"/>
      <c r="G614" s="12"/>
      <c r="H614" s="592"/>
      <c r="I614" s="592"/>
      <c r="J614" s="592"/>
      <c r="K614" s="592"/>
      <c r="L614" s="592"/>
      <c r="M614" s="592"/>
      <c r="N614" s="592"/>
      <c r="O614" s="592"/>
      <c r="P614" s="592"/>
      <c r="Q614" s="592"/>
      <c r="R614" s="592"/>
      <c r="S614" s="592"/>
      <c r="T614" s="592"/>
      <c r="U614" s="12"/>
      <c r="V614" s="12"/>
      <c r="W614" s="12"/>
      <c r="X614" s="12"/>
      <c r="Y614" s="12"/>
      <c r="Z614" s="12"/>
      <c r="AA614" s="12"/>
      <c r="AB614" s="12"/>
      <c r="AC614" s="12"/>
    </row>
    <row r="615" spans="1:29" ht="12.75" customHeight="1">
      <c r="A615" s="12"/>
      <c r="B615" s="12"/>
      <c r="C615" s="12"/>
      <c r="D615" s="12"/>
      <c r="E615" s="12"/>
      <c r="F615" s="12"/>
      <c r="G615" s="12"/>
      <c r="H615" s="592"/>
      <c r="I615" s="592"/>
      <c r="J615" s="592"/>
      <c r="K615" s="592"/>
      <c r="L615" s="592"/>
      <c r="M615" s="592"/>
      <c r="N615" s="592"/>
      <c r="O615" s="592"/>
      <c r="P615" s="592"/>
      <c r="Q615" s="592"/>
      <c r="R615" s="592"/>
      <c r="S615" s="592"/>
      <c r="T615" s="592"/>
      <c r="U615" s="12"/>
      <c r="V615" s="12"/>
      <c r="W615" s="12"/>
      <c r="X615" s="12"/>
      <c r="Y615" s="12"/>
      <c r="Z615" s="12"/>
      <c r="AA615" s="12"/>
      <c r="AB615" s="12"/>
      <c r="AC615" s="12"/>
    </row>
    <row r="616" spans="1:29" ht="12.75" customHeight="1">
      <c r="A616" s="12"/>
      <c r="B616" s="12"/>
      <c r="C616" s="12"/>
      <c r="D616" s="12"/>
      <c r="E616" s="12"/>
      <c r="F616" s="12"/>
      <c r="G616" s="12"/>
      <c r="H616" s="592"/>
      <c r="I616" s="592"/>
      <c r="J616" s="592"/>
      <c r="K616" s="592"/>
      <c r="L616" s="592"/>
      <c r="M616" s="592"/>
      <c r="N616" s="592"/>
      <c r="O616" s="592"/>
      <c r="P616" s="592"/>
      <c r="Q616" s="592"/>
      <c r="R616" s="592"/>
      <c r="S616" s="592"/>
      <c r="T616" s="592"/>
      <c r="U616" s="12"/>
      <c r="V616" s="12"/>
      <c r="W616" s="12"/>
      <c r="X616" s="12"/>
      <c r="Y616" s="12"/>
      <c r="Z616" s="12"/>
      <c r="AA616" s="12"/>
      <c r="AB616" s="12"/>
      <c r="AC616" s="12"/>
    </row>
    <row r="617" spans="1:29" ht="12.75" customHeight="1">
      <c r="A617" s="12"/>
      <c r="B617" s="12"/>
      <c r="C617" s="12"/>
      <c r="D617" s="12"/>
      <c r="E617" s="12"/>
      <c r="F617" s="12"/>
      <c r="G617" s="12"/>
      <c r="H617" s="592"/>
      <c r="I617" s="592"/>
      <c r="J617" s="592"/>
      <c r="K617" s="592"/>
      <c r="L617" s="592"/>
      <c r="M617" s="592"/>
      <c r="N617" s="592"/>
      <c r="O617" s="592"/>
      <c r="P617" s="592"/>
      <c r="Q617" s="592"/>
      <c r="R617" s="592"/>
      <c r="S617" s="592"/>
      <c r="T617" s="592"/>
      <c r="U617" s="12"/>
      <c r="V617" s="12"/>
      <c r="W617" s="12"/>
      <c r="X617" s="12"/>
      <c r="Y617" s="12"/>
      <c r="Z617" s="12"/>
      <c r="AA617" s="12"/>
      <c r="AB617" s="12"/>
      <c r="AC617" s="12"/>
    </row>
    <row r="618" spans="1:29" ht="12.75" customHeight="1">
      <c r="A618" s="12"/>
      <c r="B618" s="12"/>
      <c r="C618" s="12"/>
      <c r="D618" s="12"/>
      <c r="E618" s="12"/>
      <c r="F618" s="12"/>
      <c r="G618" s="12"/>
      <c r="H618" s="592"/>
      <c r="I618" s="592"/>
      <c r="J618" s="592"/>
      <c r="K618" s="592"/>
      <c r="L618" s="592"/>
      <c r="M618" s="592"/>
      <c r="N618" s="592"/>
      <c r="O618" s="592"/>
      <c r="P618" s="592"/>
      <c r="Q618" s="592"/>
      <c r="R618" s="592"/>
      <c r="S618" s="592"/>
      <c r="T618" s="592"/>
      <c r="U618" s="12"/>
      <c r="V618" s="12"/>
      <c r="W618" s="12"/>
      <c r="X618" s="12"/>
      <c r="Y618" s="12"/>
      <c r="Z618" s="12"/>
      <c r="AA618" s="12"/>
      <c r="AB618" s="12"/>
      <c r="AC618" s="12"/>
    </row>
    <row r="619" spans="1:29" ht="12.75" customHeight="1">
      <c r="A619" s="12"/>
      <c r="B619" s="12"/>
      <c r="C619" s="12"/>
      <c r="D619" s="12"/>
      <c r="E619" s="12"/>
      <c r="F619" s="12"/>
      <c r="G619" s="12"/>
      <c r="H619" s="592"/>
      <c r="I619" s="592"/>
      <c r="J619" s="592"/>
      <c r="K619" s="592"/>
      <c r="L619" s="592"/>
      <c r="M619" s="592"/>
      <c r="N619" s="592"/>
      <c r="O619" s="592"/>
      <c r="P619" s="592"/>
      <c r="Q619" s="592"/>
      <c r="R619" s="592"/>
      <c r="S619" s="592"/>
      <c r="T619" s="592"/>
      <c r="U619" s="12"/>
      <c r="V619" s="12"/>
      <c r="W619" s="12"/>
      <c r="X619" s="12"/>
      <c r="Y619" s="12"/>
      <c r="Z619" s="12"/>
      <c r="AA619" s="12"/>
      <c r="AB619" s="12"/>
      <c r="AC619" s="12"/>
    </row>
    <row r="620" spans="1:29" ht="12.75" customHeight="1">
      <c r="A620" s="12"/>
      <c r="B620" s="12"/>
      <c r="C620" s="12"/>
      <c r="D620" s="12"/>
      <c r="E620" s="12"/>
      <c r="F620" s="12"/>
      <c r="G620" s="12"/>
      <c r="H620" s="592"/>
      <c r="I620" s="592"/>
      <c r="J620" s="592"/>
      <c r="K620" s="592"/>
      <c r="L620" s="592"/>
      <c r="M620" s="592"/>
      <c r="N620" s="592"/>
      <c r="O620" s="592"/>
      <c r="P620" s="592"/>
      <c r="Q620" s="592"/>
      <c r="R620" s="592"/>
      <c r="S620" s="592"/>
      <c r="T620" s="592"/>
      <c r="U620" s="12"/>
      <c r="V620" s="12"/>
      <c r="W620" s="12"/>
      <c r="X620" s="12"/>
      <c r="Y620" s="12"/>
      <c r="Z620" s="12"/>
      <c r="AA620" s="12"/>
      <c r="AB620" s="12"/>
      <c r="AC620" s="12"/>
    </row>
    <row r="621" spans="1:29" ht="12.75" customHeight="1">
      <c r="A621" s="12"/>
      <c r="B621" s="12"/>
      <c r="C621" s="12"/>
      <c r="D621" s="12"/>
      <c r="E621" s="12"/>
      <c r="F621" s="12"/>
      <c r="G621" s="12"/>
      <c r="H621" s="592"/>
      <c r="I621" s="592"/>
      <c r="J621" s="592"/>
      <c r="K621" s="592"/>
      <c r="L621" s="592"/>
      <c r="M621" s="592"/>
      <c r="N621" s="592"/>
      <c r="O621" s="592"/>
      <c r="P621" s="592"/>
      <c r="Q621" s="592"/>
      <c r="R621" s="592"/>
      <c r="S621" s="592"/>
      <c r="T621" s="592"/>
      <c r="U621" s="12"/>
      <c r="V621" s="12"/>
      <c r="W621" s="12"/>
      <c r="X621" s="12"/>
      <c r="Y621" s="12"/>
      <c r="Z621" s="12"/>
      <c r="AA621" s="12"/>
      <c r="AB621" s="12"/>
      <c r="AC621" s="12"/>
    </row>
    <row r="622" spans="1:29" ht="12.75" customHeight="1">
      <c r="A622" s="12"/>
      <c r="B622" s="12"/>
      <c r="C622" s="12"/>
      <c r="D622" s="12"/>
      <c r="E622" s="12"/>
      <c r="F622" s="12"/>
      <c r="G622" s="12"/>
      <c r="H622" s="592"/>
      <c r="I622" s="592"/>
      <c r="J622" s="592"/>
      <c r="K622" s="592"/>
      <c r="L622" s="592"/>
      <c r="M622" s="592"/>
      <c r="N622" s="592"/>
      <c r="O622" s="592"/>
      <c r="P622" s="592"/>
      <c r="Q622" s="592"/>
      <c r="R622" s="592"/>
      <c r="S622" s="592"/>
      <c r="T622" s="592"/>
      <c r="U622" s="12"/>
      <c r="V622" s="12"/>
      <c r="W622" s="12"/>
      <c r="X622" s="12"/>
      <c r="Y622" s="12"/>
      <c r="Z622" s="12"/>
      <c r="AA622" s="12"/>
      <c r="AB622" s="12"/>
      <c r="AC622" s="12"/>
    </row>
    <row r="623" spans="1:29" ht="12.75" customHeight="1">
      <c r="A623" s="12"/>
      <c r="B623" s="12"/>
      <c r="C623" s="12"/>
      <c r="D623" s="12"/>
      <c r="E623" s="12"/>
      <c r="F623" s="12"/>
      <c r="G623" s="12"/>
      <c r="H623" s="592"/>
      <c r="I623" s="592"/>
      <c r="J623" s="592"/>
      <c r="K623" s="592"/>
      <c r="L623" s="592"/>
      <c r="M623" s="592"/>
      <c r="N623" s="592"/>
      <c r="O623" s="592"/>
      <c r="P623" s="592"/>
      <c r="Q623" s="592"/>
      <c r="R623" s="592"/>
      <c r="S623" s="592"/>
      <c r="T623" s="592"/>
      <c r="U623" s="12"/>
      <c r="V623" s="12"/>
      <c r="W623" s="12"/>
      <c r="X623" s="12"/>
      <c r="Y623" s="12"/>
      <c r="Z623" s="12"/>
      <c r="AA623" s="12"/>
      <c r="AB623" s="12"/>
      <c r="AC623" s="12"/>
    </row>
    <row r="624" spans="1:29" ht="12.75" customHeight="1">
      <c r="A624" s="12"/>
      <c r="B624" s="12"/>
      <c r="C624" s="12"/>
      <c r="D624" s="12"/>
      <c r="E624" s="12"/>
      <c r="F624" s="12"/>
      <c r="G624" s="12"/>
      <c r="H624" s="592"/>
      <c r="I624" s="592"/>
      <c r="J624" s="592"/>
      <c r="K624" s="592"/>
      <c r="L624" s="592"/>
      <c r="M624" s="592"/>
      <c r="N624" s="592"/>
      <c r="O624" s="592"/>
      <c r="P624" s="592"/>
      <c r="Q624" s="592"/>
      <c r="R624" s="592"/>
      <c r="S624" s="592"/>
      <c r="T624" s="592"/>
      <c r="U624" s="12"/>
      <c r="V624" s="12"/>
      <c r="W624" s="12"/>
      <c r="X624" s="12"/>
      <c r="Y624" s="12"/>
      <c r="Z624" s="12"/>
      <c r="AA624" s="12"/>
      <c r="AB624" s="12"/>
      <c r="AC624" s="12"/>
    </row>
    <row r="625" spans="1:29" ht="12.75" customHeight="1">
      <c r="A625" s="12"/>
      <c r="B625" s="12"/>
      <c r="C625" s="12"/>
      <c r="D625" s="12"/>
      <c r="E625" s="12"/>
      <c r="F625" s="12"/>
      <c r="G625" s="12"/>
      <c r="H625" s="592"/>
      <c r="I625" s="592"/>
      <c r="J625" s="592"/>
      <c r="K625" s="592"/>
      <c r="L625" s="592"/>
      <c r="M625" s="592"/>
      <c r="N625" s="592"/>
      <c r="O625" s="592"/>
      <c r="P625" s="592"/>
      <c r="Q625" s="592"/>
      <c r="R625" s="592"/>
      <c r="S625" s="592"/>
      <c r="T625" s="592"/>
      <c r="U625" s="12"/>
      <c r="V625" s="12"/>
      <c r="W625" s="12"/>
      <c r="X625" s="12"/>
      <c r="Y625" s="12"/>
      <c r="Z625" s="12"/>
      <c r="AA625" s="12"/>
      <c r="AB625" s="12"/>
      <c r="AC625" s="12"/>
    </row>
    <row r="626" spans="1:29" ht="12.75" customHeight="1">
      <c r="A626" s="12"/>
      <c r="B626" s="12"/>
      <c r="C626" s="12"/>
      <c r="D626" s="12"/>
      <c r="E626" s="12"/>
      <c r="F626" s="12"/>
      <c r="G626" s="12"/>
      <c r="H626" s="592"/>
      <c r="I626" s="592"/>
      <c r="J626" s="592"/>
      <c r="K626" s="592"/>
      <c r="L626" s="592"/>
      <c r="M626" s="592"/>
      <c r="N626" s="592"/>
      <c r="O626" s="592"/>
      <c r="P626" s="592"/>
      <c r="Q626" s="592"/>
      <c r="R626" s="592"/>
      <c r="S626" s="592"/>
      <c r="T626" s="592"/>
      <c r="U626" s="12"/>
      <c r="V626" s="12"/>
      <c r="W626" s="12"/>
      <c r="X626" s="12"/>
      <c r="Y626" s="12"/>
      <c r="Z626" s="12"/>
      <c r="AA626" s="12"/>
      <c r="AB626" s="12"/>
      <c r="AC626" s="12"/>
    </row>
    <row r="627" spans="1:29" ht="12.75" customHeight="1">
      <c r="A627" s="12"/>
      <c r="B627" s="12"/>
      <c r="C627" s="12"/>
      <c r="D627" s="12"/>
      <c r="E627" s="12"/>
      <c r="F627" s="12"/>
      <c r="G627" s="12"/>
      <c r="H627" s="592"/>
      <c r="I627" s="592"/>
      <c r="J627" s="592"/>
      <c r="K627" s="592"/>
      <c r="L627" s="592"/>
      <c r="M627" s="592"/>
      <c r="N627" s="592"/>
      <c r="O627" s="592"/>
      <c r="P627" s="592"/>
      <c r="Q627" s="592"/>
      <c r="R627" s="592"/>
      <c r="S627" s="592"/>
      <c r="T627" s="592"/>
      <c r="U627" s="12"/>
      <c r="V627" s="12"/>
      <c r="W627" s="12"/>
      <c r="X627" s="12"/>
      <c r="Y627" s="12"/>
      <c r="Z627" s="12"/>
      <c r="AA627" s="12"/>
      <c r="AB627" s="12"/>
      <c r="AC627" s="12"/>
    </row>
    <row r="628" spans="1:29" ht="12.75" customHeight="1">
      <c r="A628" s="12"/>
      <c r="B628" s="12"/>
      <c r="C628" s="12"/>
      <c r="D628" s="12"/>
      <c r="E628" s="12"/>
      <c r="F628" s="12"/>
      <c r="G628" s="12"/>
      <c r="H628" s="592"/>
      <c r="I628" s="592"/>
      <c r="J628" s="592"/>
      <c r="K628" s="592"/>
      <c r="L628" s="592"/>
      <c r="M628" s="592"/>
      <c r="N628" s="592"/>
      <c r="O628" s="592"/>
      <c r="P628" s="592"/>
      <c r="Q628" s="592"/>
      <c r="R628" s="592"/>
      <c r="S628" s="592"/>
      <c r="T628" s="592"/>
      <c r="U628" s="12"/>
      <c r="V628" s="12"/>
      <c r="W628" s="12"/>
      <c r="X628" s="12"/>
      <c r="Y628" s="12"/>
      <c r="Z628" s="12"/>
      <c r="AA628" s="12"/>
      <c r="AB628" s="12"/>
      <c r="AC628" s="12"/>
    </row>
    <row r="629" spans="1:29" ht="12.75" customHeight="1">
      <c r="A629" s="12"/>
      <c r="B629" s="12"/>
      <c r="C629" s="12"/>
      <c r="D629" s="12"/>
      <c r="E629" s="12"/>
      <c r="F629" s="12"/>
      <c r="G629" s="12"/>
      <c r="H629" s="592"/>
      <c r="I629" s="592"/>
      <c r="J629" s="592"/>
      <c r="K629" s="592"/>
      <c r="L629" s="592"/>
      <c r="M629" s="592"/>
      <c r="N629" s="592"/>
      <c r="O629" s="592"/>
      <c r="P629" s="592"/>
      <c r="Q629" s="592"/>
      <c r="R629" s="592"/>
      <c r="S629" s="592"/>
      <c r="T629" s="592"/>
      <c r="U629" s="12"/>
      <c r="V629" s="12"/>
      <c r="W629" s="12"/>
      <c r="X629" s="12"/>
      <c r="Y629" s="12"/>
      <c r="Z629" s="12"/>
      <c r="AA629" s="12"/>
      <c r="AB629" s="12"/>
      <c r="AC629" s="12"/>
    </row>
    <row r="630" spans="1:29" ht="12.75" customHeight="1">
      <c r="A630" s="12"/>
      <c r="B630" s="12"/>
      <c r="C630" s="12"/>
      <c r="D630" s="12"/>
      <c r="E630" s="12"/>
      <c r="F630" s="12"/>
      <c r="G630" s="12"/>
      <c r="H630" s="592"/>
      <c r="I630" s="592"/>
      <c r="J630" s="592"/>
      <c r="K630" s="592"/>
      <c r="L630" s="592"/>
      <c r="M630" s="592"/>
      <c r="N630" s="592"/>
      <c r="O630" s="592"/>
      <c r="P630" s="592"/>
      <c r="Q630" s="592"/>
      <c r="R630" s="592"/>
      <c r="S630" s="592"/>
      <c r="T630" s="592"/>
      <c r="U630" s="12"/>
      <c r="V630" s="12"/>
      <c r="W630" s="12"/>
      <c r="X630" s="12"/>
      <c r="Y630" s="12"/>
      <c r="Z630" s="12"/>
      <c r="AA630" s="12"/>
      <c r="AB630" s="12"/>
      <c r="AC630" s="12"/>
    </row>
    <row r="631" spans="1:29" ht="12.75" customHeight="1">
      <c r="A631" s="12"/>
      <c r="B631" s="12"/>
      <c r="C631" s="12"/>
      <c r="D631" s="12"/>
      <c r="E631" s="12"/>
      <c r="F631" s="12"/>
      <c r="G631" s="12"/>
      <c r="H631" s="592"/>
      <c r="I631" s="592"/>
      <c r="J631" s="592"/>
      <c r="K631" s="592"/>
      <c r="L631" s="592"/>
      <c r="M631" s="592"/>
      <c r="N631" s="592"/>
      <c r="O631" s="592"/>
      <c r="P631" s="592"/>
      <c r="Q631" s="592"/>
      <c r="R631" s="592"/>
      <c r="S631" s="592"/>
      <c r="T631" s="592"/>
      <c r="U631" s="12"/>
      <c r="V631" s="12"/>
      <c r="W631" s="12"/>
      <c r="X631" s="12"/>
      <c r="Y631" s="12"/>
      <c r="Z631" s="12"/>
      <c r="AA631" s="12"/>
      <c r="AB631" s="12"/>
      <c r="AC631" s="12"/>
    </row>
    <row r="632" spans="1:29" ht="12.75" customHeight="1">
      <c r="A632" s="12"/>
      <c r="B632" s="12"/>
      <c r="C632" s="12"/>
      <c r="D632" s="12"/>
      <c r="E632" s="12"/>
      <c r="F632" s="12"/>
      <c r="G632" s="12"/>
      <c r="H632" s="592"/>
      <c r="I632" s="592"/>
      <c r="J632" s="592"/>
      <c r="K632" s="592"/>
      <c r="L632" s="592"/>
      <c r="M632" s="592"/>
      <c r="N632" s="592"/>
      <c r="O632" s="592"/>
      <c r="P632" s="592"/>
      <c r="Q632" s="592"/>
      <c r="R632" s="592"/>
      <c r="S632" s="592"/>
      <c r="T632" s="592"/>
      <c r="U632" s="12"/>
      <c r="V632" s="12"/>
      <c r="W632" s="12"/>
      <c r="X632" s="12"/>
      <c r="Y632" s="12"/>
      <c r="Z632" s="12"/>
      <c r="AA632" s="12"/>
      <c r="AB632" s="12"/>
      <c r="AC632" s="12"/>
    </row>
    <row r="633" spans="1:29" ht="12.75" customHeight="1">
      <c r="A633" s="12"/>
      <c r="B633" s="12"/>
      <c r="C633" s="12"/>
      <c r="D633" s="12"/>
      <c r="E633" s="12"/>
      <c r="F633" s="12"/>
      <c r="G633" s="12"/>
      <c r="H633" s="592"/>
      <c r="I633" s="592"/>
      <c r="J633" s="592"/>
      <c r="K633" s="592"/>
      <c r="L633" s="592"/>
      <c r="M633" s="592"/>
      <c r="N633" s="592"/>
      <c r="O633" s="592"/>
      <c r="P633" s="592"/>
      <c r="Q633" s="592"/>
      <c r="R633" s="592"/>
      <c r="S633" s="592"/>
      <c r="T633" s="592"/>
      <c r="U633" s="12"/>
      <c r="V633" s="12"/>
      <c r="W633" s="12"/>
      <c r="X633" s="12"/>
      <c r="Y633" s="12"/>
      <c r="Z633" s="12"/>
      <c r="AA633" s="12"/>
      <c r="AB633" s="12"/>
      <c r="AC633" s="12"/>
    </row>
    <row r="634" spans="1:29" ht="12.75" customHeight="1">
      <c r="A634" s="12"/>
      <c r="B634" s="12"/>
      <c r="C634" s="12"/>
      <c r="D634" s="12"/>
      <c r="E634" s="12"/>
      <c r="F634" s="12"/>
      <c r="G634" s="12"/>
      <c r="H634" s="592"/>
      <c r="I634" s="592"/>
      <c r="J634" s="592"/>
      <c r="K634" s="592"/>
      <c r="L634" s="592"/>
      <c r="M634" s="592"/>
      <c r="N634" s="592"/>
      <c r="O634" s="592"/>
      <c r="P634" s="592"/>
      <c r="Q634" s="592"/>
      <c r="R634" s="592"/>
      <c r="S634" s="592"/>
      <c r="T634" s="592"/>
      <c r="U634" s="12"/>
      <c r="V634" s="12"/>
      <c r="W634" s="12"/>
      <c r="X634" s="12"/>
      <c r="Y634" s="12"/>
      <c r="Z634" s="12"/>
      <c r="AA634" s="12"/>
      <c r="AB634" s="12"/>
      <c r="AC634" s="12"/>
    </row>
    <row r="635" spans="1:29" ht="12.75" customHeight="1">
      <c r="A635" s="12"/>
      <c r="B635" s="12"/>
      <c r="C635" s="12"/>
      <c r="D635" s="12"/>
      <c r="E635" s="12"/>
      <c r="F635" s="12"/>
      <c r="G635" s="12"/>
      <c r="H635" s="592"/>
      <c r="I635" s="592"/>
      <c r="J635" s="592"/>
      <c r="K635" s="592"/>
      <c r="L635" s="592"/>
      <c r="M635" s="592"/>
      <c r="N635" s="592"/>
      <c r="O635" s="592"/>
      <c r="P635" s="592"/>
      <c r="Q635" s="592"/>
      <c r="R635" s="592"/>
      <c r="S635" s="592"/>
      <c r="T635" s="592"/>
      <c r="U635" s="12"/>
      <c r="V635" s="12"/>
      <c r="W635" s="12"/>
      <c r="X635" s="12"/>
      <c r="Y635" s="12"/>
      <c r="Z635" s="12"/>
      <c r="AA635" s="12"/>
      <c r="AB635" s="12"/>
      <c r="AC635" s="12"/>
    </row>
    <row r="636" spans="1:29" ht="12.75" customHeight="1">
      <c r="A636" s="12"/>
      <c r="B636" s="12"/>
      <c r="C636" s="12"/>
      <c r="D636" s="12"/>
      <c r="E636" s="12"/>
      <c r="F636" s="12"/>
      <c r="G636" s="12"/>
      <c r="H636" s="592"/>
      <c r="I636" s="592"/>
      <c r="J636" s="592"/>
      <c r="K636" s="592"/>
      <c r="L636" s="592"/>
      <c r="M636" s="592"/>
      <c r="N636" s="592"/>
      <c r="O636" s="592"/>
      <c r="P636" s="592"/>
      <c r="Q636" s="592"/>
      <c r="R636" s="592"/>
      <c r="S636" s="592"/>
      <c r="T636" s="592"/>
      <c r="U636" s="12"/>
      <c r="V636" s="12"/>
      <c r="W636" s="12"/>
      <c r="X636" s="12"/>
      <c r="Y636" s="12"/>
      <c r="Z636" s="12"/>
      <c r="AA636" s="12"/>
      <c r="AB636" s="12"/>
      <c r="AC636" s="12"/>
    </row>
    <row r="637" spans="1:29" ht="12.75" customHeight="1">
      <c r="A637" s="12"/>
      <c r="B637" s="12"/>
      <c r="C637" s="12"/>
      <c r="D637" s="12"/>
      <c r="E637" s="12"/>
      <c r="F637" s="12"/>
      <c r="G637" s="12"/>
      <c r="H637" s="592"/>
      <c r="I637" s="592"/>
      <c r="J637" s="592"/>
      <c r="K637" s="592"/>
      <c r="L637" s="592"/>
      <c r="M637" s="592"/>
      <c r="N637" s="592"/>
      <c r="O637" s="592"/>
      <c r="P637" s="592"/>
      <c r="Q637" s="592"/>
      <c r="R637" s="592"/>
      <c r="S637" s="592"/>
      <c r="T637" s="592"/>
      <c r="U637" s="12"/>
      <c r="V637" s="12"/>
      <c r="W637" s="12"/>
      <c r="X637" s="12"/>
      <c r="Y637" s="12"/>
      <c r="Z637" s="12"/>
      <c r="AA637" s="12"/>
      <c r="AB637" s="12"/>
      <c r="AC637" s="12"/>
    </row>
    <row r="638" spans="1:29" ht="12.75" customHeight="1">
      <c r="A638" s="12"/>
      <c r="B638" s="12"/>
      <c r="C638" s="12"/>
      <c r="D638" s="12"/>
      <c r="E638" s="12"/>
      <c r="F638" s="12"/>
      <c r="G638" s="12"/>
      <c r="H638" s="592"/>
      <c r="I638" s="592"/>
      <c r="J638" s="592"/>
      <c r="K638" s="592"/>
      <c r="L638" s="592"/>
      <c r="M638" s="592"/>
      <c r="N638" s="592"/>
      <c r="O638" s="592"/>
      <c r="P638" s="592"/>
      <c r="Q638" s="592"/>
      <c r="R638" s="592"/>
      <c r="S638" s="592"/>
      <c r="T638" s="592"/>
      <c r="U638" s="12"/>
      <c r="V638" s="12"/>
      <c r="W638" s="12"/>
      <c r="X638" s="12"/>
      <c r="Y638" s="12"/>
      <c r="Z638" s="12"/>
      <c r="AA638" s="12"/>
      <c r="AB638" s="12"/>
      <c r="AC638" s="12"/>
    </row>
    <row r="639" spans="1:29" ht="12.75" customHeight="1">
      <c r="A639" s="12"/>
      <c r="B639" s="12"/>
      <c r="C639" s="12"/>
      <c r="D639" s="12"/>
      <c r="E639" s="12"/>
      <c r="F639" s="12"/>
      <c r="G639" s="12"/>
      <c r="H639" s="592"/>
      <c r="I639" s="592"/>
      <c r="J639" s="592"/>
      <c r="K639" s="592"/>
      <c r="L639" s="592"/>
      <c r="M639" s="592"/>
      <c r="N639" s="592"/>
      <c r="O639" s="592"/>
      <c r="P639" s="592"/>
      <c r="Q639" s="592"/>
      <c r="R639" s="592"/>
      <c r="S639" s="592"/>
      <c r="T639" s="592"/>
      <c r="U639" s="12"/>
      <c r="V639" s="12"/>
      <c r="W639" s="12"/>
      <c r="X639" s="12"/>
      <c r="Y639" s="12"/>
      <c r="Z639" s="12"/>
      <c r="AA639" s="12"/>
      <c r="AB639" s="12"/>
      <c r="AC639" s="12"/>
    </row>
    <row r="640" spans="1:29" ht="12.75" customHeight="1">
      <c r="A640" s="12"/>
      <c r="B640" s="12"/>
      <c r="C640" s="12"/>
      <c r="D640" s="12"/>
      <c r="E640" s="12"/>
      <c r="F640" s="12"/>
      <c r="G640" s="12"/>
      <c r="H640" s="592"/>
      <c r="I640" s="592"/>
      <c r="J640" s="592"/>
      <c r="K640" s="592"/>
      <c r="L640" s="592"/>
      <c r="M640" s="592"/>
      <c r="N640" s="592"/>
      <c r="O640" s="592"/>
      <c r="P640" s="592"/>
      <c r="Q640" s="592"/>
      <c r="R640" s="592"/>
      <c r="S640" s="592"/>
      <c r="T640" s="592"/>
      <c r="U640" s="12"/>
      <c r="V640" s="12"/>
      <c r="W640" s="12"/>
      <c r="X640" s="12"/>
      <c r="Y640" s="12"/>
      <c r="Z640" s="12"/>
      <c r="AA640" s="12"/>
      <c r="AB640" s="12"/>
      <c r="AC640" s="12"/>
    </row>
    <row r="641" spans="1:29" ht="12.75" customHeight="1">
      <c r="A641" s="12"/>
      <c r="B641" s="12"/>
      <c r="C641" s="12"/>
      <c r="D641" s="12"/>
      <c r="E641" s="12"/>
      <c r="F641" s="12"/>
      <c r="G641" s="12"/>
      <c r="H641" s="592"/>
      <c r="I641" s="592"/>
      <c r="J641" s="592"/>
      <c r="K641" s="592"/>
      <c r="L641" s="592"/>
      <c r="M641" s="592"/>
      <c r="N641" s="592"/>
      <c r="O641" s="592"/>
      <c r="P641" s="592"/>
      <c r="Q641" s="592"/>
      <c r="R641" s="592"/>
      <c r="S641" s="592"/>
      <c r="T641" s="592"/>
      <c r="U641" s="12"/>
      <c r="V641" s="12"/>
      <c r="W641" s="12"/>
      <c r="X641" s="12"/>
      <c r="Y641" s="12"/>
      <c r="Z641" s="12"/>
      <c r="AA641" s="12"/>
      <c r="AB641" s="12"/>
      <c r="AC641" s="12"/>
    </row>
    <row r="642" spans="1:29" ht="12.75" customHeight="1">
      <c r="A642" s="12"/>
      <c r="B642" s="12"/>
      <c r="C642" s="12"/>
      <c r="D642" s="12"/>
      <c r="E642" s="12"/>
      <c r="F642" s="12"/>
      <c r="G642" s="12"/>
      <c r="H642" s="592"/>
      <c r="I642" s="592"/>
      <c r="J642" s="592"/>
      <c r="K642" s="592"/>
      <c r="L642" s="592"/>
      <c r="M642" s="592"/>
      <c r="N642" s="592"/>
      <c r="O642" s="592"/>
      <c r="P642" s="592"/>
      <c r="Q642" s="592"/>
      <c r="R642" s="592"/>
      <c r="S642" s="592"/>
      <c r="T642" s="592"/>
      <c r="U642" s="12"/>
      <c r="V642" s="12"/>
      <c r="W642" s="12"/>
      <c r="X642" s="12"/>
      <c r="Y642" s="12"/>
      <c r="Z642" s="12"/>
      <c r="AA642" s="12"/>
      <c r="AB642" s="12"/>
      <c r="AC642" s="12"/>
    </row>
    <row r="643" spans="1:29" ht="12.75" customHeight="1">
      <c r="A643" s="12"/>
      <c r="B643" s="12"/>
      <c r="C643" s="12"/>
      <c r="D643" s="12"/>
      <c r="E643" s="12"/>
      <c r="F643" s="12"/>
      <c r="G643" s="12"/>
      <c r="H643" s="592"/>
      <c r="I643" s="592"/>
      <c r="J643" s="592"/>
      <c r="K643" s="592"/>
      <c r="L643" s="592"/>
      <c r="M643" s="592"/>
      <c r="N643" s="592"/>
      <c r="O643" s="592"/>
      <c r="P643" s="592"/>
      <c r="Q643" s="592"/>
      <c r="R643" s="592"/>
      <c r="S643" s="592"/>
      <c r="T643" s="592"/>
      <c r="U643" s="12"/>
      <c r="V643" s="12"/>
      <c r="W643" s="12"/>
      <c r="X643" s="12"/>
      <c r="Y643" s="12"/>
      <c r="Z643" s="12"/>
      <c r="AA643" s="12"/>
      <c r="AB643" s="12"/>
      <c r="AC643" s="12"/>
    </row>
    <row r="644" spans="1:29" ht="12.75" customHeight="1">
      <c r="A644" s="12"/>
      <c r="B644" s="12"/>
      <c r="C644" s="12"/>
      <c r="D644" s="12"/>
      <c r="E644" s="12"/>
      <c r="F644" s="12"/>
      <c r="G644" s="12"/>
      <c r="H644" s="592"/>
      <c r="I644" s="592"/>
      <c r="J644" s="592"/>
      <c r="K644" s="592"/>
      <c r="L644" s="592"/>
      <c r="M644" s="592"/>
      <c r="N644" s="592"/>
      <c r="O644" s="592"/>
      <c r="P644" s="592"/>
      <c r="Q644" s="592"/>
      <c r="R644" s="592"/>
      <c r="S644" s="592"/>
      <c r="T644" s="592"/>
      <c r="U644" s="12"/>
      <c r="V644" s="12"/>
      <c r="W644" s="12"/>
      <c r="X644" s="12"/>
      <c r="Y644" s="12"/>
      <c r="Z644" s="12"/>
      <c r="AA644" s="12"/>
      <c r="AB644" s="12"/>
      <c r="AC644" s="12"/>
    </row>
    <row r="645" spans="1:29" ht="12.75" customHeight="1">
      <c r="A645" s="12"/>
      <c r="B645" s="12"/>
      <c r="C645" s="12"/>
      <c r="D645" s="12"/>
      <c r="E645" s="12"/>
      <c r="F645" s="12"/>
      <c r="G645" s="12"/>
      <c r="H645" s="592"/>
      <c r="I645" s="592"/>
      <c r="J645" s="592"/>
      <c r="K645" s="592"/>
      <c r="L645" s="592"/>
      <c r="M645" s="592"/>
      <c r="N645" s="592"/>
      <c r="O645" s="592"/>
      <c r="P645" s="592"/>
      <c r="Q645" s="592"/>
      <c r="R645" s="592"/>
      <c r="S645" s="592"/>
      <c r="T645" s="592"/>
      <c r="U645" s="12"/>
      <c r="V645" s="12"/>
      <c r="W645" s="12"/>
      <c r="X645" s="12"/>
      <c r="Y645" s="12"/>
      <c r="Z645" s="12"/>
      <c r="AA645" s="12"/>
      <c r="AB645" s="12"/>
      <c r="AC645" s="12"/>
    </row>
    <row r="646" spans="1:29" ht="12.75" customHeight="1">
      <c r="A646" s="12"/>
      <c r="B646" s="12"/>
      <c r="C646" s="12"/>
      <c r="D646" s="12"/>
      <c r="E646" s="12"/>
      <c r="F646" s="12"/>
      <c r="G646" s="12"/>
      <c r="H646" s="592"/>
      <c r="I646" s="592"/>
      <c r="J646" s="592"/>
      <c r="K646" s="592"/>
      <c r="L646" s="592"/>
      <c r="M646" s="592"/>
      <c r="N646" s="592"/>
      <c r="O646" s="592"/>
      <c r="P646" s="592"/>
      <c r="Q646" s="592"/>
      <c r="R646" s="592"/>
      <c r="S646" s="592"/>
      <c r="T646" s="592"/>
      <c r="U646" s="12"/>
      <c r="V646" s="12"/>
      <c r="W646" s="12"/>
      <c r="X646" s="12"/>
      <c r="Y646" s="12"/>
      <c r="Z646" s="12"/>
      <c r="AA646" s="12"/>
      <c r="AB646" s="12"/>
      <c r="AC646" s="12"/>
    </row>
    <row r="647" spans="1:29" ht="12.75" customHeight="1">
      <c r="A647" s="12"/>
      <c r="B647" s="12"/>
      <c r="C647" s="12"/>
      <c r="D647" s="12"/>
      <c r="E647" s="12"/>
      <c r="F647" s="12"/>
      <c r="G647" s="12"/>
      <c r="H647" s="592"/>
      <c r="I647" s="592"/>
      <c r="J647" s="592"/>
      <c r="K647" s="592"/>
      <c r="L647" s="592"/>
      <c r="M647" s="592"/>
      <c r="N647" s="592"/>
      <c r="O647" s="592"/>
      <c r="P647" s="592"/>
      <c r="Q647" s="592"/>
      <c r="R647" s="592"/>
      <c r="S647" s="592"/>
      <c r="T647" s="592"/>
      <c r="U647" s="12"/>
      <c r="V647" s="12"/>
      <c r="W647" s="12"/>
      <c r="X647" s="12"/>
      <c r="Y647" s="12"/>
      <c r="Z647" s="12"/>
      <c r="AA647" s="12"/>
      <c r="AB647" s="12"/>
      <c r="AC647" s="12"/>
    </row>
    <row r="648" spans="1:29" ht="12.75" customHeight="1">
      <c r="A648" s="12"/>
      <c r="B648" s="12"/>
      <c r="C648" s="12"/>
      <c r="D648" s="12"/>
      <c r="E648" s="12"/>
      <c r="F648" s="12"/>
      <c r="G648" s="12"/>
      <c r="H648" s="592"/>
      <c r="I648" s="592"/>
      <c r="J648" s="592"/>
      <c r="K648" s="592"/>
      <c r="L648" s="592"/>
      <c r="M648" s="592"/>
      <c r="N648" s="592"/>
      <c r="O648" s="592"/>
      <c r="P648" s="592"/>
      <c r="Q648" s="592"/>
      <c r="R648" s="592"/>
      <c r="S648" s="592"/>
      <c r="T648" s="592"/>
      <c r="U648" s="12"/>
      <c r="V648" s="12"/>
      <c r="W648" s="12"/>
      <c r="X648" s="12"/>
      <c r="Y648" s="12"/>
      <c r="Z648" s="12"/>
      <c r="AA648" s="12"/>
      <c r="AB648" s="12"/>
      <c r="AC648" s="12"/>
    </row>
    <row r="649" spans="1:29" ht="12.75" customHeight="1">
      <c r="A649" s="12"/>
      <c r="B649" s="12"/>
      <c r="C649" s="12"/>
      <c r="D649" s="12"/>
      <c r="E649" s="12"/>
      <c r="F649" s="12"/>
      <c r="G649" s="12"/>
      <c r="H649" s="592"/>
      <c r="I649" s="592"/>
      <c r="J649" s="592"/>
      <c r="K649" s="592"/>
      <c r="L649" s="592"/>
      <c r="M649" s="592"/>
      <c r="N649" s="592"/>
      <c r="O649" s="592"/>
      <c r="P649" s="592"/>
      <c r="Q649" s="592"/>
      <c r="R649" s="592"/>
      <c r="S649" s="592"/>
      <c r="T649" s="592"/>
      <c r="U649" s="12"/>
      <c r="V649" s="12"/>
      <c r="W649" s="12"/>
      <c r="X649" s="12"/>
      <c r="Y649" s="12"/>
      <c r="Z649" s="12"/>
      <c r="AA649" s="12"/>
      <c r="AB649" s="12"/>
      <c r="AC649" s="12"/>
    </row>
    <row r="650" spans="1:29" ht="12.75" customHeight="1">
      <c r="A650" s="12"/>
      <c r="B650" s="12"/>
      <c r="C650" s="12"/>
      <c r="D650" s="12"/>
      <c r="E650" s="12"/>
      <c r="F650" s="12"/>
      <c r="G650" s="12"/>
      <c r="H650" s="592"/>
      <c r="I650" s="592"/>
      <c r="J650" s="592"/>
      <c r="K650" s="592"/>
      <c r="L650" s="592"/>
      <c r="M650" s="592"/>
      <c r="N650" s="592"/>
      <c r="O650" s="592"/>
      <c r="P650" s="592"/>
      <c r="Q650" s="592"/>
      <c r="R650" s="592"/>
      <c r="S650" s="592"/>
      <c r="T650" s="592"/>
      <c r="U650" s="12"/>
      <c r="V650" s="12"/>
      <c r="W650" s="12"/>
      <c r="X650" s="12"/>
      <c r="Y650" s="12"/>
      <c r="Z650" s="12"/>
      <c r="AA650" s="12"/>
      <c r="AB650" s="12"/>
      <c r="AC650" s="12"/>
    </row>
    <row r="651" spans="1:29" ht="12.75" customHeight="1">
      <c r="A651" s="12"/>
      <c r="B651" s="12"/>
      <c r="C651" s="12"/>
      <c r="D651" s="12"/>
      <c r="E651" s="12"/>
      <c r="F651" s="12"/>
      <c r="G651" s="12"/>
      <c r="H651" s="592"/>
      <c r="I651" s="592"/>
      <c r="J651" s="592"/>
      <c r="K651" s="592"/>
      <c r="L651" s="592"/>
      <c r="M651" s="592"/>
      <c r="N651" s="592"/>
      <c r="O651" s="592"/>
      <c r="P651" s="592"/>
      <c r="Q651" s="592"/>
      <c r="R651" s="592"/>
      <c r="S651" s="592"/>
      <c r="T651" s="592"/>
      <c r="U651" s="12"/>
      <c r="V651" s="12"/>
      <c r="W651" s="12"/>
      <c r="X651" s="12"/>
      <c r="Y651" s="12"/>
      <c r="Z651" s="12"/>
      <c r="AA651" s="12"/>
      <c r="AB651" s="12"/>
      <c r="AC651" s="12"/>
    </row>
    <row r="652" spans="1:29" ht="12.75" customHeight="1">
      <c r="A652" s="12"/>
      <c r="B652" s="12"/>
      <c r="C652" s="12"/>
      <c r="D652" s="12"/>
      <c r="E652" s="12"/>
      <c r="F652" s="12"/>
      <c r="G652" s="12"/>
      <c r="H652" s="592"/>
      <c r="I652" s="592"/>
      <c r="J652" s="592"/>
      <c r="K652" s="592"/>
      <c r="L652" s="592"/>
      <c r="M652" s="592"/>
      <c r="N652" s="592"/>
      <c r="O652" s="592"/>
      <c r="P652" s="592"/>
      <c r="Q652" s="592"/>
      <c r="R652" s="592"/>
      <c r="S652" s="592"/>
      <c r="T652" s="592"/>
      <c r="U652" s="12"/>
      <c r="V652" s="12"/>
      <c r="W652" s="12"/>
      <c r="X652" s="12"/>
      <c r="Y652" s="12"/>
      <c r="Z652" s="12"/>
      <c r="AA652" s="12"/>
      <c r="AB652" s="12"/>
      <c r="AC652" s="12"/>
    </row>
    <row r="653" spans="1:29" ht="12.75" customHeight="1">
      <c r="A653" s="12"/>
      <c r="B653" s="12"/>
      <c r="C653" s="12"/>
      <c r="D653" s="12"/>
      <c r="E653" s="12"/>
      <c r="F653" s="12"/>
      <c r="G653" s="12"/>
      <c r="H653" s="592"/>
      <c r="I653" s="592"/>
      <c r="J653" s="592"/>
      <c r="K653" s="592"/>
      <c r="L653" s="592"/>
      <c r="M653" s="592"/>
      <c r="N653" s="592"/>
      <c r="O653" s="592"/>
      <c r="P653" s="592"/>
      <c r="Q653" s="592"/>
      <c r="R653" s="592"/>
      <c r="S653" s="592"/>
      <c r="T653" s="592"/>
      <c r="U653" s="12"/>
      <c r="V653" s="12"/>
      <c r="W653" s="12"/>
      <c r="X653" s="12"/>
      <c r="Y653" s="12"/>
      <c r="Z653" s="12"/>
      <c r="AA653" s="12"/>
      <c r="AB653" s="12"/>
      <c r="AC653" s="12"/>
    </row>
    <row r="654" spans="1:29" ht="12.75" customHeight="1">
      <c r="A654" s="12"/>
      <c r="B654" s="12"/>
      <c r="C654" s="12"/>
      <c r="D654" s="12"/>
      <c r="E654" s="12"/>
      <c r="F654" s="12"/>
      <c r="G654" s="12"/>
      <c r="H654" s="592"/>
      <c r="I654" s="592"/>
      <c r="J654" s="592"/>
      <c r="K654" s="592"/>
      <c r="L654" s="592"/>
      <c r="M654" s="592"/>
      <c r="N654" s="592"/>
      <c r="O654" s="592"/>
      <c r="P654" s="592"/>
      <c r="Q654" s="592"/>
      <c r="R654" s="592"/>
      <c r="S654" s="592"/>
      <c r="T654" s="592"/>
      <c r="U654" s="12"/>
      <c r="V654" s="12"/>
      <c r="W654" s="12"/>
      <c r="X654" s="12"/>
      <c r="Y654" s="12"/>
      <c r="Z654" s="12"/>
      <c r="AA654" s="12"/>
      <c r="AB654" s="12"/>
      <c r="AC654" s="12"/>
    </row>
    <row r="655" spans="1:29" ht="12.75" customHeight="1">
      <c r="A655" s="12"/>
      <c r="B655" s="12"/>
      <c r="C655" s="12"/>
      <c r="D655" s="12"/>
      <c r="E655" s="12"/>
      <c r="F655" s="12"/>
      <c r="G655" s="12"/>
      <c r="H655" s="592"/>
      <c r="I655" s="592"/>
      <c r="J655" s="592"/>
      <c r="K655" s="592"/>
      <c r="L655" s="592"/>
      <c r="M655" s="592"/>
      <c r="N655" s="592"/>
      <c r="O655" s="592"/>
      <c r="P655" s="592"/>
      <c r="Q655" s="592"/>
      <c r="R655" s="592"/>
      <c r="S655" s="592"/>
      <c r="T655" s="592"/>
      <c r="U655" s="12"/>
      <c r="V655" s="12"/>
      <c r="W655" s="12"/>
      <c r="X655" s="12"/>
      <c r="Y655" s="12"/>
      <c r="Z655" s="12"/>
      <c r="AA655" s="12"/>
      <c r="AB655" s="12"/>
      <c r="AC655" s="12"/>
    </row>
    <row r="656" spans="1:29" ht="12.75" customHeight="1">
      <c r="A656" s="12"/>
      <c r="B656" s="12"/>
      <c r="C656" s="12"/>
      <c r="D656" s="12"/>
      <c r="E656" s="12"/>
      <c r="F656" s="12"/>
      <c r="G656" s="12"/>
      <c r="H656" s="592"/>
      <c r="I656" s="592"/>
      <c r="J656" s="592"/>
      <c r="K656" s="592"/>
      <c r="L656" s="592"/>
      <c r="M656" s="592"/>
      <c r="N656" s="592"/>
      <c r="O656" s="592"/>
      <c r="P656" s="592"/>
      <c r="Q656" s="592"/>
      <c r="R656" s="592"/>
      <c r="S656" s="592"/>
      <c r="T656" s="592"/>
      <c r="U656" s="12"/>
      <c r="V656" s="12"/>
      <c r="W656" s="12"/>
      <c r="X656" s="12"/>
      <c r="Y656" s="12"/>
      <c r="Z656" s="12"/>
      <c r="AA656" s="12"/>
      <c r="AB656" s="12"/>
      <c r="AC656" s="12"/>
    </row>
    <row r="657" spans="1:29" ht="12.75" customHeight="1">
      <c r="A657" s="12"/>
      <c r="B657" s="12"/>
      <c r="C657" s="12"/>
      <c r="D657" s="12"/>
      <c r="E657" s="12"/>
      <c r="F657" s="12"/>
      <c r="G657" s="12"/>
      <c r="H657" s="592"/>
      <c r="I657" s="592"/>
      <c r="J657" s="592"/>
      <c r="K657" s="592"/>
      <c r="L657" s="592"/>
      <c r="M657" s="592"/>
      <c r="N657" s="592"/>
      <c r="O657" s="592"/>
      <c r="P657" s="592"/>
      <c r="Q657" s="592"/>
      <c r="R657" s="592"/>
      <c r="S657" s="592"/>
      <c r="T657" s="592"/>
      <c r="U657" s="12"/>
      <c r="V657" s="12"/>
      <c r="W657" s="12"/>
      <c r="X657" s="12"/>
      <c r="Y657" s="12"/>
      <c r="Z657" s="12"/>
      <c r="AA657" s="12"/>
      <c r="AB657" s="12"/>
      <c r="AC657" s="12"/>
    </row>
    <row r="658" spans="1:29" ht="12.75" customHeight="1">
      <c r="A658" s="12"/>
      <c r="B658" s="12"/>
      <c r="C658" s="12"/>
      <c r="D658" s="12"/>
      <c r="E658" s="12"/>
      <c r="F658" s="12"/>
      <c r="G658" s="12"/>
      <c r="H658" s="592"/>
      <c r="I658" s="592"/>
      <c r="J658" s="592"/>
      <c r="K658" s="592"/>
      <c r="L658" s="592"/>
      <c r="M658" s="592"/>
      <c r="N658" s="592"/>
      <c r="O658" s="592"/>
      <c r="P658" s="592"/>
      <c r="Q658" s="592"/>
      <c r="R658" s="592"/>
      <c r="S658" s="592"/>
      <c r="T658" s="592"/>
      <c r="U658" s="12"/>
      <c r="V658" s="12"/>
      <c r="W658" s="12"/>
      <c r="X658" s="12"/>
      <c r="Y658" s="12"/>
      <c r="Z658" s="12"/>
      <c r="AA658" s="12"/>
      <c r="AB658" s="12"/>
      <c r="AC658" s="12"/>
    </row>
    <row r="659" spans="1:29" ht="12.75" customHeight="1">
      <c r="A659" s="12"/>
      <c r="B659" s="12"/>
      <c r="C659" s="12"/>
      <c r="D659" s="12"/>
      <c r="E659" s="12"/>
      <c r="F659" s="12"/>
      <c r="G659" s="12"/>
      <c r="H659" s="592"/>
      <c r="I659" s="592"/>
      <c r="J659" s="592"/>
      <c r="K659" s="592"/>
      <c r="L659" s="592"/>
      <c r="M659" s="592"/>
      <c r="N659" s="592"/>
      <c r="O659" s="592"/>
      <c r="P659" s="592"/>
      <c r="Q659" s="592"/>
      <c r="R659" s="592"/>
      <c r="S659" s="592"/>
      <c r="T659" s="592"/>
      <c r="U659" s="12"/>
      <c r="V659" s="12"/>
      <c r="W659" s="12"/>
      <c r="X659" s="12"/>
      <c r="Y659" s="12"/>
      <c r="Z659" s="12"/>
      <c r="AA659" s="12"/>
      <c r="AB659" s="12"/>
      <c r="AC659" s="12"/>
    </row>
    <row r="660" spans="1:29" ht="12.75" customHeight="1">
      <c r="A660" s="12"/>
      <c r="B660" s="12"/>
      <c r="C660" s="12"/>
      <c r="D660" s="12"/>
      <c r="E660" s="12"/>
      <c r="F660" s="12"/>
      <c r="G660" s="12"/>
      <c r="H660" s="592"/>
      <c r="I660" s="592"/>
      <c r="J660" s="592"/>
      <c r="K660" s="592"/>
      <c r="L660" s="592"/>
      <c r="M660" s="592"/>
      <c r="N660" s="592"/>
      <c r="O660" s="592"/>
      <c r="P660" s="592"/>
      <c r="Q660" s="592"/>
      <c r="R660" s="592"/>
      <c r="S660" s="592"/>
      <c r="T660" s="592"/>
      <c r="U660" s="12"/>
      <c r="V660" s="12"/>
      <c r="W660" s="12"/>
      <c r="X660" s="12"/>
      <c r="Y660" s="12"/>
      <c r="Z660" s="12"/>
      <c r="AA660" s="12"/>
      <c r="AB660" s="12"/>
      <c r="AC660" s="12"/>
    </row>
    <row r="661" spans="1:29" ht="12.75" customHeight="1">
      <c r="A661" s="12"/>
      <c r="B661" s="12"/>
      <c r="C661" s="12"/>
      <c r="D661" s="12"/>
      <c r="E661" s="12"/>
      <c r="F661" s="12"/>
      <c r="G661" s="12"/>
      <c r="H661" s="592"/>
      <c r="I661" s="592"/>
      <c r="J661" s="592"/>
      <c r="K661" s="592"/>
      <c r="L661" s="592"/>
      <c r="M661" s="592"/>
      <c r="N661" s="592"/>
      <c r="O661" s="592"/>
      <c r="P661" s="592"/>
      <c r="Q661" s="592"/>
      <c r="R661" s="592"/>
      <c r="S661" s="592"/>
      <c r="T661" s="592"/>
      <c r="U661" s="12"/>
      <c r="V661" s="12"/>
      <c r="W661" s="12"/>
      <c r="X661" s="12"/>
      <c r="Y661" s="12"/>
      <c r="Z661" s="12"/>
      <c r="AA661" s="12"/>
      <c r="AB661" s="12"/>
      <c r="AC661" s="12"/>
    </row>
    <row r="662" spans="1:29" ht="12.75" customHeight="1">
      <c r="A662" s="12"/>
      <c r="B662" s="12"/>
      <c r="C662" s="12"/>
      <c r="D662" s="12"/>
      <c r="E662" s="12"/>
      <c r="F662" s="12"/>
      <c r="G662" s="12"/>
      <c r="H662" s="592"/>
      <c r="I662" s="592"/>
      <c r="J662" s="592"/>
      <c r="K662" s="592"/>
      <c r="L662" s="592"/>
      <c r="M662" s="592"/>
      <c r="N662" s="592"/>
      <c r="O662" s="592"/>
      <c r="P662" s="592"/>
      <c r="Q662" s="592"/>
      <c r="R662" s="592"/>
      <c r="S662" s="592"/>
      <c r="T662" s="592"/>
      <c r="U662" s="12"/>
      <c r="V662" s="12"/>
      <c r="W662" s="12"/>
      <c r="X662" s="12"/>
      <c r="Y662" s="12"/>
      <c r="Z662" s="12"/>
      <c r="AA662" s="12"/>
      <c r="AB662" s="12"/>
      <c r="AC662" s="12"/>
    </row>
    <row r="663" spans="1:29" ht="12.75" customHeight="1">
      <c r="A663" s="12"/>
      <c r="B663" s="12"/>
      <c r="C663" s="12"/>
      <c r="D663" s="12"/>
      <c r="E663" s="12"/>
      <c r="F663" s="12"/>
      <c r="G663" s="12"/>
      <c r="H663" s="592"/>
      <c r="I663" s="592"/>
      <c r="J663" s="592"/>
      <c r="K663" s="592"/>
      <c r="L663" s="592"/>
      <c r="M663" s="592"/>
      <c r="N663" s="592"/>
      <c r="O663" s="592"/>
      <c r="P663" s="592"/>
      <c r="Q663" s="592"/>
      <c r="R663" s="592"/>
      <c r="S663" s="592"/>
      <c r="T663" s="592"/>
      <c r="U663" s="12"/>
      <c r="V663" s="12"/>
      <c r="W663" s="12"/>
      <c r="X663" s="12"/>
      <c r="Y663" s="12"/>
      <c r="Z663" s="12"/>
      <c r="AA663" s="12"/>
      <c r="AB663" s="12"/>
      <c r="AC663" s="12"/>
    </row>
    <row r="664" spans="1:29" ht="12.75" customHeight="1">
      <c r="A664" s="12"/>
      <c r="B664" s="12"/>
      <c r="C664" s="12"/>
      <c r="D664" s="12"/>
      <c r="E664" s="12"/>
      <c r="F664" s="12"/>
      <c r="G664" s="12"/>
      <c r="H664" s="592"/>
      <c r="I664" s="592"/>
      <c r="J664" s="592"/>
      <c r="K664" s="592"/>
      <c r="L664" s="592"/>
      <c r="M664" s="592"/>
      <c r="N664" s="592"/>
      <c r="O664" s="592"/>
      <c r="P664" s="592"/>
      <c r="Q664" s="592"/>
      <c r="R664" s="592"/>
      <c r="S664" s="592"/>
      <c r="T664" s="592"/>
      <c r="U664" s="12"/>
      <c r="V664" s="12"/>
      <c r="W664" s="12"/>
      <c r="X664" s="12"/>
      <c r="Y664" s="12"/>
      <c r="Z664" s="12"/>
      <c r="AA664" s="12"/>
      <c r="AB664" s="12"/>
      <c r="AC664" s="12"/>
    </row>
    <row r="665" spans="1:29" ht="12.75" customHeight="1">
      <c r="A665" s="12"/>
      <c r="B665" s="12"/>
      <c r="C665" s="12"/>
      <c r="D665" s="12"/>
      <c r="E665" s="12"/>
      <c r="F665" s="12"/>
      <c r="G665" s="12"/>
      <c r="H665" s="592"/>
      <c r="I665" s="592"/>
      <c r="J665" s="592"/>
      <c r="K665" s="592"/>
      <c r="L665" s="592"/>
      <c r="M665" s="592"/>
      <c r="N665" s="592"/>
      <c r="O665" s="592"/>
      <c r="P665" s="592"/>
      <c r="Q665" s="592"/>
      <c r="R665" s="592"/>
      <c r="S665" s="592"/>
      <c r="T665" s="592"/>
      <c r="U665" s="12"/>
      <c r="V665" s="12"/>
      <c r="W665" s="12"/>
      <c r="X665" s="12"/>
      <c r="Y665" s="12"/>
      <c r="Z665" s="12"/>
      <c r="AA665" s="12"/>
      <c r="AB665" s="12"/>
      <c r="AC665" s="12"/>
    </row>
    <row r="666" spans="1:29" ht="12.75" customHeight="1">
      <c r="A666" s="12"/>
      <c r="B666" s="12"/>
      <c r="C666" s="12"/>
      <c r="D666" s="12"/>
      <c r="E666" s="12"/>
      <c r="F666" s="12"/>
      <c r="G666" s="12"/>
      <c r="H666" s="592"/>
      <c r="I666" s="592"/>
      <c r="J666" s="592"/>
      <c r="K666" s="592"/>
      <c r="L666" s="592"/>
      <c r="M666" s="592"/>
      <c r="N666" s="592"/>
      <c r="O666" s="592"/>
      <c r="P666" s="592"/>
      <c r="Q666" s="592"/>
      <c r="R666" s="592"/>
      <c r="S666" s="592"/>
      <c r="T666" s="592"/>
      <c r="U666" s="12"/>
      <c r="V666" s="12"/>
      <c r="W666" s="12"/>
      <c r="X666" s="12"/>
      <c r="Y666" s="12"/>
      <c r="Z666" s="12"/>
      <c r="AA666" s="12"/>
      <c r="AB666" s="12"/>
      <c r="AC666" s="12"/>
    </row>
    <row r="667" spans="1:29" ht="12.75" customHeight="1">
      <c r="A667" s="12"/>
      <c r="B667" s="12"/>
      <c r="C667" s="12"/>
      <c r="D667" s="12"/>
      <c r="E667" s="12"/>
      <c r="F667" s="12"/>
      <c r="G667" s="12"/>
      <c r="H667" s="592"/>
      <c r="I667" s="592"/>
      <c r="J667" s="592"/>
      <c r="K667" s="592"/>
      <c r="L667" s="592"/>
      <c r="M667" s="592"/>
      <c r="N667" s="592"/>
      <c r="O667" s="592"/>
      <c r="P667" s="592"/>
      <c r="Q667" s="592"/>
      <c r="R667" s="592"/>
      <c r="S667" s="592"/>
      <c r="T667" s="592"/>
      <c r="U667" s="12"/>
      <c r="V667" s="12"/>
      <c r="W667" s="12"/>
      <c r="X667" s="12"/>
      <c r="Y667" s="12"/>
      <c r="Z667" s="12"/>
      <c r="AA667" s="12"/>
      <c r="AB667" s="12"/>
      <c r="AC667" s="12"/>
    </row>
    <row r="668" spans="1:29" ht="12.75" customHeight="1">
      <c r="A668" s="12"/>
      <c r="B668" s="12"/>
      <c r="C668" s="12"/>
      <c r="D668" s="12"/>
      <c r="E668" s="12"/>
      <c r="F668" s="12"/>
      <c r="G668" s="12"/>
      <c r="H668" s="592"/>
      <c r="I668" s="592"/>
      <c r="J668" s="592"/>
      <c r="K668" s="592"/>
      <c r="L668" s="592"/>
      <c r="M668" s="592"/>
      <c r="N668" s="592"/>
      <c r="O668" s="592"/>
      <c r="P668" s="592"/>
      <c r="Q668" s="592"/>
      <c r="R668" s="592"/>
      <c r="S668" s="592"/>
      <c r="T668" s="592"/>
      <c r="U668" s="12"/>
      <c r="V668" s="12"/>
      <c r="W668" s="12"/>
      <c r="X668" s="12"/>
      <c r="Y668" s="12"/>
      <c r="Z668" s="12"/>
      <c r="AA668" s="12"/>
      <c r="AB668" s="12"/>
      <c r="AC668" s="12"/>
    </row>
    <row r="669" spans="1:29" ht="12.75" customHeight="1">
      <c r="A669" s="12"/>
      <c r="B669" s="12"/>
      <c r="C669" s="12"/>
      <c r="D669" s="12"/>
      <c r="E669" s="12"/>
      <c r="F669" s="12"/>
      <c r="G669" s="12"/>
      <c r="H669" s="592"/>
      <c r="I669" s="592"/>
      <c r="J669" s="592"/>
      <c r="K669" s="592"/>
      <c r="L669" s="592"/>
      <c r="M669" s="592"/>
      <c r="N669" s="592"/>
      <c r="O669" s="592"/>
      <c r="P669" s="592"/>
      <c r="Q669" s="592"/>
      <c r="R669" s="592"/>
      <c r="S669" s="592"/>
      <c r="T669" s="592"/>
      <c r="U669" s="12"/>
      <c r="V669" s="12"/>
      <c r="W669" s="12"/>
      <c r="X669" s="12"/>
      <c r="Y669" s="12"/>
      <c r="Z669" s="12"/>
      <c r="AA669" s="12"/>
      <c r="AB669" s="12"/>
      <c r="AC669" s="12"/>
    </row>
    <row r="670" spans="1:29" ht="12.75" customHeight="1">
      <c r="A670" s="12"/>
      <c r="B670" s="12"/>
      <c r="C670" s="12"/>
      <c r="D670" s="12"/>
      <c r="E670" s="12"/>
      <c r="F670" s="12"/>
      <c r="G670" s="12"/>
      <c r="H670" s="592"/>
      <c r="I670" s="592"/>
      <c r="J670" s="592"/>
      <c r="K670" s="592"/>
      <c r="L670" s="592"/>
      <c r="M670" s="592"/>
      <c r="N670" s="592"/>
      <c r="O670" s="592"/>
      <c r="P670" s="592"/>
      <c r="Q670" s="592"/>
      <c r="R670" s="592"/>
      <c r="S670" s="592"/>
      <c r="T670" s="592"/>
      <c r="U670" s="12"/>
      <c r="V670" s="12"/>
      <c r="W670" s="12"/>
      <c r="X670" s="12"/>
      <c r="Y670" s="12"/>
      <c r="Z670" s="12"/>
      <c r="AA670" s="12"/>
      <c r="AB670" s="12"/>
      <c r="AC670" s="12"/>
    </row>
    <row r="671" spans="1:29" ht="12.75" customHeight="1">
      <c r="A671" s="12"/>
      <c r="B671" s="12"/>
      <c r="C671" s="12"/>
      <c r="D671" s="12"/>
      <c r="E671" s="12"/>
      <c r="F671" s="12"/>
      <c r="G671" s="12"/>
      <c r="H671" s="592"/>
      <c r="I671" s="592"/>
      <c r="J671" s="592"/>
      <c r="K671" s="592"/>
      <c r="L671" s="592"/>
      <c r="M671" s="592"/>
      <c r="N671" s="592"/>
      <c r="O671" s="592"/>
      <c r="P671" s="592"/>
      <c r="Q671" s="592"/>
      <c r="R671" s="592"/>
      <c r="S671" s="592"/>
      <c r="T671" s="592"/>
      <c r="U671" s="12"/>
      <c r="V671" s="12"/>
      <c r="W671" s="12"/>
      <c r="X671" s="12"/>
      <c r="Y671" s="12"/>
      <c r="Z671" s="12"/>
      <c r="AA671" s="12"/>
      <c r="AB671" s="12"/>
      <c r="AC671" s="12"/>
    </row>
    <row r="672" spans="1:29" ht="12.75" customHeight="1">
      <c r="A672" s="12"/>
      <c r="B672" s="12"/>
      <c r="C672" s="12"/>
      <c r="D672" s="12"/>
      <c r="E672" s="12"/>
      <c r="F672" s="12"/>
      <c r="G672" s="12"/>
      <c r="H672" s="592"/>
      <c r="I672" s="592"/>
      <c r="J672" s="592"/>
      <c r="K672" s="592"/>
      <c r="L672" s="592"/>
      <c r="M672" s="592"/>
      <c r="N672" s="592"/>
      <c r="O672" s="592"/>
      <c r="P672" s="592"/>
      <c r="Q672" s="592"/>
      <c r="R672" s="592"/>
      <c r="S672" s="592"/>
      <c r="T672" s="592"/>
      <c r="U672" s="12"/>
      <c r="V672" s="12"/>
      <c r="W672" s="12"/>
      <c r="X672" s="12"/>
      <c r="Y672" s="12"/>
      <c r="Z672" s="12"/>
      <c r="AA672" s="12"/>
      <c r="AB672" s="12"/>
      <c r="AC672" s="12"/>
    </row>
    <row r="673" spans="1:29" ht="12.75" customHeight="1">
      <c r="A673" s="12"/>
      <c r="B673" s="12"/>
      <c r="C673" s="12"/>
      <c r="D673" s="12"/>
      <c r="E673" s="12"/>
      <c r="F673" s="12"/>
      <c r="G673" s="12"/>
      <c r="H673" s="592"/>
      <c r="I673" s="592"/>
      <c r="J673" s="592"/>
      <c r="K673" s="592"/>
      <c r="L673" s="592"/>
      <c r="M673" s="592"/>
      <c r="N673" s="592"/>
      <c r="O673" s="592"/>
      <c r="P673" s="592"/>
      <c r="Q673" s="592"/>
      <c r="R673" s="592"/>
      <c r="S673" s="592"/>
      <c r="T673" s="592"/>
      <c r="U673" s="12"/>
      <c r="V673" s="12"/>
      <c r="W673" s="12"/>
      <c r="X673" s="12"/>
      <c r="Y673" s="12"/>
      <c r="Z673" s="12"/>
      <c r="AA673" s="12"/>
      <c r="AB673" s="12"/>
      <c r="AC673" s="12"/>
    </row>
    <row r="674" spans="1:29" ht="12.75" customHeight="1">
      <c r="A674" s="12"/>
      <c r="B674" s="12"/>
      <c r="C674" s="12"/>
      <c r="D674" s="12"/>
      <c r="E674" s="12"/>
      <c r="F674" s="12"/>
      <c r="G674" s="12"/>
      <c r="H674" s="592"/>
      <c r="I674" s="592"/>
      <c r="J674" s="592"/>
      <c r="K674" s="592"/>
      <c r="L674" s="592"/>
      <c r="M674" s="592"/>
      <c r="N674" s="592"/>
      <c r="O674" s="592"/>
      <c r="P674" s="592"/>
      <c r="Q674" s="592"/>
      <c r="R674" s="592"/>
      <c r="S674" s="592"/>
      <c r="T674" s="592"/>
      <c r="U674" s="12"/>
      <c r="V674" s="12"/>
      <c r="W674" s="12"/>
      <c r="X674" s="12"/>
      <c r="Y674" s="12"/>
      <c r="Z674" s="12"/>
      <c r="AA674" s="12"/>
      <c r="AB674" s="12"/>
      <c r="AC674" s="12"/>
    </row>
    <row r="675" spans="1:29" ht="12.75" customHeight="1">
      <c r="A675" s="12"/>
      <c r="B675" s="12"/>
      <c r="C675" s="12"/>
      <c r="D675" s="12"/>
      <c r="E675" s="12"/>
      <c r="F675" s="12"/>
      <c r="G675" s="12"/>
      <c r="H675" s="592"/>
      <c r="I675" s="592"/>
      <c r="J675" s="592"/>
      <c r="K675" s="592"/>
      <c r="L675" s="592"/>
      <c r="M675" s="592"/>
      <c r="N675" s="592"/>
      <c r="O675" s="592"/>
      <c r="P675" s="592"/>
      <c r="Q675" s="592"/>
      <c r="R675" s="592"/>
      <c r="S675" s="592"/>
      <c r="T675" s="592"/>
      <c r="U675" s="12"/>
      <c r="V675" s="12"/>
      <c r="W675" s="12"/>
      <c r="X675" s="12"/>
      <c r="Y675" s="12"/>
      <c r="Z675" s="12"/>
      <c r="AA675" s="12"/>
      <c r="AB675" s="12"/>
      <c r="AC675" s="12"/>
    </row>
    <row r="676" spans="1:29" ht="12.75" customHeight="1">
      <c r="A676" s="12"/>
      <c r="B676" s="12"/>
      <c r="C676" s="12"/>
      <c r="D676" s="12"/>
      <c r="E676" s="12"/>
      <c r="F676" s="12"/>
      <c r="G676" s="12"/>
      <c r="H676" s="592"/>
      <c r="I676" s="592"/>
      <c r="J676" s="592"/>
      <c r="K676" s="592"/>
      <c r="L676" s="592"/>
      <c r="M676" s="592"/>
      <c r="N676" s="592"/>
      <c r="O676" s="592"/>
      <c r="P676" s="592"/>
      <c r="Q676" s="592"/>
      <c r="R676" s="592"/>
      <c r="S676" s="592"/>
      <c r="T676" s="592"/>
      <c r="U676" s="12"/>
      <c r="V676" s="12"/>
      <c r="W676" s="12"/>
      <c r="X676" s="12"/>
      <c r="Y676" s="12"/>
      <c r="Z676" s="12"/>
      <c r="AA676" s="12"/>
      <c r="AB676" s="12"/>
      <c r="AC676" s="12"/>
    </row>
    <row r="677" spans="1:29" ht="12.75" customHeight="1">
      <c r="A677" s="12"/>
      <c r="B677" s="12"/>
      <c r="C677" s="12"/>
      <c r="D677" s="12"/>
      <c r="E677" s="12"/>
      <c r="F677" s="12"/>
      <c r="G677" s="12"/>
      <c r="H677" s="592"/>
      <c r="I677" s="592"/>
      <c r="J677" s="592"/>
      <c r="K677" s="592"/>
      <c r="L677" s="592"/>
      <c r="M677" s="592"/>
      <c r="N677" s="592"/>
      <c r="O677" s="592"/>
      <c r="P677" s="592"/>
      <c r="Q677" s="592"/>
      <c r="R677" s="592"/>
      <c r="S677" s="592"/>
      <c r="T677" s="592"/>
      <c r="U677" s="12"/>
      <c r="V677" s="12"/>
      <c r="W677" s="12"/>
      <c r="X677" s="12"/>
      <c r="Y677" s="12"/>
      <c r="Z677" s="12"/>
      <c r="AA677" s="12"/>
      <c r="AB677" s="12"/>
      <c r="AC677" s="12"/>
    </row>
    <row r="678" spans="1:29" ht="12.75" customHeight="1">
      <c r="A678" s="12"/>
      <c r="B678" s="12"/>
      <c r="C678" s="12"/>
      <c r="D678" s="12"/>
      <c r="E678" s="12"/>
      <c r="F678" s="12"/>
      <c r="G678" s="12"/>
      <c r="H678" s="592"/>
      <c r="I678" s="592"/>
      <c r="J678" s="592"/>
      <c r="K678" s="592"/>
      <c r="L678" s="592"/>
      <c r="M678" s="592"/>
      <c r="N678" s="592"/>
      <c r="O678" s="592"/>
      <c r="P678" s="592"/>
      <c r="Q678" s="592"/>
      <c r="R678" s="592"/>
      <c r="S678" s="592"/>
      <c r="T678" s="592"/>
      <c r="U678" s="12"/>
      <c r="V678" s="12"/>
      <c r="W678" s="12"/>
      <c r="X678" s="12"/>
      <c r="Y678" s="12"/>
      <c r="Z678" s="12"/>
      <c r="AA678" s="12"/>
      <c r="AB678" s="12"/>
      <c r="AC678" s="12"/>
    </row>
    <row r="679" spans="1:29" ht="12.75" customHeight="1">
      <c r="A679" s="12"/>
      <c r="B679" s="12"/>
      <c r="C679" s="12"/>
      <c r="D679" s="12"/>
      <c r="E679" s="12"/>
      <c r="F679" s="12"/>
      <c r="G679" s="12"/>
      <c r="H679" s="592"/>
      <c r="I679" s="592"/>
      <c r="J679" s="592"/>
      <c r="K679" s="592"/>
      <c r="L679" s="592"/>
      <c r="M679" s="592"/>
      <c r="N679" s="592"/>
      <c r="O679" s="592"/>
      <c r="P679" s="592"/>
      <c r="Q679" s="592"/>
      <c r="R679" s="592"/>
      <c r="S679" s="592"/>
      <c r="T679" s="592"/>
      <c r="U679" s="12"/>
      <c r="V679" s="12"/>
      <c r="W679" s="12"/>
      <c r="X679" s="12"/>
      <c r="Y679" s="12"/>
      <c r="Z679" s="12"/>
      <c r="AA679" s="12"/>
      <c r="AB679" s="12"/>
      <c r="AC679" s="12"/>
    </row>
    <row r="680" spans="1:29" ht="12.75" customHeight="1">
      <c r="A680" s="12"/>
      <c r="B680" s="12"/>
      <c r="C680" s="12"/>
      <c r="D680" s="12"/>
      <c r="E680" s="12"/>
      <c r="F680" s="12"/>
      <c r="G680" s="12"/>
      <c r="H680" s="592"/>
      <c r="I680" s="592"/>
      <c r="J680" s="592"/>
      <c r="K680" s="592"/>
      <c r="L680" s="592"/>
      <c r="M680" s="592"/>
      <c r="N680" s="592"/>
      <c r="O680" s="592"/>
      <c r="P680" s="592"/>
      <c r="Q680" s="592"/>
      <c r="R680" s="592"/>
      <c r="S680" s="592"/>
      <c r="T680" s="592"/>
      <c r="U680" s="12"/>
      <c r="V680" s="12"/>
      <c r="W680" s="12"/>
      <c r="X680" s="12"/>
      <c r="Y680" s="12"/>
      <c r="Z680" s="12"/>
      <c r="AA680" s="12"/>
      <c r="AB680" s="12"/>
      <c r="AC680" s="12"/>
    </row>
    <row r="681" spans="1:29" ht="12.75" customHeight="1">
      <c r="A681" s="12"/>
      <c r="B681" s="12"/>
      <c r="C681" s="12"/>
      <c r="D681" s="12"/>
      <c r="E681" s="12"/>
      <c r="F681" s="12"/>
      <c r="G681" s="12"/>
      <c r="H681" s="592"/>
      <c r="I681" s="592"/>
      <c r="J681" s="592"/>
      <c r="K681" s="592"/>
      <c r="L681" s="592"/>
      <c r="M681" s="592"/>
      <c r="N681" s="592"/>
      <c r="O681" s="592"/>
      <c r="P681" s="592"/>
      <c r="Q681" s="592"/>
      <c r="R681" s="592"/>
      <c r="S681" s="592"/>
      <c r="T681" s="592"/>
      <c r="U681" s="12"/>
      <c r="V681" s="12"/>
      <c r="W681" s="12"/>
      <c r="X681" s="12"/>
      <c r="Y681" s="12"/>
      <c r="Z681" s="12"/>
      <c r="AA681" s="12"/>
      <c r="AB681" s="12"/>
      <c r="AC681" s="12"/>
    </row>
    <row r="682" spans="1:29" ht="12.75" customHeight="1">
      <c r="A682" s="12"/>
      <c r="B682" s="12"/>
      <c r="C682" s="12"/>
      <c r="D682" s="12"/>
      <c r="E682" s="12"/>
      <c r="F682" s="12"/>
      <c r="G682" s="12"/>
      <c r="H682" s="592"/>
      <c r="I682" s="592"/>
      <c r="J682" s="592"/>
      <c r="K682" s="592"/>
      <c r="L682" s="592"/>
      <c r="M682" s="592"/>
      <c r="N682" s="592"/>
      <c r="O682" s="592"/>
      <c r="P682" s="592"/>
      <c r="Q682" s="592"/>
      <c r="R682" s="592"/>
      <c r="S682" s="592"/>
      <c r="T682" s="592"/>
      <c r="U682" s="12"/>
      <c r="V682" s="12"/>
      <c r="W682" s="12"/>
      <c r="X682" s="12"/>
      <c r="Y682" s="12"/>
      <c r="Z682" s="12"/>
      <c r="AA682" s="12"/>
      <c r="AB682" s="12"/>
      <c r="AC682" s="12"/>
    </row>
    <row r="683" spans="1:29" ht="12.75" customHeight="1">
      <c r="A683" s="12"/>
      <c r="B683" s="12"/>
      <c r="C683" s="12"/>
      <c r="D683" s="12"/>
      <c r="E683" s="12"/>
      <c r="F683" s="12"/>
      <c r="G683" s="12"/>
      <c r="H683" s="592"/>
      <c r="I683" s="592"/>
      <c r="J683" s="592"/>
      <c r="K683" s="592"/>
      <c r="L683" s="592"/>
      <c r="M683" s="592"/>
      <c r="N683" s="592"/>
      <c r="O683" s="592"/>
      <c r="P683" s="592"/>
      <c r="Q683" s="592"/>
      <c r="R683" s="592"/>
      <c r="S683" s="592"/>
      <c r="T683" s="592"/>
      <c r="U683" s="12"/>
      <c r="V683" s="12"/>
      <c r="W683" s="12"/>
      <c r="X683" s="12"/>
      <c r="Y683" s="12"/>
      <c r="Z683" s="12"/>
      <c r="AA683" s="12"/>
      <c r="AB683" s="12"/>
      <c r="AC683" s="12"/>
    </row>
    <row r="684" spans="1:29" ht="12.75" customHeight="1">
      <c r="A684" s="12"/>
      <c r="B684" s="12"/>
      <c r="C684" s="12"/>
      <c r="D684" s="12"/>
      <c r="E684" s="12"/>
      <c r="F684" s="12"/>
      <c r="G684" s="12"/>
      <c r="H684" s="592"/>
      <c r="I684" s="592"/>
      <c r="J684" s="592"/>
      <c r="K684" s="592"/>
      <c r="L684" s="592"/>
      <c r="M684" s="592"/>
      <c r="N684" s="592"/>
      <c r="O684" s="592"/>
      <c r="P684" s="592"/>
      <c r="Q684" s="592"/>
      <c r="R684" s="592"/>
      <c r="S684" s="592"/>
      <c r="T684" s="592"/>
      <c r="U684" s="12"/>
      <c r="V684" s="12"/>
      <c r="W684" s="12"/>
      <c r="X684" s="12"/>
      <c r="Y684" s="12"/>
      <c r="Z684" s="12"/>
      <c r="AA684" s="12"/>
      <c r="AB684" s="12"/>
      <c r="AC684" s="12"/>
    </row>
    <row r="685" spans="1:29" ht="12.75" customHeight="1">
      <c r="A685" s="12"/>
      <c r="B685" s="12"/>
      <c r="C685" s="12"/>
      <c r="D685" s="12"/>
      <c r="E685" s="12"/>
      <c r="F685" s="12"/>
      <c r="G685" s="12"/>
      <c r="H685" s="592"/>
      <c r="I685" s="592"/>
      <c r="J685" s="592"/>
      <c r="K685" s="592"/>
      <c r="L685" s="592"/>
      <c r="M685" s="592"/>
      <c r="N685" s="592"/>
      <c r="O685" s="592"/>
      <c r="P685" s="592"/>
      <c r="Q685" s="592"/>
      <c r="R685" s="592"/>
      <c r="S685" s="592"/>
      <c r="T685" s="592"/>
      <c r="U685" s="12"/>
      <c r="V685" s="12"/>
      <c r="W685" s="12"/>
      <c r="X685" s="12"/>
      <c r="Y685" s="12"/>
      <c r="Z685" s="12"/>
      <c r="AA685" s="12"/>
      <c r="AB685" s="12"/>
      <c r="AC685" s="12"/>
    </row>
    <row r="686" spans="1:29" ht="12.75" customHeight="1">
      <c r="A686" s="12"/>
      <c r="B686" s="12"/>
      <c r="C686" s="12"/>
      <c r="D686" s="12"/>
      <c r="E686" s="12"/>
      <c r="F686" s="12"/>
      <c r="G686" s="12"/>
      <c r="H686" s="592"/>
      <c r="I686" s="592"/>
      <c r="J686" s="592"/>
      <c r="K686" s="592"/>
      <c r="L686" s="592"/>
      <c r="M686" s="592"/>
      <c r="N686" s="592"/>
      <c r="O686" s="592"/>
      <c r="P686" s="592"/>
      <c r="Q686" s="592"/>
      <c r="R686" s="592"/>
      <c r="S686" s="592"/>
      <c r="T686" s="592"/>
      <c r="U686" s="12"/>
      <c r="V686" s="12"/>
      <c r="W686" s="12"/>
      <c r="X686" s="12"/>
      <c r="Y686" s="12"/>
      <c r="Z686" s="12"/>
      <c r="AA686" s="12"/>
      <c r="AB686" s="12"/>
      <c r="AC686" s="12"/>
    </row>
    <row r="687" spans="1:29" ht="12.75" customHeight="1">
      <c r="A687" s="12"/>
      <c r="B687" s="12"/>
      <c r="C687" s="12"/>
      <c r="D687" s="12"/>
      <c r="E687" s="12"/>
      <c r="F687" s="12"/>
      <c r="G687" s="12"/>
      <c r="H687" s="592"/>
      <c r="I687" s="592"/>
      <c r="J687" s="592"/>
      <c r="K687" s="592"/>
      <c r="L687" s="592"/>
      <c r="M687" s="592"/>
      <c r="N687" s="592"/>
      <c r="O687" s="592"/>
      <c r="P687" s="592"/>
      <c r="Q687" s="592"/>
      <c r="R687" s="592"/>
      <c r="S687" s="592"/>
      <c r="T687" s="592"/>
      <c r="U687" s="12"/>
      <c r="V687" s="12"/>
      <c r="W687" s="12"/>
      <c r="X687" s="12"/>
      <c r="Y687" s="12"/>
      <c r="Z687" s="12"/>
      <c r="AA687" s="12"/>
      <c r="AB687" s="12"/>
      <c r="AC687" s="12"/>
    </row>
    <row r="688" spans="1:29" ht="12.75" customHeight="1">
      <c r="A688" s="12"/>
      <c r="B688" s="12"/>
      <c r="C688" s="12"/>
      <c r="D688" s="12"/>
      <c r="E688" s="12"/>
      <c r="F688" s="12"/>
      <c r="G688" s="12"/>
      <c r="H688" s="592"/>
      <c r="I688" s="592"/>
      <c r="J688" s="592"/>
      <c r="K688" s="592"/>
      <c r="L688" s="592"/>
      <c r="M688" s="592"/>
      <c r="N688" s="592"/>
      <c r="O688" s="592"/>
      <c r="P688" s="592"/>
      <c r="Q688" s="592"/>
      <c r="R688" s="592"/>
      <c r="S688" s="592"/>
      <c r="T688" s="592"/>
      <c r="U688" s="12"/>
      <c r="V688" s="12"/>
      <c r="W688" s="12"/>
      <c r="X688" s="12"/>
      <c r="Y688" s="12"/>
      <c r="Z688" s="12"/>
      <c r="AA688" s="12"/>
      <c r="AB688" s="12"/>
      <c r="AC688" s="12"/>
    </row>
    <row r="689" spans="1:29" ht="12.75" customHeight="1">
      <c r="A689" s="12"/>
      <c r="B689" s="12"/>
      <c r="C689" s="12"/>
      <c r="D689" s="12"/>
      <c r="E689" s="12"/>
      <c r="F689" s="12"/>
      <c r="G689" s="12"/>
      <c r="H689" s="592"/>
      <c r="I689" s="592"/>
      <c r="J689" s="592"/>
      <c r="K689" s="592"/>
      <c r="L689" s="592"/>
      <c r="M689" s="592"/>
      <c r="N689" s="592"/>
      <c r="O689" s="592"/>
      <c r="P689" s="592"/>
      <c r="Q689" s="592"/>
      <c r="R689" s="592"/>
      <c r="S689" s="592"/>
      <c r="T689" s="592"/>
      <c r="U689" s="12"/>
      <c r="V689" s="12"/>
      <c r="W689" s="12"/>
      <c r="X689" s="12"/>
      <c r="Y689" s="12"/>
      <c r="Z689" s="12"/>
      <c r="AA689" s="12"/>
      <c r="AB689" s="12"/>
      <c r="AC689" s="12"/>
    </row>
    <row r="690" spans="1:29" ht="12.75" customHeight="1">
      <c r="A690" s="12"/>
      <c r="B690" s="12"/>
      <c r="C690" s="12"/>
      <c r="D690" s="12"/>
      <c r="E690" s="12"/>
      <c r="F690" s="12"/>
      <c r="G690" s="12"/>
      <c r="H690" s="592"/>
      <c r="I690" s="592"/>
      <c r="J690" s="592"/>
      <c r="K690" s="592"/>
      <c r="L690" s="592"/>
      <c r="M690" s="592"/>
      <c r="N690" s="592"/>
      <c r="O690" s="592"/>
      <c r="P690" s="592"/>
      <c r="Q690" s="592"/>
      <c r="R690" s="592"/>
      <c r="S690" s="592"/>
      <c r="T690" s="592"/>
      <c r="U690" s="12"/>
      <c r="V690" s="12"/>
      <c r="W690" s="12"/>
      <c r="X690" s="12"/>
      <c r="Y690" s="12"/>
      <c r="Z690" s="12"/>
      <c r="AA690" s="12"/>
      <c r="AB690" s="12"/>
      <c r="AC690" s="12"/>
    </row>
    <row r="691" spans="1:29" ht="12.75" customHeight="1">
      <c r="A691" s="12"/>
      <c r="B691" s="12"/>
      <c r="C691" s="12"/>
      <c r="D691" s="12"/>
      <c r="E691" s="12"/>
      <c r="F691" s="12"/>
      <c r="G691" s="12"/>
      <c r="H691" s="592"/>
      <c r="I691" s="592"/>
      <c r="J691" s="592"/>
      <c r="K691" s="592"/>
      <c r="L691" s="592"/>
      <c r="M691" s="592"/>
      <c r="N691" s="592"/>
      <c r="O691" s="592"/>
      <c r="P691" s="592"/>
      <c r="Q691" s="592"/>
      <c r="R691" s="592"/>
      <c r="S691" s="592"/>
      <c r="T691" s="592"/>
      <c r="U691" s="12"/>
      <c r="V691" s="12"/>
      <c r="W691" s="12"/>
      <c r="X691" s="12"/>
      <c r="Y691" s="12"/>
      <c r="Z691" s="12"/>
      <c r="AA691" s="12"/>
      <c r="AB691" s="12"/>
      <c r="AC691" s="12"/>
    </row>
    <row r="692" spans="1:29" ht="12.75" customHeight="1">
      <c r="A692" s="12"/>
      <c r="B692" s="12"/>
      <c r="C692" s="12"/>
      <c r="D692" s="12"/>
      <c r="E692" s="12"/>
      <c r="F692" s="12"/>
      <c r="G692" s="12"/>
      <c r="H692" s="592"/>
      <c r="I692" s="592"/>
      <c r="J692" s="592"/>
      <c r="K692" s="592"/>
      <c r="L692" s="592"/>
      <c r="M692" s="592"/>
      <c r="N692" s="592"/>
      <c r="O692" s="592"/>
      <c r="P692" s="592"/>
      <c r="Q692" s="592"/>
      <c r="R692" s="592"/>
      <c r="S692" s="592"/>
      <c r="T692" s="592"/>
      <c r="U692" s="12"/>
      <c r="V692" s="12"/>
      <c r="W692" s="12"/>
      <c r="X692" s="12"/>
      <c r="Y692" s="12"/>
      <c r="Z692" s="12"/>
      <c r="AA692" s="12"/>
      <c r="AB692" s="12"/>
      <c r="AC692" s="12"/>
    </row>
    <row r="693" spans="1:29" ht="12.75" customHeight="1">
      <c r="A693" s="12"/>
      <c r="B693" s="12"/>
      <c r="C693" s="12"/>
      <c r="D693" s="12"/>
      <c r="E693" s="12"/>
      <c r="F693" s="12"/>
      <c r="G693" s="12"/>
      <c r="H693" s="592"/>
      <c r="I693" s="592"/>
      <c r="J693" s="592"/>
      <c r="K693" s="592"/>
      <c r="L693" s="592"/>
      <c r="M693" s="592"/>
      <c r="N693" s="592"/>
      <c r="O693" s="592"/>
      <c r="P693" s="592"/>
      <c r="Q693" s="592"/>
      <c r="R693" s="592"/>
      <c r="S693" s="592"/>
      <c r="T693" s="592"/>
      <c r="U693" s="12"/>
      <c r="V693" s="12"/>
      <c r="W693" s="12"/>
      <c r="X693" s="12"/>
      <c r="Y693" s="12"/>
      <c r="Z693" s="12"/>
      <c r="AA693" s="12"/>
      <c r="AB693" s="12"/>
      <c r="AC693" s="12"/>
    </row>
    <row r="694" spans="1:29" ht="12.75" customHeight="1">
      <c r="A694" s="12"/>
      <c r="B694" s="12"/>
      <c r="C694" s="12"/>
      <c r="D694" s="12"/>
      <c r="E694" s="12"/>
      <c r="F694" s="12"/>
      <c r="G694" s="12"/>
      <c r="H694" s="592"/>
      <c r="I694" s="592"/>
      <c r="J694" s="592"/>
      <c r="K694" s="592"/>
      <c r="L694" s="592"/>
      <c r="M694" s="592"/>
      <c r="N694" s="592"/>
      <c r="O694" s="592"/>
      <c r="P694" s="592"/>
      <c r="Q694" s="592"/>
      <c r="R694" s="592"/>
      <c r="S694" s="592"/>
      <c r="T694" s="592"/>
      <c r="U694" s="12"/>
      <c r="V694" s="12"/>
      <c r="W694" s="12"/>
      <c r="X694" s="12"/>
      <c r="Y694" s="12"/>
      <c r="Z694" s="12"/>
      <c r="AA694" s="12"/>
      <c r="AB694" s="12"/>
      <c r="AC694" s="12"/>
    </row>
    <row r="695" spans="1:29" ht="12.75" customHeight="1">
      <c r="A695" s="12"/>
      <c r="B695" s="12"/>
      <c r="C695" s="12"/>
      <c r="D695" s="12"/>
      <c r="E695" s="12"/>
      <c r="F695" s="12"/>
      <c r="G695" s="12"/>
      <c r="H695" s="592"/>
      <c r="I695" s="592"/>
      <c r="J695" s="592"/>
      <c r="K695" s="592"/>
      <c r="L695" s="592"/>
      <c r="M695" s="592"/>
      <c r="N695" s="592"/>
      <c r="O695" s="592"/>
      <c r="P695" s="592"/>
      <c r="Q695" s="592"/>
      <c r="R695" s="592"/>
      <c r="S695" s="592"/>
      <c r="T695" s="592"/>
      <c r="U695" s="12"/>
      <c r="V695" s="12"/>
      <c r="W695" s="12"/>
      <c r="X695" s="12"/>
      <c r="Y695" s="12"/>
      <c r="Z695" s="12"/>
      <c r="AA695" s="12"/>
      <c r="AB695" s="12"/>
      <c r="AC695" s="12"/>
    </row>
    <row r="696" spans="1:29" ht="12.75" customHeight="1">
      <c r="A696" s="12"/>
      <c r="B696" s="12"/>
      <c r="C696" s="12"/>
      <c r="D696" s="12"/>
      <c r="E696" s="12"/>
      <c r="F696" s="12"/>
      <c r="G696" s="12"/>
      <c r="H696" s="592"/>
      <c r="I696" s="592"/>
      <c r="J696" s="592"/>
      <c r="K696" s="592"/>
      <c r="L696" s="592"/>
      <c r="M696" s="592"/>
      <c r="N696" s="592"/>
      <c r="O696" s="592"/>
      <c r="P696" s="592"/>
      <c r="Q696" s="592"/>
      <c r="R696" s="592"/>
      <c r="S696" s="592"/>
      <c r="T696" s="592"/>
      <c r="U696" s="12"/>
      <c r="V696" s="12"/>
      <c r="W696" s="12"/>
      <c r="X696" s="12"/>
      <c r="Y696" s="12"/>
      <c r="Z696" s="12"/>
      <c r="AA696" s="12"/>
      <c r="AB696" s="12"/>
      <c r="AC696" s="12"/>
    </row>
    <row r="697" spans="1:29" ht="12.75" customHeight="1">
      <c r="A697" s="12"/>
      <c r="B697" s="12"/>
      <c r="C697" s="12"/>
      <c r="D697" s="12"/>
      <c r="E697" s="12"/>
      <c r="F697" s="12"/>
      <c r="G697" s="12"/>
      <c r="H697" s="592"/>
      <c r="I697" s="592"/>
      <c r="J697" s="592"/>
      <c r="K697" s="592"/>
      <c r="L697" s="592"/>
      <c r="M697" s="592"/>
      <c r="N697" s="592"/>
      <c r="O697" s="592"/>
      <c r="P697" s="592"/>
      <c r="Q697" s="592"/>
      <c r="R697" s="592"/>
      <c r="S697" s="592"/>
      <c r="T697" s="592"/>
      <c r="U697" s="12"/>
      <c r="V697" s="12"/>
      <c r="W697" s="12"/>
      <c r="X697" s="12"/>
      <c r="Y697" s="12"/>
      <c r="Z697" s="12"/>
      <c r="AA697" s="12"/>
      <c r="AB697" s="12"/>
      <c r="AC697" s="12"/>
    </row>
    <row r="698" spans="1:29" ht="12.75" customHeight="1">
      <c r="A698" s="12"/>
      <c r="B698" s="12"/>
      <c r="C698" s="12"/>
      <c r="D698" s="12"/>
      <c r="E698" s="12"/>
      <c r="F698" s="12"/>
      <c r="G698" s="12"/>
      <c r="H698" s="592"/>
      <c r="I698" s="592"/>
      <c r="J698" s="592"/>
      <c r="K698" s="592"/>
      <c r="L698" s="592"/>
      <c r="M698" s="592"/>
      <c r="N698" s="592"/>
      <c r="O698" s="592"/>
      <c r="P698" s="592"/>
      <c r="Q698" s="592"/>
      <c r="R698" s="592"/>
      <c r="S698" s="592"/>
      <c r="T698" s="592"/>
      <c r="U698" s="12"/>
      <c r="V698" s="12"/>
      <c r="W698" s="12"/>
      <c r="X698" s="12"/>
      <c r="Y698" s="12"/>
      <c r="Z698" s="12"/>
      <c r="AA698" s="12"/>
      <c r="AB698" s="12"/>
      <c r="AC698" s="12"/>
    </row>
    <row r="699" spans="1:29" ht="12.75" customHeight="1">
      <c r="A699" s="12"/>
      <c r="B699" s="12"/>
      <c r="C699" s="12"/>
      <c r="D699" s="12"/>
      <c r="E699" s="12"/>
      <c r="F699" s="12"/>
      <c r="G699" s="12"/>
      <c r="H699" s="592"/>
      <c r="I699" s="592"/>
      <c r="J699" s="592"/>
      <c r="K699" s="592"/>
      <c r="L699" s="592"/>
      <c r="M699" s="592"/>
      <c r="N699" s="592"/>
      <c r="O699" s="592"/>
      <c r="P699" s="592"/>
      <c r="Q699" s="592"/>
      <c r="R699" s="592"/>
      <c r="S699" s="592"/>
      <c r="T699" s="592"/>
      <c r="U699" s="12"/>
      <c r="V699" s="12"/>
      <c r="W699" s="12"/>
      <c r="X699" s="12"/>
      <c r="Y699" s="12"/>
      <c r="Z699" s="12"/>
      <c r="AA699" s="12"/>
      <c r="AB699" s="12"/>
      <c r="AC699" s="12"/>
    </row>
    <row r="700" spans="1:29" ht="12.75" customHeight="1">
      <c r="A700" s="12"/>
      <c r="B700" s="12"/>
      <c r="C700" s="12"/>
      <c r="D700" s="12"/>
      <c r="E700" s="12"/>
      <c r="F700" s="12"/>
      <c r="G700" s="12"/>
      <c r="H700" s="592"/>
      <c r="I700" s="592"/>
      <c r="J700" s="592"/>
      <c r="K700" s="592"/>
      <c r="L700" s="592"/>
      <c r="M700" s="592"/>
      <c r="N700" s="592"/>
      <c r="O700" s="592"/>
      <c r="P700" s="592"/>
      <c r="Q700" s="592"/>
      <c r="R700" s="592"/>
      <c r="S700" s="592"/>
      <c r="T700" s="592"/>
      <c r="U700" s="12"/>
      <c r="V700" s="12"/>
      <c r="W700" s="12"/>
      <c r="X700" s="12"/>
      <c r="Y700" s="12"/>
      <c r="Z700" s="12"/>
      <c r="AA700" s="12"/>
      <c r="AB700" s="12"/>
      <c r="AC700" s="12"/>
    </row>
    <row r="701" spans="1:29" ht="12.75" customHeight="1">
      <c r="A701" s="12"/>
      <c r="B701" s="12"/>
      <c r="C701" s="12"/>
      <c r="D701" s="12"/>
      <c r="E701" s="12"/>
      <c r="F701" s="12"/>
      <c r="G701" s="12"/>
      <c r="H701" s="592"/>
      <c r="I701" s="592"/>
      <c r="J701" s="592"/>
      <c r="K701" s="592"/>
      <c r="L701" s="592"/>
      <c r="M701" s="592"/>
      <c r="N701" s="592"/>
      <c r="O701" s="592"/>
      <c r="P701" s="592"/>
      <c r="Q701" s="592"/>
      <c r="R701" s="592"/>
      <c r="S701" s="592"/>
      <c r="T701" s="592"/>
      <c r="U701" s="12"/>
      <c r="V701" s="12"/>
      <c r="W701" s="12"/>
      <c r="X701" s="12"/>
      <c r="Y701" s="12"/>
      <c r="Z701" s="12"/>
      <c r="AA701" s="12"/>
      <c r="AB701" s="12"/>
      <c r="AC701" s="12"/>
    </row>
    <row r="702" spans="1:29" ht="12.75" customHeight="1">
      <c r="A702" s="12"/>
      <c r="B702" s="12"/>
      <c r="C702" s="12"/>
      <c r="D702" s="12"/>
      <c r="E702" s="12"/>
      <c r="F702" s="12"/>
      <c r="G702" s="12"/>
      <c r="H702" s="592"/>
      <c r="I702" s="592"/>
      <c r="J702" s="592"/>
      <c r="K702" s="592"/>
      <c r="L702" s="592"/>
      <c r="M702" s="592"/>
      <c r="N702" s="592"/>
      <c r="O702" s="592"/>
      <c r="P702" s="592"/>
      <c r="Q702" s="592"/>
      <c r="R702" s="592"/>
      <c r="S702" s="592"/>
      <c r="T702" s="592"/>
      <c r="U702" s="12"/>
      <c r="V702" s="12"/>
      <c r="W702" s="12"/>
      <c r="X702" s="12"/>
      <c r="Y702" s="12"/>
      <c r="Z702" s="12"/>
      <c r="AA702" s="12"/>
      <c r="AB702" s="12"/>
      <c r="AC702" s="12"/>
    </row>
    <row r="703" spans="1:29" ht="12.75" customHeight="1">
      <c r="A703" s="12"/>
      <c r="B703" s="12"/>
      <c r="C703" s="12"/>
      <c r="D703" s="12"/>
      <c r="E703" s="12"/>
      <c r="F703" s="12"/>
      <c r="G703" s="12"/>
      <c r="H703" s="592"/>
      <c r="I703" s="592"/>
      <c r="J703" s="592"/>
      <c r="K703" s="592"/>
      <c r="L703" s="592"/>
      <c r="M703" s="592"/>
      <c r="N703" s="592"/>
      <c r="O703" s="592"/>
      <c r="P703" s="592"/>
      <c r="Q703" s="592"/>
      <c r="R703" s="592"/>
      <c r="S703" s="592"/>
      <c r="T703" s="592"/>
      <c r="U703" s="12"/>
      <c r="V703" s="12"/>
      <c r="W703" s="12"/>
      <c r="X703" s="12"/>
      <c r="Y703" s="12"/>
      <c r="Z703" s="12"/>
      <c r="AA703" s="12"/>
      <c r="AB703" s="12"/>
      <c r="AC703" s="12"/>
    </row>
    <row r="704" spans="1:29" ht="12.75" customHeight="1">
      <c r="A704" s="12"/>
      <c r="B704" s="12"/>
      <c r="C704" s="12"/>
      <c r="D704" s="12"/>
      <c r="E704" s="12"/>
      <c r="F704" s="12"/>
      <c r="G704" s="12"/>
      <c r="H704" s="592"/>
      <c r="I704" s="592"/>
      <c r="J704" s="592"/>
      <c r="K704" s="592"/>
      <c r="L704" s="592"/>
      <c r="M704" s="592"/>
      <c r="N704" s="592"/>
      <c r="O704" s="592"/>
      <c r="P704" s="592"/>
      <c r="Q704" s="592"/>
      <c r="R704" s="592"/>
      <c r="S704" s="592"/>
      <c r="T704" s="592"/>
      <c r="U704" s="12"/>
      <c r="V704" s="12"/>
      <c r="W704" s="12"/>
      <c r="X704" s="12"/>
      <c r="Y704" s="12"/>
      <c r="Z704" s="12"/>
      <c r="AA704" s="12"/>
      <c r="AB704" s="12"/>
      <c r="AC704" s="12"/>
    </row>
    <row r="705" spans="1:29" ht="12.75" customHeight="1">
      <c r="A705" s="12"/>
      <c r="B705" s="12"/>
      <c r="C705" s="12"/>
      <c r="D705" s="12"/>
      <c r="E705" s="12"/>
      <c r="F705" s="12"/>
      <c r="G705" s="12"/>
      <c r="H705" s="592"/>
      <c r="I705" s="592"/>
      <c r="J705" s="592"/>
      <c r="K705" s="592"/>
      <c r="L705" s="592"/>
      <c r="M705" s="592"/>
      <c r="N705" s="592"/>
      <c r="O705" s="592"/>
      <c r="P705" s="592"/>
      <c r="Q705" s="592"/>
      <c r="R705" s="592"/>
      <c r="S705" s="592"/>
      <c r="T705" s="592"/>
      <c r="U705" s="12"/>
      <c r="V705" s="12"/>
      <c r="W705" s="12"/>
      <c r="X705" s="12"/>
      <c r="Y705" s="12"/>
      <c r="Z705" s="12"/>
      <c r="AA705" s="12"/>
      <c r="AB705" s="12"/>
      <c r="AC705" s="12"/>
    </row>
    <row r="706" spans="1:29" ht="12.75" customHeight="1">
      <c r="A706" s="12"/>
      <c r="B706" s="12"/>
      <c r="C706" s="12"/>
      <c r="D706" s="12"/>
      <c r="E706" s="12"/>
      <c r="F706" s="12"/>
      <c r="G706" s="12"/>
      <c r="H706" s="592"/>
      <c r="I706" s="592"/>
      <c r="J706" s="592"/>
      <c r="K706" s="592"/>
      <c r="L706" s="592"/>
      <c r="M706" s="592"/>
      <c r="N706" s="592"/>
      <c r="O706" s="592"/>
      <c r="P706" s="592"/>
      <c r="Q706" s="592"/>
      <c r="R706" s="592"/>
      <c r="S706" s="592"/>
      <c r="T706" s="592"/>
      <c r="U706" s="12"/>
      <c r="V706" s="12"/>
      <c r="W706" s="12"/>
      <c r="X706" s="12"/>
      <c r="Y706" s="12"/>
      <c r="Z706" s="12"/>
      <c r="AA706" s="12"/>
      <c r="AB706" s="12"/>
      <c r="AC706" s="12"/>
    </row>
    <row r="707" spans="1:29" ht="12.75" customHeight="1">
      <c r="A707" s="12"/>
      <c r="B707" s="12"/>
      <c r="C707" s="12"/>
      <c r="D707" s="12"/>
      <c r="E707" s="12"/>
      <c r="F707" s="12"/>
      <c r="G707" s="12"/>
      <c r="H707" s="592"/>
      <c r="I707" s="592"/>
      <c r="J707" s="592"/>
      <c r="K707" s="592"/>
      <c r="L707" s="592"/>
      <c r="M707" s="592"/>
      <c r="N707" s="592"/>
      <c r="O707" s="592"/>
      <c r="P707" s="592"/>
      <c r="Q707" s="592"/>
      <c r="R707" s="592"/>
      <c r="S707" s="592"/>
      <c r="T707" s="592"/>
      <c r="U707" s="12"/>
      <c r="V707" s="12"/>
      <c r="W707" s="12"/>
      <c r="X707" s="12"/>
      <c r="Y707" s="12"/>
      <c r="Z707" s="12"/>
      <c r="AA707" s="12"/>
      <c r="AB707" s="12"/>
      <c r="AC707" s="12"/>
    </row>
    <row r="708" spans="1:29" ht="12.75" customHeight="1">
      <c r="A708" s="12"/>
      <c r="B708" s="12"/>
      <c r="C708" s="12"/>
      <c r="D708" s="12"/>
      <c r="E708" s="12"/>
      <c r="F708" s="12"/>
      <c r="G708" s="12"/>
      <c r="H708" s="592"/>
      <c r="I708" s="592"/>
      <c r="J708" s="592"/>
      <c r="K708" s="592"/>
      <c r="L708" s="592"/>
      <c r="M708" s="592"/>
      <c r="N708" s="592"/>
      <c r="O708" s="592"/>
      <c r="P708" s="592"/>
      <c r="Q708" s="592"/>
      <c r="R708" s="592"/>
      <c r="S708" s="592"/>
      <c r="T708" s="592"/>
      <c r="U708" s="12"/>
      <c r="V708" s="12"/>
      <c r="W708" s="12"/>
      <c r="X708" s="12"/>
      <c r="Y708" s="12"/>
      <c r="Z708" s="12"/>
      <c r="AA708" s="12"/>
      <c r="AB708" s="12"/>
      <c r="AC708" s="12"/>
    </row>
    <row r="709" spans="1:29" ht="12.75" customHeight="1">
      <c r="A709" s="12"/>
      <c r="B709" s="12"/>
      <c r="C709" s="12"/>
      <c r="D709" s="12"/>
      <c r="E709" s="12"/>
      <c r="F709" s="12"/>
      <c r="G709" s="12"/>
      <c r="H709" s="592"/>
      <c r="I709" s="592"/>
      <c r="J709" s="592"/>
      <c r="K709" s="592"/>
      <c r="L709" s="592"/>
      <c r="M709" s="592"/>
      <c r="N709" s="592"/>
      <c r="O709" s="592"/>
      <c r="P709" s="592"/>
      <c r="Q709" s="592"/>
      <c r="R709" s="592"/>
      <c r="S709" s="592"/>
      <c r="T709" s="592"/>
      <c r="U709" s="12"/>
      <c r="V709" s="12"/>
      <c r="W709" s="12"/>
      <c r="X709" s="12"/>
      <c r="Y709" s="12"/>
      <c r="Z709" s="12"/>
      <c r="AA709" s="12"/>
      <c r="AB709" s="12"/>
      <c r="AC709" s="12"/>
    </row>
    <row r="710" spans="1:29" ht="12.75" customHeight="1">
      <c r="A710" s="12"/>
      <c r="B710" s="12"/>
      <c r="C710" s="12"/>
      <c r="D710" s="12"/>
      <c r="E710" s="12"/>
      <c r="F710" s="12"/>
      <c r="G710" s="12"/>
      <c r="H710" s="592"/>
      <c r="I710" s="592"/>
      <c r="J710" s="592"/>
      <c r="K710" s="592"/>
      <c r="L710" s="592"/>
      <c r="M710" s="592"/>
      <c r="N710" s="592"/>
      <c r="O710" s="592"/>
      <c r="P710" s="592"/>
      <c r="Q710" s="592"/>
      <c r="R710" s="592"/>
      <c r="S710" s="592"/>
      <c r="T710" s="592"/>
      <c r="U710" s="12"/>
      <c r="V710" s="12"/>
      <c r="W710" s="12"/>
      <c r="X710" s="12"/>
      <c r="Y710" s="12"/>
      <c r="Z710" s="12"/>
      <c r="AA710" s="12"/>
      <c r="AB710" s="12"/>
      <c r="AC710" s="12"/>
    </row>
    <row r="711" spans="1:29" ht="12.75" customHeight="1">
      <c r="A711" s="12"/>
      <c r="B711" s="12"/>
      <c r="C711" s="12"/>
      <c r="D711" s="12"/>
      <c r="E711" s="12"/>
      <c r="F711" s="12"/>
      <c r="G711" s="12"/>
      <c r="H711" s="592"/>
      <c r="I711" s="592"/>
      <c r="J711" s="592"/>
      <c r="K711" s="592"/>
      <c r="L711" s="592"/>
      <c r="M711" s="592"/>
      <c r="N711" s="592"/>
      <c r="O711" s="592"/>
      <c r="P711" s="592"/>
      <c r="Q711" s="592"/>
      <c r="R711" s="592"/>
      <c r="S711" s="592"/>
      <c r="T711" s="592"/>
      <c r="U711" s="12"/>
      <c r="V711" s="12"/>
      <c r="W711" s="12"/>
      <c r="X711" s="12"/>
      <c r="Y711" s="12"/>
      <c r="Z711" s="12"/>
      <c r="AA711" s="12"/>
      <c r="AB711" s="12"/>
      <c r="AC711" s="12"/>
    </row>
    <row r="712" spans="1:29" ht="12.75" customHeight="1">
      <c r="A712" s="12"/>
      <c r="B712" s="12"/>
      <c r="C712" s="12"/>
      <c r="D712" s="12"/>
      <c r="E712" s="12"/>
      <c r="F712" s="12"/>
      <c r="G712" s="12"/>
      <c r="H712" s="592"/>
      <c r="I712" s="592"/>
      <c r="J712" s="592"/>
      <c r="K712" s="592"/>
      <c r="L712" s="592"/>
      <c r="M712" s="592"/>
      <c r="N712" s="592"/>
      <c r="O712" s="592"/>
      <c r="P712" s="592"/>
      <c r="Q712" s="592"/>
      <c r="R712" s="592"/>
      <c r="S712" s="592"/>
      <c r="T712" s="592"/>
      <c r="U712" s="12"/>
      <c r="V712" s="12"/>
      <c r="W712" s="12"/>
      <c r="X712" s="12"/>
      <c r="Y712" s="12"/>
      <c r="Z712" s="12"/>
      <c r="AA712" s="12"/>
      <c r="AB712" s="12"/>
      <c r="AC712" s="12"/>
    </row>
    <row r="713" spans="1:29" ht="12.75" customHeight="1">
      <c r="A713" s="12"/>
      <c r="B713" s="12"/>
      <c r="C713" s="12"/>
      <c r="D713" s="12"/>
      <c r="E713" s="12"/>
      <c r="F713" s="12"/>
      <c r="G713" s="12"/>
      <c r="H713" s="592"/>
      <c r="I713" s="592"/>
      <c r="J713" s="592"/>
      <c r="K713" s="592"/>
      <c r="L713" s="592"/>
      <c r="M713" s="592"/>
      <c r="N713" s="592"/>
      <c r="O713" s="592"/>
      <c r="P713" s="592"/>
      <c r="Q713" s="592"/>
      <c r="R713" s="592"/>
      <c r="S713" s="592"/>
      <c r="T713" s="592"/>
      <c r="U713" s="12"/>
      <c r="V713" s="12"/>
      <c r="W713" s="12"/>
      <c r="X713" s="12"/>
      <c r="Y713" s="12"/>
      <c r="Z713" s="12"/>
      <c r="AA713" s="12"/>
      <c r="AB713" s="12"/>
      <c r="AC713" s="12"/>
    </row>
    <row r="714" spans="1:29" ht="12.75" customHeight="1">
      <c r="A714" s="12"/>
      <c r="B714" s="12"/>
      <c r="C714" s="12"/>
      <c r="D714" s="12"/>
      <c r="E714" s="12"/>
      <c r="F714" s="12"/>
      <c r="G714" s="12"/>
      <c r="H714" s="592"/>
      <c r="I714" s="592"/>
      <c r="J714" s="592"/>
      <c r="K714" s="592"/>
      <c r="L714" s="592"/>
      <c r="M714" s="592"/>
      <c r="N714" s="592"/>
      <c r="O714" s="592"/>
      <c r="P714" s="592"/>
      <c r="Q714" s="592"/>
      <c r="R714" s="592"/>
      <c r="S714" s="592"/>
      <c r="T714" s="592"/>
      <c r="U714" s="12"/>
      <c r="V714" s="12"/>
      <c r="W714" s="12"/>
      <c r="X714" s="12"/>
      <c r="Y714" s="12"/>
      <c r="Z714" s="12"/>
      <c r="AA714" s="12"/>
      <c r="AB714" s="12"/>
      <c r="AC714" s="12"/>
    </row>
    <row r="715" spans="1:29" ht="12.75" customHeight="1">
      <c r="A715" s="12"/>
      <c r="B715" s="12"/>
      <c r="C715" s="12"/>
      <c r="D715" s="12"/>
      <c r="E715" s="12"/>
      <c r="F715" s="12"/>
      <c r="G715" s="12"/>
      <c r="H715" s="592"/>
      <c r="I715" s="592"/>
      <c r="J715" s="592"/>
      <c r="K715" s="592"/>
      <c r="L715" s="592"/>
      <c r="M715" s="592"/>
      <c r="N715" s="592"/>
      <c r="O715" s="592"/>
      <c r="P715" s="592"/>
      <c r="Q715" s="592"/>
      <c r="R715" s="592"/>
      <c r="S715" s="592"/>
      <c r="T715" s="592"/>
      <c r="U715" s="12"/>
      <c r="V715" s="12"/>
      <c r="W715" s="12"/>
      <c r="X715" s="12"/>
      <c r="Y715" s="12"/>
      <c r="Z715" s="12"/>
      <c r="AA715" s="12"/>
      <c r="AB715" s="12"/>
      <c r="AC715" s="12"/>
    </row>
    <row r="716" spans="1:29" ht="12.75" customHeight="1">
      <c r="A716" s="12"/>
      <c r="B716" s="12"/>
      <c r="C716" s="12"/>
      <c r="D716" s="12"/>
      <c r="E716" s="12"/>
      <c r="F716" s="12"/>
      <c r="G716" s="12"/>
      <c r="H716" s="592"/>
      <c r="I716" s="592"/>
      <c r="J716" s="592"/>
      <c r="K716" s="592"/>
      <c r="L716" s="592"/>
      <c r="M716" s="592"/>
      <c r="N716" s="592"/>
      <c r="O716" s="592"/>
      <c r="P716" s="592"/>
      <c r="Q716" s="592"/>
      <c r="R716" s="592"/>
      <c r="S716" s="592"/>
      <c r="T716" s="592"/>
      <c r="U716" s="12"/>
      <c r="V716" s="12"/>
      <c r="W716" s="12"/>
      <c r="X716" s="12"/>
      <c r="Y716" s="12"/>
      <c r="Z716" s="12"/>
      <c r="AA716" s="12"/>
      <c r="AB716" s="12"/>
      <c r="AC716" s="12"/>
    </row>
    <row r="717" spans="1:29" ht="12.75" customHeight="1">
      <c r="A717" s="12"/>
      <c r="B717" s="12"/>
      <c r="C717" s="12"/>
      <c r="D717" s="12"/>
      <c r="E717" s="12"/>
      <c r="F717" s="12"/>
      <c r="G717" s="12"/>
      <c r="H717" s="592"/>
      <c r="I717" s="592"/>
      <c r="J717" s="592"/>
      <c r="K717" s="592"/>
      <c r="L717" s="592"/>
      <c r="M717" s="592"/>
      <c r="N717" s="592"/>
      <c r="O717" s="592"/>
      <c r="P717" s="592"/>
      <c r="Q717" s="592"/>
      <c r="R717" s="592"/>
      <c r="S717" s="592"/>
      <c r="T717" s="592"/>
      <c r="U717" s="12"/>
      <c r="V717" s="12"/>
      <c r="W717" s="12"/>
      <c r="X717" s="12"/>
      <c r="Y717" s="12"/>
      <c r="Z717" s="12"/>
      <c r="AA717" s="12"/>
      <c r="AB717" s="12"/>
      <c r="AC717" s="12"/>
    </row>
    <row r="718" spans="1:29" ht="12.75" customHeight="1">
      <c r="A718" s="12"/>
      <c r="B718" s="12"/>
      <c r="C718" s="12"/>
      <c r="D718" s="12"/>
      <c r="E718" s="12"/>
      <c r="F718" s="12"/>
      <c r="G718" s="12"/>
      <c r="H718" s="592"/>
      <c r="I718" s="592"/>
      <c r="J718" s="592"/>
      <c r="K718" s="592"/>
      <c r="L718" s="592"/>
      <c r="M718" s="592"/>
      <c r="N718" s="592"/>
      <c r="O718" s="592"/>
      <c r="P718" s="592"/>
      <c r="Q718" s="592"/>
      <c r="R718" s="592"/>
      <c r="S718" s="592"/>
      <c r="T718" s="592"/>
      <c r="U718" s="12"/>
      <c r="V718" s="12"/>
      <c r="W718" s="12"/>
      <c r="X718" s="12"/>
      <c r="Y718" s="12"/>
      <c r="Z718" s="12"/>
      <c r="AA718" s="12"/>
      <c r="AB718" s="12"/>
      <c r="AC718" s="12"/>
    </row>
    <row r="719" spans="1:29" ht="12.75" customHeight="1">
      <c r="A719" s="12"/>
      <c r="B719" s="12"/>
      <c r="C719" s="12"/>
      <c r="D719" s="12"/>
      <c r="E719" s="12"/>
      <c r="F719" s="12"/>
      <c r="G719" s="12"/>
      <c r="H719" s="592"/>
      <c r="I719" s="592"/>
      <c r="J719" s="592"/>
      <c r="K719" s="592"/>
      <c r="L719" s="592"/>
      <c r="M719" s="592"/>
      <c r="N719" s="592"/>
      <c r="O719" s="592"/>
      <c r="P719" s="592"/>
      <c r="Q719" s="592"/>
      <c r="R719" s="592"/>
      <c r="S719" s="592"/>
      <c r="T719" s="592"/>
      <c r="U719" s="12"/>
      <c r="V719" s="12"/>
      <c r="W719" s="12"/>
      <c r="X719" s="12"/>
      <c r="Y719" s="12"/>
      <c r="Z719" s="12"/>
      <c r="AA719" s="12"/>
      <c r="AB719" s="12"/>
      <c r="AC719" s="12"/>
    </row>
    <row r="720" spans="1:29" ht="12.75" customHeight="1">
      <c r="A720" s="12"/>
      <c r="B720" s="12"/>
      <c r="C720" s="12"/>
      <c r="D720" s="12"/>
      <c r="E720" s="12"/>
      <c r="F720" s="12"/>
      <c r="G720" s="12"/>
      <c r="H720" s="592"/>
      <c r="I720" s="592"/>
      <c r="J720" s="592"/>
      <c r="K720" s="592"/>
      <c r="L720" s="592"/>
      <c r="M720" s="592"/>
      <c r="N720" s="592"/>
      <c r="O720" s="592"/>
      <c r="P720" s="592"/>
      <c r="Q720" s="592"/>
      <c r="R720" s="592"/>
      <c r="S720" s="592"/>
      <c r="T720" s="592"/>
      <c r="U720" s="12"/>
      <c r="V720" s="12"/>
      <c r="W720" s="12"/>
      <c r="X720" s="12"/>
      <c r="Y720" s="12"/>
      <c r="Z720" s="12"/>
      <c r="AA720" s="12"/>
      <c r="AB720" s="12"/>
      <c r="AC720" s="12"/>
    </row>
    <row r="721" spans="1:29" ht="12.75" customHeight="1">
      <c r="A721" s="12"/>
      <c r="B721" s="12"/>
      <c r="C721" s="12"/>
      <c r="D721" s="12"/>
      <c r="E721" s="12"/>
      <c r="F721" s="12"/>
      <c r="G721" s="12"/>
      <c r="H721" s="592"/>
      <c r="I721" s="592"/>
      <c r="J721" s="592"/>
      <c r="K721" s="592"/>
      <c r="L721" s="592"/>
      <c r="M721" s="592"/>
      <c r="N721" s="592"/>
      <c r="O721" s="592"/>
      <c r="P721" s="592"/>
      <c r="Q721" s="592"/>
      <c r="R721" s="592"/>
      <c r="S721" s="592"/>
      <c r="T721" s="592"/>
      <c r="U721" s="12"/>
      <c r="V721" s="12"/>
      <c r="W721" s="12"/>
      <c r="X721" s="12"/>
      <c r="Y721" s="12"/>
      <c r="Z721" s="12"/>
      <c r="AA721" s="12"/>
      <c r="AB721" s="12"/>
      <c r="AC721" s="12"/>
    </row>
    <row r="722" spans="1:29" ht="12.75" customHeight="1">
      <c r="A722" s="12"/>
      <c r="B722" s="12"/>
      <c r="C722" s="12"/>
      <c r="D722" s="12"/>
      <c r="E722" s="12"/>
      <c r="F722" s="12"/>
      <c r="G722" s="12"/>
      <c r="H722" s="592"/>
      <c r="I722" s="592"/>
      <c r="J722" s="592"/>
      <c r="K722" s="592"/>
      <c r="L722" s="592"/>
      <c r="M722" s="592"/>
      <c r="N722" s="592"/>
      <c r="O722" s="592"/>
      <c r="P722" s="592"/>
      <c r="Q722" s="592"/>
      <c r="R722" s="592"/>
      <c r="S722" s="592"/>
      <c r="T722" s="592"/>
      <c r="U722" s="12"/>
      <c r="V722" s="12"/>
      <c r="W722" s="12"/>
      <c r="X722" s="12"/>
      <c r="Y722" s="12"/>
      <c r="Z722" s="12"/>
      <c r="AA722" s="12"/>
      <c r="AB722" s="12"/>
      <c r="AC722" s="12"/>
    </row>
    <row r="723" spans="1:29" ht="12.75" customHeight="1">
      <c r="A723" s="12"/>
      <c r="B723" s="12"/>
      <c r="C723" s="12"/>
      <c r="D723" s="12"/>
      <c r="E723" s="12"/>
      <c r="F723" s="12"/>
      <c r="G723" s="12"/>
      <c r="H723" s="592"/>
      <c r="I723" s="592"/>
      <c r="J723" s="592"/>
      <c r="K723" s="592"/>
      <c r="L723" s="592"/>
      <c r="M723" s="592"/>
      <c r="N723" s="592"/>
      <c r="O723" s="592"/>
      <c r="P723" s="592"/>
      <c r="Q723" s="592"/>
      <c r="R723" s="592"/>
      <c r="S723" s="592"/>
      <c r="T723" s="592"/>
      <c r="U723" s="12"/>
      <c r="V723" s="12"/>
      <c r="W723" s="12"/>
      <c r="X723" s="12"/>
      <c r="Y723" s="12"/>
      <c r="Z723" s="12"/>
      <c r="AA723" s="12"/>
      <c r="AB723" s="12"/>
      <c r="AC723" s="12"/>
    </row>
    <row r="724" spans="1:29" ht="12.75" customHeight="1">
      <c r="A724" s="12"/>
      <c r="B724" s="12"/>
      <c r="C724" s="12"/>
      <c r="D724" s="12"/>
      <c r="E724" s="12"/>
      <c r="F724" s="12"/>
      <c r="G724" s="12"/>
      <c r="H724" s="592"/>
      <c r="I724" s="592"/>
      <c r="J724" s="592"/>
      <c r="K724" s="592"/>
      <c r="L724" s="592"/>
      <c r="M724" s="592"/>
      <c r="N724" s="592"/>
      <c r="O724" s="592"/>
      <c r="P724" s="592"/>
      <c r="Q724" s="592"/>
      <c r="R724" s="592"/>
      <c r="S724" s="592"/>
      <c r="T724" s="592"/>
      <c r="U724" s="12"/>
      <c r="V724" s="12"/>
      <c r="W724" s="12"/>
      <c r="X724" s="12"/>
      <c r="Y724" s="12"/>
      <c r="Z724" s="12"/>
      <c r="AA724" s="12"/>
      <c r="AB724" s="12"/>
      <c r="AC724" s="12"/>
    </row>
    <row r="725" spans="1:29" ht="12.75" customHeight="1">
      <c r="A725" s="12"/>
      <c r="B725" s="12"/>
      <c r="C725" s="12"/>
      <c r="D725" s="12"/>
      <c r="E725" s="12"/>
      <c r="F725" s="12"/>
      <c r="G725" s="12"/>
      <c r="H725" s="592"/>
      <c r="I725" s="592"/>
      <c r="J725" s="592"/>
      <c r="K725" s="592"/>
      <c r="L725" s="592"/>
      <c r="M725" s="592"/>
      <c r="N725" s="592"/>
      <c r="O725" s="592"/>
      <c r="P725" s="592"/>
      <c r="Q725" s="592"/>
      <c r="R725" s="592"/>
      <c r="S725" s="592"/>
      <c r="T725" s="592"/>
      <c r="U725" s="12"/>
      <c r="V725" s="12"/>
      <c r="W725" s="12"/>
      <c r="X725" s="12"/>
      <c r="Y725" s="12"/>
      <c r="Z725" s="12"/>
      <c r="AA725" s="12"/>
      <c r="AB725" s="12"/>
      <c r="AC725" s="12"/>
    </row>
    <row r="726" spans="1:29" ht="12.75" customHeight="1">
      <c r="A726" s="12"/>
      <c r="B726" s="12"/>
      <c r="C726" s="12"/>
      <c r="D726" s="12"/>
      <c r="E726" s="12"/>
      <c r="F726" s="12"/>
      <c r="G726" s="12"/>
      <c r="H726" s="592"/>
      <c r="I726" s="592"/>
      <c r="J726" s="592"/>
      <c r="K726" s="592"/>
      <c r="L726" s="592"/>
      <c r="M726" s="592"/>
      <c r="N726" s="592"/>
      <c r="O726" s="592"/>
      <c r="P726" s="592"/>
      <c r="Q726" s="592"/>
      <c r="R726" s="592"/>
      <c r="S726" s="592"/>
      <c r="T726" s="592"/>
      <c r="U726" s="12"/>
      <c r="V726" s="12"/>
      <c r="W726" s="12"/>
      <c r="X726" s="12"/>
      <c r="Y726" s="12"/>
      <c r="Z726" s="12"/>
      <c r="AA726" s="12"/>
      <c r="AB726" s="12"/>
      <c r="AC726" s="12"/>
    </row>
    <row r="727" spans="1:29" ht="12.75" customHeight="1">
      <c r="A727" s="12"/>
      <c r="B727" s="12"/>
      <c r="C727" s="12"/>
      <c r="D727" s="12"/>
      <c r="E727" s="12"/>
      <c r="F727" s="12"/>
      <c r="G727" s="12"/>
      <c r="H727" s="592"/>
      <c r="I727" s="592"/>
      <c r="J727" s="592"/>
      <c r="K727" s="592"/>
      <c r="L727" s="592"/>
      <c r="M727" s="592"/>
      <c r="N727" s="592"/>
      <c r="O727" s="592"/>
      <c r="P727" s="592"/>
      <c r="Q727" s="592"/>
      <c r="R727" s="592"/>
      <c r="S727" s="592"/>
      <c r="T727" s="592"/>
      <c r="U727" s="12"/>
      <c r="V727" s="12"/>
      <c r="W727" s="12"/>
      <c r="X727" s="12"/>
      <c r="Y727" s="12"/>
      <c r="Z727" s="12"/>
      <c r="AA727" s="12"/>
      <c r="AB727" s="12"/>
      <c r="AC727" s="12"/>
    </row>
    <row r="728" spans="1:29" ht="12.75" customHeight="1">
      <c r="A728" s="12"/>
      <c r="B728" s="12"/>
      <c r="C728" s="12"/>
      <c r="D728" s="12"/>
      <c r="E728" s="12"/>
      <c r="F728" s="12"/>
      <c r="G728" s="12"/>
      <c r="H728" s="592"/>
      <c r="I728" s="592"/>
      <c r="J728" s="592"/>
      <c r="K728" s="592"/>
      <c r="L728" s="592"/>
      <c r="M728" s="592"/>
      <c r="N728" s="592"/>
      <c r="O728" s="592"/>
      <c r="P728" s="592"/>
      <c r="Q728" s="592"/>
      <c r="R728" s="592"/>
      <c r="S728" s="592"/>
      <c r="T728" s="592"/>
      <c r="U728" s="12"/>
      <c r="V728" s="12"/>
      <c r="W728" s="12"/>
      <c r="X728" s="12"/>
      <c r="Y728" s="12"/>
      <c r="Z728" s="12"/>
      <c r="AA728" s="12"/>
      <c r="AB728" s="12"/>
      <c r="AC728" s="12"/>
    </row>
    <row r="729" spans="1:29" ht="12.75" customHeight="1">
      <c r="A729" s="12"/>
      <c r="B729" s="12"/>
      <c r="C729" s="12"/>
      <c r="D729" s="12"/>
      <c r="E729" s="12"/>
      <c r="F729" s="12"/>
      <c r="G729" s="12"/>
      <c r="H729" s="592"/>
      <c r="I729" s="592"/>
      <c r="J729" s="592"/>
      <c r="K729" s="592"/>
      <c r="L729" s="592"/>
      <c r="M729" s="592"/>
      <c r="N729" s="592"/>
      <c r="O729" s="592"/>
      <c r="P729" s="592"/>
      <c r="Q729" s="592"/>
      <c r="R729" s="592"/>
      <c r="S729" s="592"/>
      <c r="T729" s="592"/>
      <c r="U729" s="12"/>
      <c r="V729" s="12"/>
      <c r="W729" s="12"/>
      <c r="X729" s="12"/>
      <c r="Y729" s="12"/>
      <c r="Z729" s="12"/>
      <c r="AA729" s="12"/>
      <c r="AB729" s="12"/>
      <c r="AC729" s="12"/>
    </row>
    <row r="730" spans="1:29" ht="12.75" customHeight="1">
      <c r="A730" s="12"/>
      <c r="B730" s="12"/>
      <c r="C730" s="12"/>
      <c r="D730" s="12"/>
      <c r="E730" s="12"/>
      <c r="F730" s="12"/>
      <c r="G730" s="12"/>
      <c r="H730" s="592"/>
      <c r="I730" s="592"/>
      <c r="J730" s="592"/>
      <c r="K730" s="592"/>
      <c r="L730" s="592"/>
      <c r="M730" s="592"/>
      <c r="N730" s="592"/>
      <c r="O730" s="592"/>
      <c r="P730" s="592"/>
      <c r="Q730" s="592"/>
      <c r="R730" s="592"/>
      <c r="S730" s="592"/>
      <c r="T730" s="592"/>
      <c r="U730" s="12"/>
      <c r="V730" s="12"/>
      <c r="W730" s="12"/>
      <c r="X730" s="12"/>
      <c r="Y730" s="12"/>
      <c r="Z730" s="12"/>
      <c r="AA730" s="12"/>
      <c r="AB730" s="12"/>
      <c r="AC730" s="12"/>
    </row>
    <row r="731" spans="1:29" ht="12.75" customHeight="1">
      <c r="A731" s="12"/>
      <c r="B731" s="12"/>
      <c r="C731" s="12"/>
      <c r="D731" s="12"/>
      <c r="E731" s="12"/>
      <c r="F731" s="12"/>
      <c r="G731" s="12"/>
      <c r="H731" s="592"/>
      <c r="I731" s="592"/>
      <c r="J731" s="592"/>
      <c r="K731" s="592"/>
      <c r="L731" s="592"/>
      <c r="M731" s="592"/>
      <c r="N731" s="592"/>
      <c r="O731" s="592"/>
      <c r="P731" s="592"/>
      <c r="Q731" s="592"/>
      <c r="R731" s="592"/>
      <c r="S731" s="592"/>
      <c r="T731" s="592"/>
      <c r="U731" s="12"/>
      <c r="V731" s="12"/>
      <c r="W731" s="12"/>
      <c r="X731" s="12"/>
      <c r="Y731" s="12"/>
      <c r="Z731" s="12"/>
      <c r="AA731" s="12"/>
      <c r="AB731" s="12"/>
      <c r="AC731" s="12"/>
    </row>
    <row r="732" spans="1:29" ht="12.75" customHeight="1">
      <c r="A732" s="12"/>
      <c r="B732" s="12"/>
      <c r="C732" s="12"/>
      <c r="D732" s="12"/>
      <c r="E732" s="12"/>
      <c r="F732" s="12"/>
      <c r="G732" s="12"/>
      <c r="H732" s="592"/>
      <c r="I732" s="592"/>
      <c r="J732" s="592"/>
      <c r="K732" s="592"/>
      <c r="L732" s="592"/>
      <c r="M732" s="592"/>
      <c r="N732" s="592"/>
      <c r="O732" s="592"/>
      <c r="P732" s="592"/>
      <c r="Q732" s="592"/>
      <c r="R732" s="592"/>
      <c r="S732" s="592"/>
      <c r="T732" s="592"/>
      <c r="U732" s="12"/>
      <c r="V732" s="12"/>
      <c r="W732" s="12"/>
      <c r="X732" s="12"/>
      <c r="Y732" s="12"/>
      <c r="Z732" s="12"/>
      <c r="AA732" s="12"/>
      <c r="AB732" s="12"/>
      <c r="AC732" s="12"/>
    </row>
    <row r="733" spans="1:29" ht="12.75" customHeight="1">
      <c r="A733" s="12"/>
      <c r="B733" s="12"/>
      <c r="C733" s="12"/>
      <c r="D733" s="12"/>
      <c r="E733" s="12"/>
      <c r="F733" s="12"/>
      <c r="G733" s="12"/>
      <c r="H733" s="592"/>
      <c r="I733" s="592"/>
      <c r="J733" s="592"/>
      <c r="K733" s="592"/>
      <c r="L733" s="592"/>
      <c r="M733" s="592"/>
      <c r="N733" s="592"/>
      <c r="O733" s="592"/>
      <c r="P733" s="592"/>
      <c r="Q733" s="592"/>
      <c r="R733" s="592"/>
      <c r="S733" s="592"/>
      <c r="T733" s="592"/>
      <c r="U733" s="12"/>
      <c r="V733" s="12"/>
      <c r="W733" s="12"/>
      <c r="X733" s="12"/>
      <c r="Y733" s="12"/>
      <c r="Z733" s="12"/>
      <c r="AA733" s="12"/>
      <c r="AB733" s="12"/>
      <c r="AC733" s="12"/>
    </row>
    <row r="734" spans="1:29" ht="12.75" customHeight="1">
      <c r="A734" s="12"/>
      <c r="B734" s="12"/>
      <c r="C734" s="12"/>
      <c r="D734" s="12"/>
      <c r="E734" s="12"/>
      <c r="F734" s="12"/>
      <c r="G734" s="12"/>
      <c r="H734" s="592"/>
      <c r="I734" s="592"/>
      <c r="J734" s="592"/>
      <c r="K734" s="592"/>
      <c r="L734" s="592"/>
      <c r="M734" s="592"/>
      <c r="N734" s="592"/>
      <c r="O734" s="592"/>
      <c r="P734" s="592"/>
      <c r="Q734" s="592"/>
      <c r="R734" s="592"/>
      <c r="S734" s="592"/>
      <c r="T734" s="592"/>
      <c r="U734" s="12"/>
      <c r="V734" s="12"/>
      <c r="W734" s="12"/>
      <c r="X734" s="12"/>
      <c r="Y734" s="12"/>
      <c r="Z734" s="12"/>
      <c r="AA734" s="12"/>
      <c r="AB734" s="12"/>
      <c r="AC734" s="12"/>
    </row>
    <row r="735" spans="1:29" ht="12.75" customHeight="1">
      <c r="A735" s="12"/>
      <c r="B735" s="12"/>
      <c r="C735" s="12"/>
      <c r="D735" s="12"/>
      <c r="E735" s="12"/>
      <c r="F735" s="12"/>
      <c r="G735" s="12"/>
      <c r="H735" s="592"/>
      <c r="I735" s="592"/>
      <c r="J735" s="592"/>
      <c r="K735" s="592"/>
      <c r="L735" s="592"/>
      <c r="M735" s="592"/>
      <c r="N735" s="592"/>
      <c r="O735" s="592"/>
      <c r="P735" s="592"/>
      <c r="Q735" s="592"/>
      <c r="R735" s="592"/>
      <c r="S735" s="592"/>
      <c r="T735" s="592"/>
      <c r="U735" s="12"/>
      <c r="V735" s="12"/>
      <c r="W735" s="12"/>
      <c r="X735" s="12"/>
      <c r="Y735" s="12"/>
      <c r="Z735" s="12"/>
      <c r="AA735" s="12"/>
      <c r="AB735" s="12"/>
      <c r="AC735" s="12"/>
    </row>
    <row r="736" spans="1:29" ht="12.75" customHeight="1">
      <c r="A736" s="12"/>
      <c r="B736" s="12"/>
      <c r="C736" s="12"/>
      <c r="D736" s="12"/>
      <c r="E736" s="12"/>
      <c r="F736" s="12"/>
      <c r="G736" s="12"/>
      <c r="H736" s="592"/>
      <c r="I736" s="592"/>
      <c r="J736" s="592"/>
      <c r="K736" s="592"/>
      <c r="L736" s="592"/>
      <c r="M736" s="592"/>
      <c r="N736" s="592"/>
      <c r="O736" s="592"/>
      <c r="P736" s="592"/>
      <c r="Q736" s="592"/>
      <c r="R736" s="592"/>
      <c r="S736" s="592"/>
      <c r="T736" s="592"/>
      <c r="U736" s="12"/>
      <c r="V736" s="12"/>
      <c r="W736" s="12"/>
      <c r="X736" s="12"/>
      <c r="Y736" s="12"/>
      <c r="Z736" s="12"/>
      <c r="AA736" s="12"/>
      <c r="AB736" s="12"/>
      <c r="AC736" s="12"/>
    </row>
    <row r="737" spans="1:29" ht="12.75" customHeight="1">
      <c r="A737" s="12"/>
      <c r="B737" s="12"/>
      <c r="C737" s="12"/>
      <c r="D737" s="12"/>
      <c r="E737" s="12"/>
      <c r="F737" s="12"/>
      <c r="G737" s="12"/>
      <c r="H737" s="592"/>
      <c r="I737" s="592"/>
      <c r="J737" s="592"/>
      <c r="K737" s="592"/>
      <c r="L737" s="592"/>
      <c r="M737" s="592"/>
      <c r="N737" s="592"/>
      <c r="O737" s="592"/>
      <c r="P737" s="592"/>
      <c r="Q737" s="592"/>
      <c r="R737" s="592"/>
      <c r="S737" s="592"/>
      <c r="T737" s="592"/>
      <c r="U737" s="12"/>
      <c r="V737" s="12"/>
      <c r="W737" s="12"/>
      <c r="X737" s="12"/>
      <c r="Y737" s="12"/>
      <c r="Z737" s="12"/>
      <c r="AA737" s="12"/>
      <c r="AB737" s="12"/>
      <c r="AC737" s="12"/>
    </row>
    <row r="738" spans="1:29" ht="12.75" customHeight="1">
      <c r="A738" s="12"/>
      <c r="B738" s="12"/>
      <c r="C738" s="12"/>
      <c r="D738" s="12"/>
      <c r="E738" s="12"/>
      <c r="F738" s="12"/>
      <c r="G738" s="12"/>
      <c r="H738" s="592"/>
      <c r="I738" s="592"/>
      <c r="J738" s="592"/>
      <c r="K738" s="592"/>
      <c r="L738" s="592"/>
      <c r="M738" s="592"/>
      <c r="N738" s="592"/>
      <c r="O738" s="592"/>
      <c r="P738" s="592"/>
      <c r="Q738" s="592"/>
      <c r="R738" s="592"/>
      <c r="S738" s="592"/>
      <c r="T738" s="592"/>
      <c r="U738" s="12"/>
      <c r="V738" s="12"/>
      <c r="W738" s="12"/>
      <c r="X738" s="12"/>
      <c r="Y738" s="12"/>
      <c r="Z738" s="12"/>
      <c r="AA738" s="12"/>
      <c r="AB738" s="12"/>
      <c r="AC738" s="12"/>
    </row>
    <row r="739" spans="1:29" ht="12.75" customHeight="1">
      <c r="A739" s="12"/>
      <c r="B739" s="12"/>
      <c r="C739" s="12"/>
      <c r="D739" s="12"/>
      <c r="E739" s="12"/>
      <c r="F739" s="12"/>
      <c r="G739" s="12"/>
      <c r="H739" s="592"/>
      <c r="I739" s="592"/>
      <c r="J739" s="592"/>
      <c r="K739" s="592"/>
      <c r="L739" s="592"/>
      <c r="M739" s="592"/>
      <c r="N739" s="592"/>
      <c r="O739" s="592"/>
      <c r="P739" s="592"/>
      <c r="Q739" s="592"/>
      <c r="R739" s="592"/>
      <c r="S739" s="592"/>
      <c r="T739" s="592"/>
      <c r="U739" s="12"/>
      <c r="V739" s="12"/>
      <c r="W739" s="12"/>
      <c r="X739" s="12"/>
      <c r="Y739" s="12"/>
      <c r="Z739" s="12"/>
      <c r="AA739" s="12"/>
      <c r="AB739" s="12"/>
      <c r="AC739" s="12"/>
    </row>
    <row r="740" spans="1:29" ht="12.75" customHeight="1">
      <c r="A740" s="12"/>
      <c r="B740" s="12"/>
      <c r="C740" s="12"/>
      <c r="D740" s="12"/>
      <c r="E740" s="12"/>
      <c r="F740" s="12"/>
      <c r="G740" s="12"/>
      <c r="H740" s="592"/>
      <c r="I740" s="592"/>
      <c r="J740" s="592"/>
      <c r="K740" s="592"/>
      <c r="L740" s="592"/>
      <c r="M740" s="592"/>
      <c r="N740" s="592"/>
      <c r="O740" s="592"/>
      <c r="P740" s="592"/>
      <c r="Q740" s="592"/>
      <c r="R740" s="592"/>
      <c r="S740" s="592"/>
      <c r="T740" s="592"/>
      <c r="U740" s="12"/>
      <c r="V740" s="12"/>
      <c r="W740" s="12"/>
      <c r="X740" s="12"/>
      <c r="Y740" s="12"/>
      <c r="Z740" s="12"/>
      <c r="AA740" s="12"/>
      <c r="AB740" s="12"/>
      <c r="AC740" s="12"/>
    </row>
    <row r="741" spans="1:29" ht="12.75" customHeight="1">
      <c r="A741" s="12"/>
      <c r="B741" s="12"/>
      <c r="C741" s="12"/>
      <c r="D741" s="12"/>
      <c r="E741" s="12"/>
      <c r="F741" s="12"/>
      <c r="G741" s="12"/>
      <c r="H741" s="592"/>
      <c r="I741" s="592"/>
      <c r="J741" s="592"/>
      <c r="K741" s="592"/>
      <c r="L741" s="592"/>
      <c r="M741" s="592"/>
      <c r="N741" s="592"/>
      <c r="O741" s="592"/>
      <c r="P741" s="592"/>
      <c r="Q741" s="592"/>
      <c r="R741" s="592"/>
      <c r="S741" s="592"/>
      <c r="T741" s="592"/>
      <c r="U741" s="12"/>
      <c r="V741" s="12"/>
      <c r="W741" s="12"/>
      <c r="X741" s="12"/>
      <c r="Y741" s="12"/>
      <c r="Z741" s="12"/>
      <c r="AA741" s="12"/>
      <c r="AB741" s="12"/>
      <c r="AC741" s="12"/>
    </row>
    <row r="742" spans="1:29" ht="12.75" customHeight="1">
      <c r="A742" s="12"/>
      <c r="B742" s="12"/>
      <c r="C742" s="12"/>
      <c r="D742" s="12"/>
      <c r="E742" s="12"/>
      <c r="F742" s="12"/>
      <c r="G742" s="12"/>
      <c r="H742" s="592"/>
      <c r="I742" s="592"/>
      <c r="J742" s="592"/>
      <c r="K742" s="592"/>
      <c r="L742" s="592"/>
      <c r="M742" s="592"/>
      <c r="N742" s="592"/>
      <c r="O742" s="592"/>
      <c r="P742" s="592"/>
      <c r="Q742" s="592"/>
      <c r="R742" s="592"/>
      <c r="S742" s="592"/>
      <c r="T742" s="592"/>
      <c r="U742" s="12"/>
      <c r="V742" s="12"/>
      <c r="W742" s="12"/>
      <c r="X742" s="12"/>
      <c r="Y742" s="12"/>
      <c r="Z742" s="12"/>
      <c r="AA742" s="12"/>
      <c r="AB742" s="12"/>
      <c r="AC742" s="12"/>
    </row>
    <row r="743" spans="1:29" ht="12.75" customHeight="1">
      <c r="A743" s="12"/>
      <c r="B743" s="12"/>
      <c r="C743" s="12"/>
      <c r="D743" s="12"/>
      <c r="E743" s="12"/>
      <c r="F743" s="12"/>
      <c r="G743" s="12"/>
      <c r="H743" s="592"/>
      <c r="I743" s="592"/>
      <c r="J743" s="592"/>
      <c r="K743" s="592"/>
      <c r="L743" s="592"/>
      <c r="M743" s="592"/>
      <c r="N743" s="592"/>
      <c r="O743" s="592"/>
      <c r="P743" s="592"/>
      <c r="Q743" s="592"/>
      <c r="R743" s="592"/>
      <c r="S743" s="592"/>
      <c r="T743" s="592"/>
      <c r="U743" s="12"/>
      <c r="V743" s="12"/>
      <c r="W743" s="12"/>
      <c r="X743" s="12"/>
      <c r="Y743" s="12"/>
      <c r="Z743" s="12"/>
      <c r="AA743" s="12"/>
      <c r="AB743" s="12"/>
      <c r="AC743" s="12"/>
    </row>
    <row r="744" spans="1:29" ht="12.75" customHeight="1">
      <c r="A744" s="12"/>
      <c r="B744" s="12"/>
      <c r="C744" s="12"/>
      <c r="D744" s="12"/>
      <c r="E744" s="12"/>
      <c r="F744" s="12"/>
      <c r="G744" s="12"/>
      <c r="H744" s="592"/>
      <c r="I744" s="592"/>
      <c r="J744" s="592"/>
      <c r="K744" s="592"/>
      <c r="L744" s="592"/>
      <c r="M744" s="592"/>
      <c r="N744" s="592"/>
      <c r="O744" s="592"/>
      <c r="P744" s="592"/>
      <c r="Q744" s="592"/>
      <c r="R744" s="592"/>
      <c r="S744" s="592"/>
      <c r="T744" s="592"/>
      <c r="U744" s="12"/>
      <c r="V744" s="12"/>
      <c r="W744" s="12"/>
      <c r="X744" s="12"/>
      <c r="Y744" s="12"/>
      <c r="Z744" s="12"/>
      <c r="AA744" s="12"/>
      <c r="AB744" s="12"/>
      <c r="AC744" s="12"/>
    </row>
    <row r="745" spans="1:29" ht="12.75" customHeight="1">
      <c r="A745" s="12"/>
      <c r="B745" s="12"/>
      <c r="C745" s="12"/>
      <c r="D745" s="12"/>
      <c r="E745" s="12"/>
      <c r="F745" s="12"/>
      <c r="G745" s="12"/>
      <c r="H745" s="592"/>
      <c r="I745" s="592"/>
      <c r="J745" s="592"/>
      <c r="K745" s="592"/>
      <c r="L745" s="592"/>
      <c r="M745" s="592"/>
      <c r="N745" s="592"/>
      <c r="O745" s="592"/>
      <c r="P745" s="592"/>
      <c r="Q745" s="592"/>
      <c r="R745" s="592"/>
      <c r="S745" s="592"/>
      <c r="T745" s="592"/>
      <c r="U745" s="12"/>
      <c r="V745" s="12"/>
      <c r="W745" s="12"/>
      <c r="X745" s="12"/>
      <c r="Y745" s="12"/>
      <c r="Z745" s="12"/>
      <c r="AA745" s="12"/>
      <c r="AB745" s="12"/>
      <c r="AC745" s="12"/>
    </row>
    <row r="746" spans="1:29" ht="12.75" customHeight="1">
      <c r="A746" s="12"/>
      <c r="B746" s="12"/>
      <c r="C746" s="12"/>
      <c r="D746" s="12"/>
      <c r="E746" s="12"/>
      <c r="F746" s="12"/>
      <c r="G746" s="12"/>
      <c r="H746" s="592"/>
      <c r="I746" s="592"/>
      <c r="J746" s="592"/>
      <c r="K746" s="592"/>
      <c r="L746" s="592"/>
      <c r="M746" s="592"/>
      <c r="N746" s="592"/>
      <c r="O746" s="592"/>
      <c r="P746" s="592"/>
      <c r="Q746" s="592"/>
      <c r="R746" s="592"/>
      <c r="S746" s="592"/>
      <c r="T746" s="592"/>
      <c r="U746" s="12"/>
      <c r="V746" s="12"/>
      <c r="W746" s="12"/>
      <c r="X746" s="12"/>
      <c r="Y746" s="12"/>
      <c r="Z746" s="12"/>
      <c r="AA746" s="12"/>
      <c r="AB746" s="12"/>
      <c r="AC746" s="12"/>
    </row>
    <row r="747" spans="1:29" ht="12.75" customHeight="1">
      <c r="A747" s="12"/>
      <c r="B747" s="12"/>
      <c r="C747" s="12"/>
      <c r="D747" s="12"/>
      <c r="E747" s="12"/>
      <c r="F747" s="12"/>
      <c r="G747" s="12"/>
      <c r="H747" s="592"/>
      <c r="I747" s="592"/>
      <c r="J747" s="592"/>
      <c r="K747" s="592"/>
      <c r="L747" s="592"/>
      <c r="M747" s="592"/>
      <c r="N747" s="592"/>
      <c r="O747" s="592"/>
      <c r="P747" s="592"/>
      <c r="Q747" s="592"/>
      <c r="R747" s="592"/>
      <c r="S747" s="592"/>
      <c r="T747" s="592"/>
      <c r="U747" s="12"/>
      <c r="V747" s="12"/>
      <c r="W747" s="12"/>
      <c r="X747" s="12"/>
      <c r="Y747" s="12"/>
      <c r="Z747" s="12"/>
      <c r="AA747" s="12"/>
      <c r="AB747" s="12"/>
      <c r="AC747" s="12"/>
    </row>
    <row r="748" spans="1:29" ht="12.75" customHeight="1">
      <c r="A748" s="12"/>
      <c r="B748" s="12"/>
      <c r="C748" s="12"/>
      <c r="D748" s="12"/>
      <c r="E748" s="12"/>
      <c r="F748" s="12"/>
      <c r="G748" s="12"/>
      <c r="H748" s="592"/>
      <c r="I748" s="592"/>
      <c r="J748" s="592"/>
      <c r="K748" s="592"/>
      <c r="L748" s="592"/>
      <c r="M748" s="592"/>
      <c r="N748" s="592"/>
      <c r="O748" s="592"/>
      <c r="P748" s="592"/>
      <c r="Q748" s="592"/>
      <c r="R748" s="592"/>
      <c r="S748" s="592"/>
      <c r="T748" s="592"/>
      <c r="U748" s="12"/>
      <c r="V748" s="12"/>
      <c r="W748" s="12"/>
      <c r="X748" s="12"/>
      <c r="Y748" s="12"/>
      <c r="Z748" s="12"/>
      <c r="AA748" s="12"/>
      <c r="AB748" s="12"/>
      <c r="AC748" s="12"/>
    </row>
    <row r="749" spans="1:29" ht="12.75" customHeight="1">
      <c r="A749" s="12"/>
      <c r="B749" s="12"/>
      <c r="C749" s="12"/>
      <c r="D749" s="12"/>
      <c r="E749" s="12"/>
      <c r="F749" s="12"/>
      <c r="G749" s="12"/>
      <c r="H749" s="592"/>
      <c r="I749" s="592"/>
      <c r="J749" s="592"/>
      <c r="K749" s="592"/>
      <c r="L749" s="592"/>
      <c r="M749" s="592"/>
      <c r="N749" s="592"/>
      <c r="O749" s="592"/>
      <c r="P749" s="592"/>
      <c r="Q749" s="592"/>
      <c r="R749" s="592"/>
      <c r="S749" s="592"/>
      <c r="T749" s="592"/>
      <c r="U749" s="12"/>
      <c r="V749" s="12"/>
      <c r="W749" s="12"/>
      <c r="X749" s="12"/>
      <c r="Y749" s="12"/>
      <c r="Z749" s="12"/>
      <c r="AA749" s="12"/>
      <c r="AB749" s="12"/>
      <c r="AC749" s="12"/>
    </row>
    <row r="750" spans="1:29" ht="12.75" customHeight="1">
      <c r="A750" s="12"/>
      <c r="B750" s="12"/>
      <c r="C750" s="12"/>
      <c r="D750" s="12"/>
      <c r="E750" s="12"/>
      <c r="F750" s="12"/>
      <c r="G750" s="12"/>
      <c r="H750" s="592"/>
      <c r="I750" s="592"/>
      <c r="J750" s="592"/>
      <c r="K750" s="592"/>
      <c r="L750" s="592"/>
      <c r="M750" s="592"/>
      <c r="N750" s="592"/>
      <c r="O750" s="592"/>
      <c r="P750" s="592"/>
      <c r="Q750" s="592"/>
      <c r="R750" s="592"/>
      <c r="S750" s="592"/>
      <c r="T750" s="592"/>
      <c r="U750" s="12"/>
      <c r="V750" s="12"/>
      <c r="W750" s="12"/>
      <c r="X750" s="12"/>
      <c r="Y750" s="12"/>
      <c r="Z750" s="12"/>
      <c r="AA750" s="12"/>
      <c r="AB750" s="12"/>
      <c r="AC750" s="12"/>
    </row>
    <row r="751" spans="1:29" ht="12.75" customHeight="1">
      <c r="A751" s="12"/>
      <c r="B751" s="12"/>
      <c r="C751" s="12"/>
      <c r="D751" s="12"/>
      <c r="E751" s="12"/>
      <c r="F751" s="12"/>
      <c r="G751" s="12"/>
      <c r="H751" s="592"/>
      <c r="I751" s="592"/>
      <c r="J751" s="592"/>
      <c r="K751" s="592"/>
      <c r="L751" s="592"/>
      <c r="M751" s="592"/>
      <c r="N751" s="592"/>
      <c r="O751" s="592"/>
      <c r="P751" s="592"/>
      <c r="Q751" s="592"/>
      <c r="R751" s="592"/>
      <c r="S751" s="592"/>
      <c r="T751" s="592"/>
      <c r="U751" s="12"/>
      <c r="V751" s="12"/>
      <c r="W751" s="12"/>
      <c r="X751" s="12"/>
      <c r="Y751" s="12"/>
      <c r="Z751" s="12"/>
      <c r="AA751" s="12"/>
      <c r="AB751" s="12"/>
      <c r="AC751" s="12"/>
    </row>
    <row r="752" spans="1:29" ht="12.75" customHeight="1">
      <c r="A752" s="12"/>
      <c r="B752" s="12"/>
      <c r="C752" s="12"/>
      <c r="D752" s="12"/>
      <c r="E752" s="12"/>
      <c r="F752" s="12"/>
      <c r="G752" s="12"/>
      <c r="H752" s="592"/>
      <c r="I752" s="592"/>
      <c r="J752" s="592"/>
      <c r="K752" s="592"/>
      <c r="L752" s="592"/>
      <c r="M752" s="592"/>
      <c r="N752" s="592"/>
      <c r="O752" s="592"/>
      <c r="P752" s="592"/>
      <c r="Q752" s="592"/>
      <c r="R752" s="592"/>
      <c r="S752" s="592"/>
      <c r="T752" s="592"/>
      <c r="U752" s="12"/>
      <c r="V752" s="12"/>
      <c r="W752" s="12"/>
      <c r="X752" s="12"/>
      <c r="Y752" s="12"/>
      <c r="Z752" s="12"/>
      <c r="AA752" s="12"/>
      <c r="AB752" s="12"/>
      <c r="AC752" s="12"/>
    </row>
    <row r="753" spans="1:29" ht="12.75" customHeight="1">
      <c r="A753" s="12"/>
      <c r="B753" s="12"/>
      <c r="C753" s="12"/>
      <c r="D753" s="12"/>
      <c r="E753" s="12"/>
      <c r="F753" s="12"/>
      <c r="G753" s="12"/>
      <c r="H753" s="592"/>
      <c r="I753" s="592"/>
      <c r="J753" s="592"/>
      <c r="K753" s="592"/>
      <c r="L753" s="592"/>
      <c r="M753" s="592"/>
      <c r="N753" s="592"/>
      <c r="O753" s="592"/>
      <c r="P753" s="592"/>
      <c r="Q753" s="592"/>
      <c r="R753" s="592"/>
      <c r="S753" s="592"/>
      <c r="T753" s="592"/>
      <c r="U753" s="12"/>
      <c r="V753" s="12"/>
      <c r="W753" s="12"/>
      <c r="X753" s="12"/>
      <c r="Y753" s="12"/>
      <c r="Z753" s="12"/>
      <c r="AA753" s="12"/>
      <c r="AB753" s="12"/>
      <c r="AC753" s="12"/>
    </row>
    <row r="754" spans="1:29" ht="12.75" customHeight="1">
      <c r="A754" s="12"/>
      <c r="B754" s="12"/>
      <c r="C754" s="12"/>
      <c r="D754" s="12"/>
      <c r="E754" s="12"/>
      <c r="F754" s="12"/>
      <c r="G754" s="12"/>
      <c r="H754" s="592"/>
      <c r="I754" s="592"/>
      <c r="J754" s="592"/>
      <c r="K754" s="592"/>
      <c r="L754" s="592"/>
      <c r="M754" s="592"/>
      <c r="N754" s="592"/>
      <c r="O754" s="592"/>
      <c r="P754" s="592"/>
      <c r="Q754" s="592"/>
      <c r="R754" s="592"/>
      <c r="S754" s="592"/>
      <c r="T754" s="592"/>
      <c r="U754" s="12"/>
      <c r="V754" s="12"/>
      <c r="W754" s="12"/>
      <c r="X754" s="12"/>
      <c r="Y754" s="12"/>
      <c r="Z754" s="12"/>
      <c r="AA754" s="12"/>
      <c r="AB754" s="12"/>
      <c r="AC754" s="12"/>
    </row>
    <row r="755" spans="1:29" ht="12.75" customHeight="1">
      <c r="A755" s="12"/>
      <c r="B755" s="12"/>
      <c r="C755" s="12"/>
      <c r="D755" s="12"/>
      <c r="E755" s="12"/>
      <c r="F755" s="12"/>
      <c r="G755" s="12"/>
      <c r="H755" s="592"/>
      <c r="I755" s="592"/>
      <c r="J755" s="592"/>
      <c r="K755" s="592"/>
      <c r="L755" s="592"/>
      <c r="M755" s="592"/>
      <c r="N755" s="592"/>
      <c r="O755" s="592"/>
      <c r="P755" s="592"/>
      <c r="Q755" s="592"/>
      <c r="R755" s="592"/>
      <c r="S755" s="592"/>
      <c r="T755" s="592"/>
      <c r="U755" s="12"/>
      <c r="V755" s="12"/>
      <c r="W755" s="12"/>
      <c r="X755" s="12"/>
      <c r="Y755" s="12"/>
      <c r="Z755" s="12"/>
      <c r="AA755" s="12"/>
      <c r="AB755" s="12"/>
      <c r="AC755" s="12"/>
    </row>
    <row r="756" spans="1:29" ht="12.75" customHeight="1">
      <c r="A756" s="12"/>
      <c r="B756" s="12"/>
      <c r="C756" s="12"/>
      <c r="D756" s="12"/>
      <c r="E756" s="12"/>
      <c r="F756" s="12"/>
      <c r="G756" s="12"/>
      <c r="H756" s="592"/>
      <c r="I756" s="592"/>
      <c r="J756" s="592"/>
      <c r="K756" s="592"/>
      <c r="L756" s="592"/>
      <c r="M756" s="592"/>
      <c r="N756" s="592"/>
      <c r="O756" s="592"/>
      <c r="P756" s="592"/>
      <c r="Q756" s="592"/>
      <c r="R756" s="592"/>
      <c r="S756" s="592"/>
      <c r="T756" s="592"/>
      <c r="U756" s="12"/>
      <c r="V756" s="12"/>
      <c r="W756" s="12"/>
      <c r="X756" s="12"/>
      <c r="Y756" s="12"/>
      <c r="Z756" s="12"/>
      <c r="AA756" s="12"/>
      <c r="AB756" s="12"/>
      <c r="AC756" s="12"/>
    </row>
    <row r="757" spans="1:29" ht="12.75" customHeight="1">
      <c r="A757" s="12"/>
      <c r="B757" s="12"/>
      <c r="C757" s="12"/>
      <c r="D757" s="12"/>
      <c r="E757" s="12"/>
      <c r="F757" s="12"/>
      <c r="G757" s="12"/>
      <c r="H757" s="592"/>
      <c r="I757" s="592"/>
      <c r="J757" s="592"/>
      <c r="K757" s="592"/>
      <c r="L757" s="592"/>
      <c r="M757" s="592"/>
      <c r="N757" s="592"/>
      <c r="O757" s="592"/>
      <c r="P757" s="592"/>
      <c r="Q757" s="592"/>
      <c r="R757" s="592"/>
      <c r="S757" s="592"/>
      <c r="T757" s="592"/>
      <c r="U757" s="12"/>
      <c r="V757" s="12"/>
      <c r="W757" s="12"/>
      <c r="X757" s="12"/>
      <c r="Y757" s="12"/>
      <c r="Z757" s="12"/>
      <c r="AA757" s="12"/>
      <c r="AB757" s="12"/>
      <c r="AC757" s="12"/>
    </row>
    <row r="758" spans="1:29" ht="12.75" customHeight="1">
      <c r="A758" s="12"/>
      <c r="B758" s="12"/>
      <c r="C758" s="12"/>
      <c r="D758" s="12"/>
      <c r="E758" s="12"/>
      <c r="F758" s="12"/>
      <c r="G758" s="12"/>
      <c r="H758" s="592"/>
      <c r="I758" s="592"/>
      <c r="J758" s="592"/>
      <c r="K758" s="592"/>
      <c r="L758" s="592"/>
      <c r="M758" s="592"/>
      <c r="N758" s="592"/>
      <c r="O758" s="592"/>
      <c r="P758" s="592"/>
      <c r="Q758" s="592"/>
      <c r="R758" s="592"/>
      <c r="S758" s="592"/>
      <c r="T758" s="592"/>
      <c r="U758" s="12"/>
      <c r="V758" s="12"/>
      <c r="W758" s="12"/>
      <c r="X758" s="12"/>
      <c r="Y758" s="12"/>
      <c r="Z758" s="12"/>
      <c r="AA758" s="12"/>
      <c r="AB758" s="12"/>
      <c r="AC758" s="12"/>
    </row>
    <row r="759" spans="1:29" ht="12.75" customHeight="1">
      <c r="A759" s="12"/>
      <c r="B759" s="12"/>
      <c r="C759" s="12"/>
      <c r="D759" s="12"/>
      <c r="E759" s="12"/>
      <c r="F759" s="12"/>
      <c r="G759" s="12"/>
      <c r="H759" s="592"/>
      <c r="I759" s="592"/>
      <c r="J759" s="592"/>
      <c r="K759" s="592"/>
      <c r="L759" s="592"/>
      <c r="M759" s="592"/>
      <c r="N759" s="592"/>
      <c r="O759" s="592"/>
      <c r="P759" s="592"/>
      <c r="Q759" s="592"/>
      <c r="R759" s="592"/>
      <c r="S759" s="592"/>
      <c r="T759" s="592"/>
      <c r="U759" s="12"/>
      <c r="V759" s="12"/>
      <c r="W759" s="12"/>
      <c r="X759" s="12"/>
      <c r="Y759" s="12"/>
      <c r="Z759" s="12"/>
      <c r="AA759" s="12"/>
      <c r="AB759" s="12"/>
      <c r="AC759" s="12"/>
    </row>
    <row r="760" spans="1:29" ht="12.75" customHeight="1">
      <c r="A760" s="12"/>
      <c r="B760" s="12"/>
      <c r="C760" s="12"/>
      <c r="D760" s="12"/>
      <c r="E760" s="12"/>
      <c r="F760" s="12"/>
      <c r="G760" s="12"/>
      <c r="H760" s="592"/>
      <c r="I760" s="592"/>
      <c r="J760" s="592"/>
      <c r="K760" s="592"/>
      <c r="L760" s="592"/>
      <c r="M760" s="592"/>
      <c r="N760" s="592"/>
      <c r="O760" s="592"/>
      <c r="P760" s="592"/>
      <c r="Q760" s="592"/>
      <c r="R760" s="592"/>
      <c r="S760" s="592"/>
      <c r="T760" s="592"/>
      <c r="U760" s="12"/>
      <c r="V760" s="12"/>
      <c r="W760" s="12"/>
      <c r="X760" s="12"/>
      <c r="Y760" s="12"/>
      <c r="Z760" s="12"/>
      <c r="AA760" s="12"/>
      <c r="AB760" s="12"/>
      <c r="AC760" s="12"/>
    </row>
    <row r="761" spans="1:29" ht="12.75" customHeight="1">
      <c r="A761" s="12"/>
      <c r="B761" s="12"/>
      <c r="C761" s="12"/>
      <c r="D761" s="12"/>
      <c r="E761" s="12"/>
      <c r="F761" s="12"/>
      <c r="G761" s="12"/>
      <c r="H761" s="592"/>
      <c r="I761" s="592"/>
      <c r="J761" s="592"/>
      <c r="K761" s="592"/>
      <c r="L761" s="592"/>
      <c r="M761" s="592"/>
      <c r="N761" s="592"/>
      <c r="O761" s="592"/>
      <c r="P761" s="592"/>
      <c r="Q761" s="592"/>
      <c r="R761" s="592"/>
      <c r="S761" s="592"/>
      <c r="T761" s="592"/>
      <c r="U761" s="12"/>
      <c r="V761" s="12"/>
      <c r="W761" s="12"/>
      <c r="X761" s="12"/>
      <c r="Y761" s="12"/>
      <c r="Z761" s="12"/>
      <c r="AA761" s="12"/>
      <c r="AB761" s="12"/>
      <c r="AC761" s="12"/>
    </row>
    <row r="762" spans="1:29" ht="12.75" customHeight="1">
      <c r="A762" s="12"/>
      <c r="B762" s="12"/>
      <c r="C762" s="12"/>
      <c r="D762" s="12"/>
      <c r="E762" s="12"/>
      <c r="F762" s="12"/>
      <c r="G762" s="12"/>
      <c r="H762" s="592"/>
      <c r="I762" s="592"/>
      <c r="J762" s="592"/>
      <c r="K762" s="592"/>
      <c r="L762" s="592"/>
      <c r="M762" s="592"/>
      <c r="N762" s="592"/>
      <c r="O762" s="592"/>
      <c r="P762" s="592"/>
      <c r="Q762" s="592"/>
      <c r="R762" s="592"/>
      <c r="S762" s="592"/>
      <c r="T762" s="592"/>
      <c r="U762" s="12"/>
      <c r="V762" s="12"/>
      <c r="W762" s="12"/>
      <c r="X762" s="12"/>
      <c r="Y762" s="12"/>
      <c r="Z762" s="12"/>
      <c r="AA762" s="12"/>
      <c r="AB762" s="12"/>
      <c r="AC762" s="12"/>
    </row>
    <row r="763" spans="1:29" ht="12.75" customHeight="1">
      <c r="A763" s="12"/>
      <c r="B763" s="12"/>
      <c r="C763" s="12"/>
      <c r="D763" s="12"/>
      <c r="E763" s="12"/>
      <c r="F763" s="12"/>
      <c r="G763" s="12"/>
      <c r="H763" s="592"/>
      <c r="I763" s="592"/>
      <c r="J763" s="592"/>
      <c r="K763" s="592"/>
      <c r="L763" s="592"/>
      <c r="M763" s="592"/>
      <c r="N763" s="592"/>
      <c r="O763" s="592"/>
      <c r="P763" s="592"/>
      <c r="Q763" s="592"/>
      <c r="R763" s="592"/>
      <c r="S763" s="592"/>
      <c r="T763" s="592"/>
      <c r="U763" s="12"/>
      <c r="V763" s="12"/>
      <c r="W763" s="12"/>
      <c r="X763" s="12"/>
      <c r="Y763" s="12"/>
      <c r="Z763" s="12"/>
      <c r="AA763" s="12"/>
      <c r="AB763" s="12"/>
      <c r="AC763" s="12"/>
    </row>
    <row r="764" spans="1:29" ht="12.75" customHeight="1">
      <c r="A764" s="12"/>
      <c r="B764" s="12"/>
      <c r="C764" s="12"/>
      <c r="D764" s="12"/>
      <c r="E764" s="12"/>
      <c r="F764" s="12"/>
      <c r="G764" s="12"/>
      <c r="H764" s="592"/>
      <c r="I764" s="592"/>
      <c r="J764" s="592"/>
      <c r="K764" s="592"/>
      <c r="L764" s="592"/>
      <c r="M764" s="592"/>
      <c r="N764" s="592"/>
      <c r="O764" s="592"/>
      <c r="P764" s="592"/>
      <c r="Q764" s="592"/>
      <c r="R764" s="592"/>
      <c r="S764" s="592"/>
      <c r="T764" s="592"/>
      <c r="U764" s="12"/>
      <c r="V764" s="12"/>
      <c r="W764" s="12"/>
      <c r="X764" s="12"/>
      <c r="Y764" s="12"/>
      <c r="Z764" s="12"/>
      <c r="AA764" s="12"/>
      <c r="AB764" s="12"/>
      <c r="AC764" s="12"/>
    </row>
    <row r="765" spans="1:29" ht="12.75" customHeight="1">
      <c r="A765" s="12"/>
      <c r="B765" s="12"/>
      <c r="C765" s="12"/>
      <c r="D765" s="12"/>
      <c r="E765" s="12"/>
      <c r="F765" s="12"/>
      <c r="G765" s="12"/>
      <c r="H765" s="592"/>
      <c r="I765" s="592"/>
      <c r="J765" s="592"/>
      <c r="K765" s="592"/>
      <c r="L765" s="592"/>
      <c r="M765" s="592"/>
      <c r="N765" s="592"/>
      <c r="O765" s="592"/>
      <c r="P765" s="592"/>
      <c r="Q765" s="592"/>
      <c r="R765" s="592"/>
      <c r="S765" s="592"/>
      <c r="T765" s="592"/>
      <c r="U765" s="12"/>
      <c r="V765" s="12"/>
      <c r="W765" s="12"/>
      <c r="X765" s="12"/>
      <c r="Y765" s="12"/>
      <c r="Z765" s="12"/>
      <c r="AA765" s="12"/>
      <c r="AB765" s="12"/>
      <c r="AC765" s="12"/>
    </row>
    <row r="766" spans="1:29" ht="12.75" customHeight="1">
      <c r="A766" s="12"/>
      <c r="B766" s="12"/>
      <c r="C766" s="12"/>
      <c r="D766" s="12"/>
      <c r="E766" s="12"/>
      <c r="F766" s="12"/>
      <c r="G766" s="12"/>
      <c r="H766" s="592"/>
      <c r="I766" s="592"/>
      <c r="J766" s="592"/>
      <c r="K766" s="592"/>
      <c r="L766" s="592"/>
      <c r="M766" s="592"/>
      <c r="N766" s="592"/>
      <c r="O766" s="592"/>
      <c r="P766" s="592"/>
      <c r="Q766" s="592"/>
      <c r="R766" s="592"/>
      <c r="S766" s="592"/>
      <c r="T766" s="592"/>
      <c r="U766" s="12"/>
      <c r="V766" s="12"/>
      <c r="W766" s="12"/>
      <c r="X766" s="12"/>
      <c r="Y766" s="12"/>
      <c r="Z766" s="12"/>
      <c r="AA766" s="12"/>
      <c r="AB766" s="12"/>
      <c r="AC766" s="12"/>
    </row>
    <row r="767" spans="1:29" ht="12.75" customHeight="1">
      <c r="A767" s="12"/>
      <c r="B767" s="12"/>
      <c r="C767" s="12"/>
      <c r="D767" s="12"/>
      <c r="E767" s="12"/>
      <c r="F767" s="12"/>
      <c r="G767" s="12"/>
      <c r="H767" s="592"/>
      <c r="I767" s="592"/>
      <c r="J767" s="592"/>
      <c r="K767" s="592"/>
      <c r="L767" s="592"/>
      <c r="M767" s="592"/>
      <c r="N767" s="592"/>
      <c r="O767" s="592"/>
      <c r="P767" s="592"/>
      <c r="Q767" s="592"/>
      <c r="R767" s="592"/>
      <c r="S767" s="592"/>
      <c r="T767" s="592"/>
      <c r="U767" s="12"/>
      <c r="V767" s="12"/>
      <c r="W767" s="12"/>
      <c r="X767" s="12"/>
      <c r="Y767" s="12"/>
      <c r="Z767" s="12"/>
      <c r="AA767" s="12"/>
      <c r="AB767" s="12"/>
      <c r="AC767" s="12"/>
    </row>
    <row r="768" spans="1:29" ht="12.75" customHeight="1">
      <c r="A768" s="12"/>
      <c r="B768" s="12"/>
      <c r="C768" s="12"/>
      <c r="D768" s="12"/>
      <c r="E768" s="12"/>
      <c r="F768" s="12"/>
      <c r="G768" s="12"/>
      <c r="H768" s="592"/>
      <c r="I768" s="592"/>
      <c r="J768" s="592"/>
      <c r="K768" s="592"/>
      <c r="L768" s="592"/>
      <c r="M768" s="592"/>
      <c r="N768" s="592"/>
      <c r="O768" s="592"/>
      <c r="P768" s="592"/>
      <c r="Q768" s="592"/>
      <c r="R768" s="592"/>
      <c r="S768" s="592"/>
      <c r="T768" s="592"/>
      <c r="U768" s="12"/>
      <c r="V768" s="12"/>
      <c r="W768" s="12"/>
      <c r="X768" s="12"/>
      <c r="Y768" s="12"/>
      <c r="Z768" s="12"/>
      <c r="AA768" s="12"/>
      <c r="AB768" s="12"/>
      <c r="AC768" s="12"/>
    </row>
    <row r="769" spans="1:29" ht="12.75" customHeight="1">
      <c r="A769" s="12"/>
      <c r="B769" s="12"/>
      <c r="C769" s="12"/>
      <c r="D769" s="12"/>
      <c r="E769" s="12"/>
      <c r="F769" s="12"/>
      <c r="G769" s="12"/>
      <c r="H769" s="592"/>
      <c r="I769" s="592"/>
      <c r="J769" s="592"/>
      <c r="K769" s="592"/>
      <c r="L769" s="592"/>
      <c r="M769" s="592"/>
      <c r="N769" s="592"/>
      <c r="O769" s="592"/>
      <c r="P769" s="592"/>
      <c r="Q769" s="592"/>
      <c r="R769" s="592"/>
      <c r="S769" s="592"/>
      <c r="T769" s="592"/>
      <c r="U769" s="12"/>
      <c r="V769" s="12"/>
      <c r="W769" s="12"/>
      <c r="X769" s="12"/>
      <c r="Y769" s="12"/>
      <c r="Z769" s="12"/>
      <c r="AA769" s="12"/>
      <c r="AB769" s="12"/>
      <c r="AC769" s="12"/>
    </row>
    <row r="770" spans="1:29" ht="12.75" customHeight="1">
      <c r="A770" s="12"/>
      <c r="B770" s="12"/>
      <c r="C770" s="12"/>
      <c r="D770" s="12"/>
      <c r="E770" s="12"/>
      <c r="F770" s="12"/>
      <c r="G770" s="12"/>
      <c r="H770" s="592"/>
      <c r="I770" s="592"/>
      <c r="J770" s="592"/>
      <c r="K770" s="592"/>
      <c r="L770" s="592"/>
      <c r="M770" s="592"/>
      <c r="N770" s="592"/>
      <c r="O770" s="592"/>
      <c r="P770" s="592"/>
      <c r="Q770" s="592"/>
      <c r="R770" s="592"/>
      <c r="S770" s="592"/>
      <c r="T770" s="592"/>
      <c r="U770" s="12"/>
      <c r="V770" s="12"/>
      <c r="W770" s="12"/>
      <c r="X770" s="12"/>
      <c r="Y770" s="12"/>
      <c r="Z770" s="12"/>
      <c r="AA770" s="12"/>
      <c r="AB770" s="12"/>
      <c r="AC770" s="12"/>
    </row>
    <row r="771" spans="1:29" ht="12.75" customHeight="1">
      <c r="A771" s="12"/>
      <c r="B771" s="12"/>
      <c r="C771" s="12"/>
      <c r="D771" s="12"/>
      <c r="E771" s="12"/>
      <c r="F771" s="12"/>
      <c r="G771" s="12"/>
      <c r="H771" s="592"/>
      <c r="I771" s="592"/>
      <c r="J771" s="592"/>
      <c r="K771" s="592"/>
      <c r="L771" s="592"/>
      <c r="M771" s="592"/>
      <c r="N771" s="592"/>
      <c r="O771" s="592"/>
      <c r="P771" s="592"/>
      <c r="Q771" s="592"/>
      <c r="R771" s="592"/>
      <c r="S771" s="592"/>
      <c r="T771" s="592"/>
      <c r="U771" s="12"/>
      <c r="V771" s="12"/>
      <c r="W771" s="12"/>
      <c r="X771" s="12"/>
      <c r="Y771" s="12"/>
      <c r="Z771" s="12"/>
      <c r="AA771" s="12"/>
      <c r="AB771" s="12"/>
      <c r="AC771" s="12"/>
    </row>
    <row r="772" spans="1:29" ht="12.75" customHeight="1">
      <c r="A772" s="12"/>
      <c r="B772" s="12"/>
      <c r="C772" s="12"/>
      <c r="D772" s="12"/>
      <c r="E772" s="12"/>
      <c r="F772" s="12"/>
      <c r="G772" s="12"/>
      <c r="H772" s="592"/>
      <c r="I772" s="592"/>
      <c r="J772" s="592"/>
      <c r="K772" s="592"/>
      <c r="L772" s="592"/>
      <c r="M772" s="592"/>
      <c r="N772" s="592"/>
      <c r="O772" s="592"/>
      <c r="P772" s="592"/>
      <c r="Q772" s="592"/>
      <c r="R772" s="592"/>
      <c r="S772" s="592"/>
      <c r="T772" s="592"/>
      <c r="U772" s="12"/>
      <c r="V772" s="12"/>
      <c r="W772" s="12"/>
      <c r="X772" s="12"/>
      <c r="Y772" s="12"/>
      <c r="Z772" s="12"/>
      <c r="AA772" s="12"/>
      <c r="AB772" s="12"/>
      <c r="AC772" s="12"/>
    </row>
    <row r="773" spans="1:29" ht="12.75" customHeight="1">
      <c r="A773" s="12"/>
      <c r="B773" s="12"/>
      <c r="C773" s="12"/>
      <c r="D773" s="12"/>
      <c r="E773" s="12"/>
      <c r="F773" s="12"/>
      <c r="G773" s="12"/>
      <c r="H773" s="592"/>
      <c r="I773" s="592"/>
      <c r="J773" s="592"/>
      <c r="K773" s="592"/>
      <c r="L773" s="592"/>
      <c r="M773" s="592"/>
      <c r="N773" s="592"/>
      <c r="O773" s="592"/>
      <c r="P773" s="592"/>
      <c r="Q773" s="592"/>
      <c r="R773" s="592"/>
      <c r="S773" s="592"/>
      <c r="T773" s="592"/>
      <c r="U773" s="12"/>
      <c r="V773" s="12"/>
      <c r="W773" s="12"/>
      <c r="X773" s="12"/>
      <c r="Y773" s="12"/>
      <c r="Z773" s="12"/>
      <c r="AA773" s="12"/>
      <c r="AB773" s="12"/>
      <c r="AC773" s="12"/>
    </row>
    <row r="774" spans="1:29" ht="12.75" customHeight="1">
      <c r="A774" s="12"/>
      <c r="B774" s="12"/>
      <c r="C774" s="12"/>
      <c r="D774" s="12"/>
      <c r="E774" s="12"/>
      <c r="F774" s="12"/>
      <c r="G774" s="12"/>
      <c r="H774" s="592"/>
      <c r="I774" s="592"/>
      <c r="J774" s="592"/>
      <c r="K774" s="592"/>
      <c r="L774" s="592"/>
      <c r="M774" s="592"/>
      <c r="N774" s="592"/>
      <c r="O774" s="592"/>
      <c r="P774" s="592"/>
      <c r="Q774" s="592"/>
      <c r="R774" s="592"/>
      <c r="S774" s="592"/>
      <c r="T774" s="592"/>
      <c r="U774" s="12"/>
      <c r="V774" s="12"/>
      <c r="W774" s="12"/>
      <c r="X774" s="12"/>
      <c r="Y774" s="12"/>
      <c r="Z774" s="12"/>
      <c r="AA774" s="12"/>
      <c r="AB774" s="12"/>
      <c r="AC774" s="12"/>
    </row>
    <row r="775" spans="1:29" ht="12.75" customHeight="1">
      <c r="A775" s="12"/>
      <c r="B775" s="12"/>
      <c r="C775" s="12"/>
      <c r="D775" s="12"/>
      <c r="E775" s="12"/>
      <c r="F775" s="12"/>
      <c r="G775" s="12"/>
      <c r="H775" s="592"/>
      <c r="I775" s="592"/>
      <c r="J775" s="592"/>
      <c r="K775" s="592"/>
      <c r="L775" s="592"/>
      <c r="M775" s="592"/>
      <c r="N775" s="592"/>
      <c r="O775" s="592"/>
      <c r="P775" s="592"/>
      <c r="Q775" s="592"/>
      <c r="R775" s="592"/>
      <c r="S775" s="592"/>
      <c r="T775" s="592"/>
      <c r="U775" s="12"/>
      <c r="V775" s="12"/>
      <c r="W775" s="12"/>
      <c r="X775" s="12"/>
      <c r="Y775" s="12"/>
      <c r="Z775" s="12"/>
      <c r="AA775" s="12"/>
      <c r="AB775" s="12"/>
      <c r="AC775" s="12"/>
    </row>
    <row r="776" spans="1:29" ht="12.75" customHeight="1">
      <c r="A776" s="12"/>
      <c r="B776" s="12"/>
      <c r="C776" s="12"/>
      <c r="D776" s="12"/>
      <c r="E776" s="12"/>
      <c r="F776" s="12"/>
      <c r="G776" s="12"/>
      <c r="H776" s="592"/>
      <c r="I776" s="592"/>
      <c r="J776" s="592"/>
      <c r="K776" s="592"/>
      <c r="L776" s="592"/>
      <c r="M776" s="592"/>
      <c r="N776" s="592"/>
      <c r="O776" s="592"/>
      <c r="P776" s="592"/>
      <c r="Q776" s="592"/>
      <c r="R776" s="592"/>
      <c r="S776" s="592"/>
      <c r="T776" s="592"/>
      <c r="U776" s="12"/>
      <c r="V776" s="12"/>
      <c r="W776" s="12"/>
      <c r="X776" s="12"/>
      <c r="Y776" s="12"/>
      <c r="Z776" s="12"/>
      <c r="AA776" s="12"/>
      <c r="AB776" s="12"/>
      <c r="AC776" s="12"/>
    </row>
    <row r="777" spans="1:29" ht="12.75" customHeight="1">
      <c r="A777" s="12"/>
      <c r="B777" s="12"/>
      <c r="C777" s="12"/>
      <c r="D777" s="12"/>
      <c r="E777" s="12"/>
      <c r="F777" s="12"/>
      <c r="G777" s="12"/>
      <c r="H777" s="592"/>
      <c r="I777" s="592"/>
      <c r="J777" s="592"/>
      <c r="K777" s="592"/>
      <c r="L777" s="592"/>
      <c r="M777" s="592"/>
      <c r="N777" s="592"/>
      <c r="O777" s="592"/>
      <c r="P777" s="592"/>
      <c r="Q777" s="592"/>
      <c r="R777" s="592"/>
      <c r="S777" s="592"/>
      <c r="T777" s="592"/>
      <c r="U777" s="12"/>
      <c r="V777" s="12"/>
      <c r="W777" s="12"/>
      <c r="X777" s="12"/>
      <c r="Y777" s="12"/>
      <c r="Z777" s="12"/>
      <c r="AA777" s="12"/>
      <c r="AB777" s="12"/>
      <c r="AC777" s="12"/>
    </row>
    <row r="778" spans="1:29" ht="12.75" customHeight="1">
      <c r="A778" s="12"/>
      <c r="B778" s="12"/>
      <c r="C778" s="12"/>
      <c r="D778" s="12"/>
      <c r="E778" s="12"/>
      <c r="F778" s="12"/>
      <c r="G778" s="12"/>
      <c r="H778" s="592"/>
      <c r="I778" s="592"/>
      <c r="J778" s="592"/>
      <c r="K778" s="592"/>
      <c r="L778" s="592"/>
      <c r="M778" s="592"/>
      <c r="N778" s="592"/>
      <c r="O778" s="592"/>
      <c r="P778" s="592"/>
      <c r="Q778" s="592"/>
      <c r="R778" s="592"/>
      <c r="S778" s="592"/>
      <c r="T778" s="592"/>
      <c r="U778" s="12"/>
      <c r="V778" s="12"/>
      <c r="W778" s="12"/>
      <c r="X778" s="12"/>
      <c r="Y778" s="12"/>
      <c r="Z778" s="12"/>
      <c r="AA778" s="12"/>
      <c r="AB778" s="12"/>
      <c r="AC778" s="12"/>
    </row>
    <row r="779" spans="1:29" ht="12.75" customHeight="1">
      <c r="A779" s="12"/>
      <c r="B779" s="12"/>
      <c r="C779" s="12"/>
      <c r="D779" s="12"/>
      <c r="E779" s="12"/>
      <c r="F779" s="12"/>
      <c r="G779" s="12"/>
      <c r="H779" s="592"/>
      <c r="I779" s="592"/>
      <c r="J779" s="592"/>
      <c r="K779" s="592"/>
      <c r="L779" s="592"/>
      <c r="M779" s="592"/>
      <c r="N779" s="592"/>
      <c r="O779" s="592"/>
      <c r="P779" s="592"/>
      <c r="Q779" s="592"/>
      <c r="R779" s="592"/>
      <c r="S779" s="592"/>
      <c r="T779" s="592"/>
      <c r="U779" s="12"/>
      <c r="V779" s="12"/>
      <c r="W779" s="12"/>
      <c r="X779" s="12"/>
      <c r="Y779" s="12"/>
      <c r="Z779" s="12"/>
      <c r="AA779" s="12"/>
      <c r="AB779" s="12"/>
      <c r="AC779" s="12"/>
    </row>
    <row r="780" spans="1:29" ht="12.75" customHeight="1">
      <c r="A780" s="12"/>
      <c r="B780" s="12"/>
      <c r="C780" s="12"/>
      <c r="D780" s="12"/>
      <c r="E780" s="12"/>
      <c r="F780" s="12"/>
      <c r="G780" s="12"/>
      <c r="H780" s="592"/>
      <c r="I780" s="592"/>
      <c r="J780" s="592"/>
      <c r="K780" s="592"/>
      <c r="L780" s="592"/>
      <c r="M780" s="592"/>
      <c r="N780" s="592"/>
      <c r="O780" s="592"/>
      <c r="P780" s="592"/>
      <c r="Q780" s="592"/>
      <c r="R780" s="592"/>
      <c r="S780" s="592"/>
      <c r="T780" s="592"/>
      <c r="U780" s="12"/>
      <c r="V780" s="12"/>
      <c r="W780" s="12"/>
      <c r="X780" s="12"/>
      <c r="Y780" s="12"/>
      <c r="Z780" s="12"/>
      <c r="AA780" s="12"/>
      <c r="AB780" s="12"/>
      <c r="AC780" s="12"/>
    </row>
    <row r="781" spans="1:29" ht="12.75" customHeight="1">
      <c r="A781" s="12"/>
      <c r="B781" s="12"/>
      <c r="C781" s="12"/>
      <c r="D781" s="12"/>
      <c r="E781" s="12"/>
      <c r="F781" s="12"/>
      <c r="G781" s="12"/>
      <c r="H781" s="592"/>
      <c r="I781" s="592"/>
      <c r="J781" s="592"/>
      <c r="K781" s="592"/>
      <c r="L781" s="592"/>
      <c r="M781" s="592"/>
      <c r="N781" s="592"/>
      <c r="O781" s="592"/>
      <c r="P781" s="592"/>
      <c r="Q781" s="592"/>
      <c r="R781" s="592"/>
      <c r="S781" s="592"/>
      <c r="T781" s="592"/>
      <c r="U781" s="12"/>
      <c r="V781" s="12"/>
      <c r="W781" s="12"/>
      <c r="X781" s="12"/>
      <c r="Y781" s="12"/>
      <c r="Z781" s="12"/>
      <c r="AA781" s="12"/>
      <c r="AB781" s="12"/>
      <c r="AC781" s="12"/>
    </row>
    <row r="782" spans="1:29" ht="12.75" customHeight="1">
      <c r="A782" s="12"/>
      <c r="B782" s="12"/>
      <c r="C782" s="12"/>
      <c r="D782" s="12"/>
      <c r="E782" s="12"/>
      <c r="F782" s="12"/>
      <c r="G782" s="12"/>
      <c r="H782" s="592"/>
      <c r="I782" s="592"/>
      <c r="J782" s="592"/>
      <c r="K782" s="592"/>
      <c r="L782" s="592"/>
      <c r="M782" s="592"/>
      <c r="N782" s="592"/>
      <c r="O782" s="592"/>
      <c r="P782" s="592"/>
      <c r="Q782" s="592"/>
      <c r="R782" s="592"/>
      <c r="S782" s="592"/>
      <c r="T782" s="592"/>
      <c r="U782" s="12"/>
      <c r="V782" s="12"/>
      <c r="W782" s="12"/>
      <c r="X782" s="12"/>
      <c r="Y782" s="12"/>
      <c r="Z782" s="12"/>
      <c r="AA782" s="12"/>
      <c r="AB782" s="12"/>
      <c r="AC782" s="12"/>
    </row>
    <row r="783" spans="1:29" ht="12.75" customHeight="1">
      <c r="A783" s="12"/>
      <c r="B783" s="12"/>
      <c r="C783" s="12"/>
      <c r="D783" s="12"/>
      <c r="E783" s="12"/>
      <c r="F783" s="12"/>
      <c r="G783" s="12"/>
      <c r="H783" s="592"/>
      <c r="I783" s="592"/>
      <c r="J783" s="592"/>
      <c r="K783" s="592"/>
      <c r="L783" s="592"/>
      <c r="M783" s="592"/>
      <c r="N783" s="592"/>
      <c r="O783" s="592"/>
      <c r="P783" s="592"/>
      <c r="Q783" s="592"/>
      <c r="R783" s="592"/>
      <c r="S783" s="592"/>
      <c r="T783" s="592"/>
      <c r="U783" s="12"/>
      <c r="V783" s="12"/>
      <c r="W783" s="12"/>
      <c r="X783" s="12"/>
      <c r="Y783" s="12"/>
      <c r="Z783" s="12"/>
      <c r="AA783" s="12"/>
      <c r="AB783" s="12"/>
      <c r="AC783" s="12"/>
    </row>
    <row r="784" spans="1:29" ht="12.75" customHeight="1">
      <c r="A784" s="12"/>
      <c r="B784" s="12"/>
      <c r="C784" s="12"/>
      <c r="D784" s="12"/>
      <c r="E784" s="12"/>
      <c r="F784" s="12"/>
      <c r="G784" s="12"/>
      <c r="H784" s="592"/>
      <c r="I784" s="592"/>
      <c r="J784" s="592"/>
      <c r="K784" s="592"/>
      <c r="L784" s="592"/>
      <c r="M784" s="592"/>
      <c r="N784" s="592"/>
      <c r="O784" s="592"/>
      <c r="P784" s="592"/>
      <c r="Q784" s="592"/>
      <c r="R784" s="592"/>
      <c r="S784" s="592"/>
      <c r="T784" s="592"/>
      <c r="U784" s="12"/>
      <c r="V784" s="12"/>
      <c r="W784" s="12"/>
      <c r="X784" s="12"/>
      <c r="Y784" s="12"/>
      <c r="Z784" s="12"/>
      <c r="AA784" s="12"/>
      <c r="AB784" s="12"/>
      <c r="AC784" s="12"/>
    </row>
    <row r="785" spans="1:29" ht="12.75" customHeight="1">
      <c r="A785" s="12"/>
      <c r="B785" s="12"/>
      <c r="C785" s="12"/>
      <c r="D785" s="12"/>
      <c r="E785" s="12"/>
      <c r="F785" s="12"/>
      <c r="G785" s="12"/>
      <c r="H785" s="592"/>
      <c r="I785" s="592"/>
      <c r="J785" s="592"/>
      <c r="K785" s="592"/>
      <c r="L785" s="592"/>
      <c r="M785" s="592"/>
      <c r="N785" s="592"/>
      <c r="O785" s="592"/>
      <c r="P785" s="592"/>
      <c r="Q785" s="592"/>
      <c r="R785" s="592"/>
      <c r="S785" s="592"/>
      <c r="T785" s="592"/>
      <c r="U785" s="12"/>
      <c r="V785" s="12"/>
      <c r="W785" s="12"/>
      <c r="X785" s="12"/>
      <c r="Y785" s="12"/>
      <c r="Z785" s="12"/>
      <c r="AA785" s="12"/>
      <c r="AB785" s="12"/>
      <c r="AC785" s="12"/>
    </row>
    <row r="786" spans="1:29" ht="12.75" customHeight="1">
      <c r="A786" s="12"/>
      <c r="B786" s="12"/>
      <c r="C786" s="12"/>
      <c r="D786" s="12"/>
      <c r="E786" s="12"/>
      <c r="F786" s="12"/>
      <c r="G786" s="12"/>
      <c r="H786" s="592"/>
      <c r="I786" s="592"/>
      <c r="J786" s="592"/>
      <c r="K786" s="592"/>
      <c r="L786" s="592"/>
      <c r="M786" s="592"/>
      <c r="N786" s="592"/>
      <c r="O786" s="592"/>
      <c r="P786" s="592"/>
      <c r="Q786" s="592"/>
      <c r="R786" s="592"/>
      <c r="S786" s="592"/>
      <c r="T786" s="592"/>
      <c r="U786" s="12"/>
      <c r="V786" s="12"/>
      <c r="W786" s="12"/>
      <c r="X786" s="12"/>
      <c r="Y786" s="12"/>
      <c r="Z786" s="12"/>
      <c r="AA786" s="12"/>
      <c r="AB786" s="12"/>
      <c r="AC786" s="12"/>
    </row>
    <row r="787" spans="1:29" ht="12.75" customHeight="1">
      <c r="A787" s="12"/>
      <c r="B787" s="12"/>
      <c r="C787" s="12"/>
      <c r="D787" s="12"/>
      <c r="E787" s="12"/>
      <c r="F787" s="12"/>
      <c r="G787" s="12"/>
      <c r="H787" s="592"/>
      <c r="I787" s="592"/>
      <c r="J787" s="592"/>
      <c r="K787" s="592"/>
      <c r="L787" s="592"/>
      <c r="M787" s="592"/>
      <c r="N787" s="592"/>
      <c r="O787" s="592"/>
      <c r="P787" s="592"/>
      <c r="Q787" s="592"/>
      <c r="R787" s="592"/>
      <c r="S787" s="592"/>
      <c r="T787" s="592"/>
      <c r="U787" s="12"/>
      <c r="V787" s="12"/>
      <c r="W787" s="12"/>
      <c r="X787" s="12"/>
      <c r="Y787" s="12"/>
      <c r="Z787" s="12"/>
      <c r="AA787" s="12"/>
      <c r="AB787" s="12"/>
      <c r="AC787" s="12"/>
    </row>
    <row r="788" spans="1:29" ht="12.75" customHeight="1">
      <c r="A788" s="12"/>
      <c r="B788" s="12"/>
      <c r="C788" s="12"/>
      <c r="D788" s="12"/>
      <c r="E788" s="12"/>
      <c r="F788" s="12"/>
      <c r="G788" s="12"/>
      <c r="H788" s="592"/>
      <c r="I788" s="592"/>
      <c r="J788" s="592"/>
      <c r="K788" s="592"/>
      <c r="L788" s="592"/>
      <c r="M788" s="592"/>
      <c r="N788" s="592"/>
      <c r="O788" s="592"/>
      <c r="P788" s="592"/>
      <c r="Q788" s="592"/>
      <c r="R788" s="592"/>
      <c r="S788" s="592"/>
      <c r="T788" s="592"/>
      <c r="U788" s="12"/>
      <c r="V788" s="12"/>
      <c r="W788" s="12"/>
      <c r="X788" s="12"/>
      <c r="Y788" s="12"/>
      <c r="Z788" s="12"/>
      <c r="AA788" s="12"/>
      <c r="AB788" s="12"/>
      <c r="AC788" s="12"/>
    </row>
    <row r="789" spans="1:29" ht="12.75" customHeight="1">
      <c r="A789" s="12"/>
      <c r="B789" s="12"/>
      <c r="C789" s="12"/>
      <c r="D789" s="12"/>
      <c r="E789" s="12"/>
      <c r="F789" s="12"/>
      <c r="G789" s="12"/>
      <c r="H789" s="592"/>
      <c r="I789" s="592"/>
      <c r="J789" s="592"/>
      <c r="K789" s="592"/>
      <c r="L789" s="592"/>
      <c r="M789" s="592"/>
      <c r="N789" s="592"/>
      <c r="O789" s="592"/>
      <c r="P789" s="592"/>
      <c r="Q789" s="592"/>
      <c r="R789" s="592"/>
      <c r="S789" s="592"/>
      <c r="T789" s="592"/>
      <c r="U789" s="12"/>
      <c r="V789" s="12"/>
      <c r="W789" s="12"/>
      <c r="X789" s="12"/>
      <c r="Y789" s="12"/>
      <c r="Z789" s="12"/>
      <c r="AA789" s="12"/>
      <c r="AB789" s="12"/>
      <c r="AC789" s="12"/>
    </row>
    <row r="790" spans="1:29" ht="12.75" customHeight="1">
      <c r="A790" s="12"/>
      <c r="B790" s="12"/>
      <c r="C790" s="12"/>
      <c r="D790" s="12"/>
      <c r="E790" s="12"/>
      <c r="F790" s="12"/>
      <c r="G790" s="12"/>
      <c r="H790" s="592"/>
      <c r="I790" s="592"/>
      <c r="J790" s="592"/>
      <c r="K790" s="592"/>
      <c r="L790" s="592"/>
      <c r="M790" s="592"/>
      <c r="N790" s="592"/>
      <c r="O790" s="592"/>
      <c r="P790" s="592"/>
      <c r="Q790" s="592"/>
      <c r="R790" s="592"/>
      <c r="S790" s="592"/>
      <c r="T790" s="592"/>
      <c r="U790" s="12"/>
      <c r="V790" s="12"/>
      <c r="W790" s="12"/>
      <c r="X790" s="12"/>
      <c r="Y790" s="12"/>
      <c r="Z790" s="12"/>
      <c r="AA790" s="12"/>
      <c r="AB790" s="12"/>
      <c r="AC790" s="12"/>
    </row>
    <row r="791" spans="1:29" ht="12.75" customHeight="1">
      <c r="A791" s="12"/>
      <c r="B791" s="12"/>
      <c r="C791" s="12"/>
      <c r="D791" s="12"/>
      <c r="E791" s="12"/>
      <c r="F791" s="12"/>
      <c r="G791" s="12"/>
      <c r="H791" s="592"/>
      <c r="I791" s="592"/>
      <c r="J791" s="592"/>
      <c r="K791" s="592"/>
      <c r="L791" s="592"/>
      <c r="M791" s="592"/>
      <c r="N791" s="592"/>
      <c r="O791" s="592"/>
      <c r="P791" s="592"/>
      <c r="Q791" s="592"/>
      <c r="R791" s="592"/>
      <c r="S791" s="592"/>
      <c r="T791" s="592"/>
      <c r="U791" s="12"/>
      <c r="V791" s="12"/>
      <c r="W791" s="12"/>
      <c r="X791" s="12"/>
      <c r="Y791" s="12"/>
      <c r="Z791" s="12"/>
      <c r="AA791" s="12"/>
      <c r="AB791" s="12"/>
      <c r="AC791" s="12"/>
    </row>
    <row r="792" spans="1:29" ht="12.75" customHeight="1">
      <c r="A792" s="12"/>
      <c r="B792" s="12"/>
      <c r="C792" s="12"/>
      <c r="D792" s="12"/>
      <c r="E792" s="12"/>
      <c r="F792" s="12"/>
      <c r="G792" s="12"/>
      <c r="H792" s="592"/>
      <c r="I792" s="592"/>
      <c r="J792" s="592"/>
      <c r="K792" s="592"/>
      <c r="L792" s="592"/>
      <c r="M792" s="592"/>
      <c r="N792" s="592"/>
      <c r="O792" s="592"/>
      <c r="P792" s="592"/>
      <c r="Q792" s="592"/>
      <c r="R792" s="592"/>
      <c r="S792" s="592"/>
      <c r="T792" s="592"/>
      <c r="U792" s="12"/>
      <c r="V792" s="12"/>
      <c r="W792" s="12"/>
      <c r="X792" s="12"/>
      <c r="Y792" s="12"/>
      <c r="Z792" s="12"/>
      <c r="AA792" s="12"/>
      <c r="AB792" s="12"/>
      <c r="AC792" s="12"/>
    </row>
    <row r="793" spans="1:29" ht="12.75" customHeight="1">
      <c r="A793" s="12"/>
      <c r="B793" s="12"/>
      <c r="C793" s="12"/>
      <c r="D793" s="12"/>
      <c r="E793" s="12"/>
      <c r="F793" s="12"/>
      <c r="G793" s="12"/>
      <c r="H793" s="592"/>
      <c r="I793" s="592"/>
      <c r="J793" s="592"/>
      <c r="K793" s="592"/>
      <c r="L793" s="592"/>
      <c r="M793" s="592"/>
      <c r="N793" s="592"/>
      <c r="O793" s="592"/>
      <c r="P793" s="592"/>
      <c r="Q793" s="592"/>
      <c r="R793" s="592"/>
      <c r="S793" s="592"/>
      <c r="T793" s="592"/>
      <c r="U793" s="12"/>
      <c r="V793" s="12"/>
      <c r="W793" s="12"/>
      <c r="X793" s="12"/>
      <c r="Y793" s="12"/>
      <c r="Z793" s="12"/>
      <c r="AA793" s="12"/>
      <c r="AB793" s="12"/>
      <c r="AC793" s="12"/>
    </row>
    <row r="794" spans="1:29" ht="12.75" customHeight="1">
      <c r="A794" s="12"/>
      <c r="B794" s="12"/>
      <c r="C794" s="12"/>
      <c r="D794" s="12"/>
      <c r="E794" s="12"/>
      <c r="F794" s="12"/>
      <c r="G794" s="12"/>
      <c r="H794" s="592"/>
      <c r="I794" s="592"/>
      <c r="J794" s="592"/>
      <c r="K794" s="592"/>
      <c r="L794" s="592"/>
      <c r="M794" s="592"/>
      <c r="N794" s="592"/>
      <c r="O794" s="592"/>
      <c r="P794" s="592"/>
      <c r="Q794" s="592"/>
      <c r="R794" s="592"/>
      <c r="S794" s="592"/>
      <c r="T794" s="592"/>
      <c r="U794" s="12"/>
      <c r="V794" s="12"/>
      <c r="W794" s="12"/>
      <c r="X794" s="12"/>
      <c r="Y794" s="12"/>
      <c r="Z794" s="12"/>
      <c r="AA794" s="12"/>
      <c r="AB794" s="12"/>
      <c r="AC794" s="12"/>
    </row>
    <row r="795" spans="1:29" ht="12.75" customHeight="1">
      <c r="A795" s="12"/>
      <c r="B795" s="12"/>
      <c r="C795" s="12"/>
      <c r="D795" s="12"/>
      <c r="E795" s="12"/>
      <c r="F795" s="12"/>
      <c r="G795" s="12"/>
      <c r="H795" s="592"/>
      <c r="I795" s="592"/>
      <c r="J795" s="592"/>
      <c r="K795" s="592"/>
      <c r="L795" s="592"/>
      <c r="M795" s="592"/>
      <c r="N795" s="592"/>
      <c r="O795" s="592"/>
      <c r="P795" s="592"/>
      <c r="Q795" s="592"/>
      <c r="R795" s="592"/>
      <c r="S795" s="592"/>
      <c r="T795" s="592"/>
      <c r="U795" s="12"/>
      <c r="V795" s="12"/>
      <c r="W795" s="12"/>
      <c r="X795" s="12"/>
      <c r="Y795" s="12"/>
      <c r="Z795" s="12"/>
      <c r="AA795" s="12"/>
      <c r="AB795" s="12"/>
      <c r="AC795" s="12"/>
    </row>
    <row r="796" spans="1:29" ht="12.75" customHeight="1">
      <c r="A796" s="12"/>
      <c r="B796" s="12"/>
      <c r="C796" s="12"/>
      <c r="D796" s="12"/>
      <c r="E796" s="12"/>
      <c r="F796" s="12"/>
      <c r="G796" s="12"/>
      <c r="H796" s="592"/>
      <c r="I796" s="592"/>
      <c r="J796" s="592"/>
      <c r="K796" s="592"/>
      <c r="L796" s="592"/>
      <c r="M796" s="592"/>
      <c r="N796" s="592"/>
      <c r="O796" s="592"/>
      <c r="P796" s="592"/>
      <c r="Q796" s="592"/>
      <c r="R796" s="592"/>
      <c r="S796" s="592"/>
      <c r="T796" s="592"/>
      <c r="U796" s="12"/>
      <c r="V796" s="12"/>
      <c r="W796" s="12"/>
      <c r="X796" s="12"/>
      <c r="Y796" s="12"/>
      <c r="Z796" s="12"/>
      <c r="AA796" s="12"/>
      <c r="AB796" s="12"/>
      <c r="AC796" s="12"/>
    </row>
    <row r="797" spans="1:29" ht="12.75" customHeight="1">
      <c r="A797" s="12"/>
      <c r="B797" s="12"/>
      <c r="C797" s="12"/>
      <c r="D797" s="12"/>
      <c r="E797" s="12"/>
      <c r="F797" s="12"/>
      <c r="G797" s="12"/>
      <c r="H797" s="592"/>
      <c r="I797" s="592"/>
      <c r="J797" s="592"/>
      <c r="K797" s="592"/>
      <c r="L797" s="592"/>
      <c r="M797" s="592"/>
      <c r="N797" s="592"/>
      <c r="O797" s="592"/>
      <c r="P797" s="592"/>
      <c r="Q797" s="592"/>
      <c r="R797" s="592"/>
      <c r="S797" s="592"/>
      <c r="T797" s="592"/>
      <c r="U797" s="12"/>
      <c r="V797" s="12"/>
      <c r="W797" s="12"/>
      <c r="X797" s="12"/>
      <c r="Y797" s="12"/>
      <c r="Z797" s="12"/>
      <c r="AA797" s="12"/>
      <c r="AB797" s="12"/>
      <c r="AC797" s="12"/>
    </row>
    <row r="798" spans="1:29" ht="12.75" customHeight="1">
      <c r="A798" s="12"/>
      <c r="B798" s="12"/>
      <c r="C798" s="12"/>
      <c r="D798" s="12"/>
      <c r="E798" s="12"/>
      <c r="F798" s="12"/>
      <c r="G798" s="12"/>
      <c r="H798" s="592"/>
      <c r="I798" s="592"/>
      <c r="J798" s="592"/>
      <c r="K798" s="592"/>
      <c r="L798" s="592"/>
      <c r="M798" s="592"/>
      <c r="N798" s="592"/>
      <c r="O798" s="592"/>
      <c r="P798" s="592"/>
      <c r="Q798" s="592"/>
      <c r="R798" s="592"/>
      <c r="S798" s="592"/>
      <c r="T798" s="592"/>
      <c r="U798" s="12"/>
      <c r="V798" s="12"/>
      <c r="W798" s="12"/>
      <c r="X798" s="12"/>
      <c r="Y798" s="12"/>
      <c r="Z798" s="12"/>
      <c r="AA798" s="12"/>
      <c r="AB798" s="12"/>
      <c r="AC798" s="12"/>
    </row>
    <row r="799" spans="1:29" ht="12.75" customHeight="1">
      <c r="A799" s="12"/>
      <c r="B799" s="12"/>
      <c r="C799" s="12"/>
      <c r="D799" s="12"/>
      <c r="E799" s="12"/>
      <c r="F799" s="12"/>
      <c r="G799" s="12"/>
      <c r="H799" s="592"/>
      <c r="I799" s="592"/>
      <c r="J799" s="592"/>
      <c r="K799" s="592"/>
      <c r="L799" s="592"/>
      <c r="M799" s="592"/>
      <c r="N799" s="592"/>
      <c r="O799" s="592"/>
      <c r="P799" s="592"/>
      <c r="Q799" s="592"/>
      <c r="R799" s="592"/>
      <c r="S799" s="592"/>
      <c r="T799" s="592"/>
      <c r="U799" s="12"/>
      <c r="V799" s="12"/>
      <c r="W799" s="12"/>
      <c r="X799" s="12"/>
      <c r="Y799" s="12"/>
      <c r="Z799" s="12"/>
      <c r="AA799" s="12"/>
      <c r="AB799" s="12"/>
      <c r="AC799" s="12"/>
    </row>
    <row r="800" spans="1:29" ht="12.75" customHeight="1">
      <c r="A800" s="12"/>
      <c r="B800" s="12"/>
      <c r="C800" s="12"/>
      <c r="D800" s="12"/>
      <c r="E800" s="12"/>
      <c r="F800" s="12"/>
      <c r="G800" s="12"/>
      <c r="H800" s="592"/>
      <c r="I800" s="592"/>
      <c r="J800" s="592"/>
      <c r="K800" s="592"/>
      <c r="L800" s="592"/>
      <c r="M800" s="592"/>
      <c r="N800" s="592"/>
      <c r="O800" s="592"/>
      <c r="P800" s="592"/>
      <c r="Q800" s="592"/>
      <c r="R800" s="592"/>
      <c r="S800" s="592"/>
      <c r="T800" s="592"/>
      <c r="U800" s="12"/>
      <c r="V800" s="12"/>
      <c r="W800" s="12"/>
      <c r="X800" s="12"/>
      <c r="Y800" s="12"/>
      <c r="Z800" s="12"/>
      <c r="AA800" s="12"/>
      <c r="AB800" s="12"/>
      <c r="AC800" s="12"/>
    </row>
    <row r="801" spans="1:29" ht="12.75" customHeight="1">
      <c r="A801" s="12"/>
      <c r="B801" s="12"/>
      <c r="C801" s="12"/>
      <c r="D801" s="12"/>
      <c r="E801" s="12"/>
      <c r="F801" s="12"/>
      <c r="G801" s="12"/>
      <c r="H801" s="592"/>
      <c r="I801" s="592"/>
      <c r="J801" s="592"/>
      <c r="K801" s="592"/>
      <c r="L801" s="592"/>
      <c r="M801" s="592"/>
      <c r="N801" s="592"/>
      <c r="O801" s="592"/>
      <c r="P801" s="592"/>
      <c r="Q801" s="592"/>
      <c r="R801" s="592"/>
      <c r="S801" s="592"/>
      <c r="T801" s="592"/>
      <c r="U801" s="12"/>
      <c r="V801" s="12"/>
      <c r="W801" s="12"/>
      <c r="X801" s="12"/>
      <c r="Y801" s="12"/>
      <c r="Z801" s="12"/>
      <c r="AA801" s="12"/>
      <c r="AB801" s="12"/>
      <c r="AC801" s="12"/>
    </row>
    <row r="802" spans="1:29" ht="12.75" customHeight="1">
      <c r="A802" s="12"/>
      <c r="B802" s="12"/>
      <c r="C802" s="12"/>
      <c r="D802" s="12"/>
      <c r="E802" s="12"/>
      <c r="F802" s="12"/>
      <c r="G802" s="12"/>
      <c r="H802" s="592"/>
      <c r="I802" s="592"/>
      <c r="J802" s="592"/>
      <c r="K802" s="592"/>
      <c r="L802" s="592"/>
      <c r="M802" s="592"/>
      <c r="N802" s="592"/>
      <c r="O802" s="592"/>
      <c r="P802" s="592"/>
      <c r="Q802" s="592"/>
      <c r="R802" s="592"/>
      <c r="S802" s="592"/>
      <c r="T802" s="592"/>
      <c r="U802" s="12"/>
      <c r="V802" s="12"/>
      <c r="W802" s="12"/>
      <c r="X802" s="12"/>
      <c r="Y802" s="12"/>
      <c r="Z802" s="12"/>
      <c r="AA802" s="12"/>
      <c r="AB802" s="12"/>
      <c r="AC802" s="12"/>
    </row>
    <row r="803" spans="1:29" ht="12.75" customHeight="1">
      <c r="A803" s="12"/>
      <c r="B803" s="12"/>
      <c r="C803" s="12"/>
      <c r="D803" s="12"/>
      <c r="E803" s="12"/>
      <c r="F803" s="12"/>
      <c r="G803" s="12"/>
      <c r="H803" s="592"/>
      <c r="I803" s="592"/>
      <c r="J803" s="592"/>
      <c r="K803" s="592"/>
      <c r="L803" s="592"/>
      <c r="M803" s="592"/>
      <c r="N803" s="592"/>
      <c r="O803" s="592"/>
      <c r="P803" s="592"/>
      <c r="Q803" s="592"/>
      <c r="R803" s="592"/>
      <c r="S803" s="592"/>
      <c r="T803" s="592"/>
      <c r="U803" s="12"/>
      <c r="V803" s="12"/>
      <c r="W803" s="12"/>
      <c r="X803" s="12"/>
      <c r="Y803" s="12"/>
      <c r="Z803" s="12"/>
      <c r="AA803" s="12"/>
      <c r="AB803" s="12"/>
      <c r="AC803" s="12"/>
    </row>
    <row r="804" spans="1:29" ht="12.75" customHeight="1">
      <c r="A804" s="12"/>
      <c r="B804" s="12"/>
      <c r="C804" s="12"/>
      <c r="D804" s="12"/>
      <c r="E804" s="12"/>
      <c r="F804" s="12"/>
      <c r="G804" s="12"/>
      <c r="H804" s="592"/>
      <c r="I804" s="592"/>
      <c r="J804" s="592"/>
      <c r="K804" s="592"/>
      <c r="L804" s="592"/>
      <c r="M804" s="592"/>
      <c r="N804" s="592"/>
      <c r="O804" s="592"/>
      <c r="P804" s="592"/>
      <c r="Q804" s="592"/>
      <c r="R804" s="592"/>
      <c r="S804" s="592"/>
      <c r="T804" s="592"/>
      <c r="U804" s="12"/>
      <c r="V804" s="12"/>
      <c r="W804" s="12"/>
      <c r="X804" s="12"/>
      <c r="Y804" s="12"/>
      <c r="Z804" s="12"/>
      <c r="AA804" s="12"/>
      <c r="AB804" s="12"/>
      <c r="AC804" s="12"/>
    </row>
    <row r="805" spans="1:29" ht="12.75" customHeight="1">
      <c r="A805" s="12"/>
      <c r="B805" s="12"/>
      <c r="C805" s="12"/>
      <c r="D805" s="12"/>
      <c r="E805" s="12"/>
      <c r="F805" s="12"/>
      <c r="G805" s="12"/>
      <c r="H805" s="592"/>
      <c r="I805" s="592"/>
      <c r="J805" s="592"/>
      <c r="K805" s="592"/>
      <c r="L805" s="592"/>
      <c r="M805" s="592"/>
      <c r="N805" s="592"/>
      <c r="O805" s="592"/>
      <c r="P805" s="592"/>
      <c r="Q805" s="592"/>
      <c r="R805" s="592"/>
      <c r="S805" s="592"/>
      <c r="T805" s="592"/>
      <c r="U805" s="12"/>
      <c r="V805" s="12"/>
      <c r="W805" s="12"/>
      <c r="X805" s="12"/>
      <c r="Y805" s="12"/>
      <c r="Z805" s="12"/>
      <c r="AA805" s="12"/>
      <c r="AB805" s="12"/>
      <c r="AC805" s="12"/>
    </row>
    <row r="806" spans="1:29" ht="12.75" customHeight="1">
      <c r="A806" s="12"/>
      <c r="B806" s="12"/>
      <c r="C806" s="12"/>
      <c r="D806" s="12"/>
      <c r="E806" s="12"/>
      <c r="F806" s="12"/>
      <c r="G806" s="12"/>
      <c r="H806" s="592"/>
      <c r="I806" s="592"/>
      <c r="J806" s="592"/>
      <c r="K806" s="592"/>
      <c r="L806" s="592"/>
      <c r="M806" s="592"/>
      <c r="N806" s="592"/>
      <c r="O806" s="592"/>
      <c r="P806" s="592"/>
      <c r="Q806" s="592"/>
      <c r="R806" s="592"/>
      <c r="S806" s="592"/>
      <c r="T806" s="592"/>
      <c r="U806" s="12"/>
      <c r="V806" s="12"/>
      <c r="W806" s="12"/>
      <c r="X806" s="12"/>
      <c r="Y806" s="12"/>
      <c r="Z806" s="12"/>
      <c r="AA806" s="12"/>
      <c r="AB806" s="12"/>
      <c r="AC806" s="12"/>
    </row>
    <row r="807" spans="1:29" ht="12.75" customHeight="1">
      <c r="A807" s="12"/>
      <c r="B807" s="12"/>
      <c r="C807" s="12"/>
      <c r="D807" s="12"/>
      <c r="E807" s="12"/>
      <c r="F807" s="12"/>
      <c r="G807" s="12"/>
      <c r="H807" s="592"/>
      <c r="I807" s="592"/>
      <c r="J807" s="592"/>
      <c r="K807" s="592"/>
      <c r="L807" s="592"/>
      <c r="M807" s="592"/>
      <c r="N807" s="592"/>
      <c r="O807" s="592"/>
      <c r="P807" s="592"/>
      <c r="Q807" s="592"/>
      <c r="R807" s="592"/>
      <c r="S807" s="592"/>
      <c r="T807" s="592"/>
      <c r="U807" s="12"/>
      <c r="V807" s="12"/>
      <c r="W807" s="12"/>
      <c r="X807" s="12"/>
      <c r="Y807" s="12"/>
      <c r="Z807" s="12"/>
      <c r="AA807" s="12"/>
      <c r="AB807" s="12"/>
      <c r="AC807" s="12"/>
    </row>
    <row r="808" spans="1:29" ht="12.75" customHeight="1">
      <c r="A808" s="12"/>
      <c r="B808" s="12"/>
      <c r="C808" s="12"/>
      <c r="D808" s="12"/>
      <c r="E808" s="12"/>
      <c r="F808" s="12"/>
      <c r="G808" s="12"/>
      <c r="H808" s="592"/>
      <c r="I808" s="592"/>
      <c r="J808" s="592"/>
      <c r="K808" s="592"/>
      <c r="L808" s="592"/>
      <c r="M808" s="592"/>
      <c r="N808" s="592"/>
      <c r="O808" s="592"/>
      <c r="P808" s="592"/>
      <c r="Q808" s="592"/>
      <c r="R808" s="592"/>
      <c r="S808" s="592"/>
      <c r="T808" s="592"/>
      <c r="U808" s="12"/>
      <c r="V808" s="12"/>
      <c r="W808" s="12"/>
      <c r="X808" s="12"/>
      <c r="Y808" s="12"/>
      <c r="Z808" s="12"/>
      <c r="AA808" s="12"/>
      <c r="AB808" s="12"/>
      <c r="AC808" s="12"/>
    </row>
    <row r="809" spans="1:29" ht="12.75" customHeight="1">
      <c r="A809" s="12"/>
      <c r="B809" s="12"/>
      <c r="C809" s="12"/>
      <c r="D809" s="12"/>
      <c r="E809" s="12"/>
      <c r="F809" s="12"/>
      <c r="G809" s="12"/>
      <c r="H809" s="592"/>
      <c r="I809" s="592"/>
      <c r="J809" s="592"/>
      <c r="K809" s="592"/>
      <c r="L809" s="592"/>
      <c r="M809" s="592"/>
      <c r="N809" s="592"/>
      <c r="O809" s="592"/>
      <c r="P809" s="592"/>
      <c r="Q809" s="592"/>
      <c r="R809" s="592"/>
      <c r="S809" s="592"/>
      <c r="T809" s="592"/>
      <c r="U809" s="12"/>
      <c r="V809" s="12"/>
      <c r="W809" s="12"/>
      <c r="X809" s="12"/>
      <c r="Y809" s="12"/>
      <c r="Z809" s="12"/>
      <c r="AA809" s="12"/>
      <c r="AB809" s="12"/>
      <c r="AC809" s="12"/>
    </row>
    <row r="810" spans="1:29" ht="12.75" customHeight="1">
      <c r="A810" s="12"/>
      <c r="B810" s="12"/>
      <c r="C810" s="12"/>
      <c r="D810" s="12"/>
      <c r="E810" s="12"/>
      <c r="F810" s="12"/>
      <c r="G810" s="12"/>
      <c r="H810" s="592"/>
      <c r="I810" s="592"/>
      <c r="J810" s="592"/>
      <c r="K810" s="592"/>
      <c r="L810" s="592"/>
      <c r="M810" s="592"/>
      <c r="N810" s="592"/>
      <c r="O810" s="592"/>
      <c r="P810" s="592"/>
      <c r="Q810" s="592"/>
      <c r="R810" s="592"/>
      <c r="S810" s="592"/>
      <c r="T810" s="592"/>
      <c r="U810" s="12"/>
      <c r="V810" s="12"/>
      <c r="W810" s="12"/>
      <c r="X810" s="12"/>
      <c r="Y810" s="12"/>
      <c r="Z810" s="12"/>
      <c r="AA810" s="12"/>
      <c r="AB810" s="12"/>
      <c r="AC810" s="12"/>
    </row>
    <row r="811" spans="1:29" ht="12.75" customHeight="1">
      <c r="A811" s="12"/>
      <c r="B811" s="12"/>
      <c r="C811" s="12"/>
      <c r="D811" s="12"/>
      <c r="E811" s="12"/>
      <c r="F811" s="12"/>
      <c r="G811" s="12"/>
      <c r="H811" s="592"/>
      <c r="I811" s="592"/>
      <c r="J811" s="592"/>
      <c r="K811" s="592"/>
      <c r="L811" s="592"/>
      <c r="M811" s="592"/>
      <c r="N811" s="592"/>
      <c r="O811" s="592"/>
      <c r="P811" s="592"/>
      <c r="Q811" s="592"/>
      <c r="R811" s="592"/>
      <c r="S811" s="592"/>
      <c r="T811" s="592"/>
      <c r="U811" s="12"/>
      <c r="V811" s="12"/>
      <c r="W811" s="12"/>
      <c r="X811" s="12"/>
      <c r="Y811" s="12"/>
      <c r="Z811" s="12"/>
      <c r="AA811" s="12"/>
      <c r="AB811" s="12"/>
      <c r="AC811" s="12"/>
    </row>
    <row r="812" spans="1:29" ht="12.75" customHeight="1">
      <c r="A812" s="12"/>
      <c r="B812" s="12"/>
      <c r="C812" s="12"/>
      <c r="D812" s="12"/>
      <c r="E812" s="12"/>
      <c r="F812" s="12"/>
      <c r="G812" s="12"/>
      <c r="H812" s="592"/>
      <c r="I812" s="592"/>
      <c r="J812" s="592"/>
      <c r="K812" s="592"/>
      <c r="L812" s="592"/>
      <c r="M812" s="592"/>
      <c r="N812" s="592"/>
      <c r="O812" s="592"/>
      <c r="P812" s="592"/>
      <c r="Q812" s="592"/>
      <c r="R812" s="592"/>
      <c r="S812" s="592"/>
      <c r="T812" s="592"/>
      <c r="U812" s="12"/>
      <c r="V812" s="12"/>
      <c r="W812" s="12"/>
      <c r="X812" s="12"/>
      <c r="Y812" s="12"/>
      <c r="Z812" s="12"/>
      <c r="AA812" s="12"/>
      <c r="AB812" s="12"/>
      <c r="AC812" s="12"/>
    </row>
    <row r="813" spans="1:29" ht="12.75" customHeight="1">
      <c r="A813" s="12"/>
      <c r="B813" s="12"/>
      <c r="C813" s="12"/>
      <c r="D813" s="12"/>
      <c r="E813" s="12"/>
      <c r="F813" s="12"/>
      <c r="G813" s="12"/>
      <c r="H813" s="592"/>
      <c r="I813" s="592"/>
      <c r="J813" s="592"/>
      <c r="K813" s="592"/>
      <c r="L813" s="592"/>
      <c r="M813" s="592"/>
      <c r="N813" s="592"/>
      <c r="O813" s="592"/>
      <c r="P813" s="592"/>
      <c r="Q813" s="592"/>
      <c r="R813" s="592"/>
      <c r="S813" s="592"/>
      <c r="T813" s="592"/>
      <c r="U813" s="12"/>
      <c r="V813" s="12"/>
      <c r="W813" s="12"/>
      <c r="X813" s="12"/>
      <c r="Y813" s="12"/>
      <c r="Z813" s="12"/>
      <c r="AA813" s="12"/>
      <c r="AB813" s="12"/>
      <c r="AC813" s="12"/>
    </row>
    <row r="814" spans="1:29" ht="12.75" customHeight="1">
      <c r="A814" s="12"/>
      <c r="B814" s="12"/>
      <c r="C814" s="12"/>
      <c r="D814" s="12"/>
      <c r="E814" s="12"/>
      <c r="F814" s="12"/>
      <c r="G814" s="12"/>
      <c r="H814" s="592"/>
      <c r="I814" s="592"/>
      <c r="J814" s="592"/>
      <c r="K814" s="592"/>
      <c r="L814" s="592"/>
      <c r="M814" s="592"/>
      <c r="N814" s="592"/>
      <c r="O814" s="592"/>
      <c r="P814" s="592"/>
      <c r="Q814" s="592"/>
      <c r="R814" s="592"/>
      <c r="S814" s="592"/>
      <c r="T814" s="592"/>
      <c r="U814" s="12"/>
      <c r="V814" s="12"/>
      <c r="W814" s="12"/>
      <c r="X814" s="12"/>
      <c r="Y814" s="12"/>
      <c r="Z814" s="12"/>
      <c r="AA814" s="12"/>
      <c r="AB814" s="12"/>
      <c r="AC814" s="12"/>
    </row>
    <row r="815" spans="1:29" ht="12.75" customHeight="1">
      <c r="A815" s="12"/>
      <c r="B815" s="12"/>
      <c r="C815" s="12"/>
      <c r="D815" s="12"/>
      <c r="E815" s="12"/>
      <c r="F815" s="12"/>
      <c r="G815" s="12"/>
      <c r="H815" s="592"/>
      <c r="I815" s="592"/>
      <c r="J815" s="592"/>
      <c r="K815" s="592"/>
      <c r="L815" s="592"/>
      <c r="M815" s="592"/>
      <c r="N815" s="592"/>
      <c r="O815" s="592"/>
      <c r="P815" s="592"/>
      <c r="Q815" s="592"/>
      <c r="R815" s="592"/>
      <c r="S815" s="592"/>
      <c r="T815" s="592"/>
      <c r="U815" s="12"/>
      <c r="V815" s="12"/>
      <c r="W815" s="12"/>
      <c r="X815" s="12"/>
      <c r="Y815" s="12"/>
      <c r="Z815" s="12"/>
      <c r="AA815" s="12"/>
      <c r="AB815" s="12"/>
      <c r="AC815" s="12"/>
    </row>
    <row r="816" spans="1:29" ht="12.75" customHeight="1">
      <c r="A816" s="12"/>
      <c r="B816" s="12"/>
      <c r="C816" s="12"/>
      <c r="D816" s="12"/>
      <c r="E816" s="12"/>
      <c r="F816" s="12"/>
      <c r="G816" s="12"/>
      <c r="H816" s="592"/>
      <c r="I816" s="592"/>
      <c r="J816" s="592"/>
      <c r="K816" s="592"/>
      <c r="L816" s="592"/>
      <c r="M816" s="592"/>
      <c r="N816" s="592"/>
      <c r="O816" s="592"/>
      <c r="P816" s="592"/>
      <c r="Q816" s="592"/>
      <c r="R816" s="592"/>
      <c r="S816" s="592"/>
      <c r="T816" s="592"/>
      <c r="U816" s="12"/>
      <c r="V816" s="12"/>
      <c r="W816" s="12"/>
      <c r="X816" s="12"/>
      <c r="Y816" s="12"/>
      <c r="Z816" s="12"/>
      <c r="AA816" s="12"/>
      <c r="AB816" s="12"/>
      <c r="AC816" s="12"/>
    </row>
    <row r="817" spans="1:29" ht="12.75" customHeight="1">
      <c r="A817" s="12"/>
      <c r="B817" s="12"/>
      <c r="C817" s="12"/>
      <c r="D817" s="12"/>
      <c r="E817" s="12"/>
      <c r="F817" s="12"/>
      <c r="G817" s="12"/>
      <c r="H817" s="592"/>
      <c r="I817" s="592"/>
      <c r="J817" s="592"/>
      <c r="K817" s="592"/>
      <c r="L817" s="592"/>
      <c r="M817" s="592"/>
      <c r="N817" s="592"/>
      <c r="O817" s="592"/>
      <c r="P817" s="592"/>
      <c r="Q817" s="592"/>
      <c r="R817" s="592"/>
      <c r="S817" s="592"/>
      <c r="T817" s="592"/>
      <c r="U817" s="12"/>
      <c r="V817" s="12"/>
      <c r="W817" s="12"/>
      <c r="X817" s="12"/>
      <c r="Y817" s="12"/>
      <c r="Z817" s="12"/>
      <c r="AA817" s="12"/>
      <c r="AB817" s="12"/>
      <c r="AC817" s="12"/>
    </row>
    <row r="818" spans="1:29" ht="12.75" customHeight="1">
      <c r="A818" s="12"/>
      <c r="B818" s="12"/>
      <c r="C818" s="12"/>
      <c r="D818" s="12"/>
      <c r="E818" s="12"/>
      <c r="F818" s="12"/>
      <c r="G818" s="12"/>
      <c r="H818" s="592"/>
      <c r="I818" s="592"/>
      <c r="J818" s="592"/>
      <c r="K818" s="592"/>
      <c r="L818" s="592"/>
      <c r="M818" s="592"/>
      <c r="N818" s="592"/>
      <c r="O818" s="592"/>
      <c r="P818" s="592"/>
      <c r="Q818" s="592"/>
      <c r="R818" s="592"/>
      <c r="S818" s="592"/>
      <c r="T818" s="592"/>
      <c r="U818" s="12"/>
      <c r="V818" s="12"/>
      <c r="W818" s="12"/>
      <c r="X818" s="12"/>
      <c r="Y818" s="12"/>
      <c r="Z818" s="12"/>
      <c r="AA818" s="12"/>
      <c r="AB818" s="12"/>
      <c r="AC818" s="12"/>
    </row>
    <row r="819" spans="1:29" ht="12.75" customHeight="1">
      <c r="A819" s="12"/>
      <c r="B819" s="12"/>
      <c r="C819" s="12"/>
      <c r="D819" s="12"/>
      <c r="E819" s="12"/>
      <c r="F819" s="12"/>
      <c r="G819" s="12"/>
      <c r="H819" s="592"/>
      <c r="I819" s="592"/>
      <c r="J819" s="592"/>
      <c r="K819" s="592"/>
      <c r="L819" s="592"/>
      <c r="M819" s="592"/>
      <c r="N819" s="592"/>
      <c r="O819" s="592"/>
      <c r="P819" s="592"/>
      <c r="Q819" s="592"/>
      <c r="R819" s="592"/>
      <c r="S819" s="592"/>
      <c r="T819" s="592"/>
      <c r="U819" s="12"/>
      <c r="V819" s="12"/>
      <c r="W819" s="12"/>
      <c r="X819" s="12"/>
      <c r="Y819" s="12"/>
      <c r="Z819" s="12"/>
      <c r="AA819" s="12"/>
      <c r="AB819" s="12"/>
      <c r="AC819" s="12"/>
    </row>
    <row r="820" spans="1:29" ht="12.75" customHeight="1">
      <c r="A820" s="12"/>
      <c r="B820" s="12"/>
      <c r="C820" s="12"/>
      <c r="D820" s="12"/>
      <c r="E820" s="12"/>
      <c r="F820" s="12"/>
      <c r="G820" s="12"/>
      <c r="H820" s="592"/>
      <c r="I820" s="592"/>
      <c r="J820" s="592"/>
      <c r="K820" s="592"/>
      <c r="L820" s="592"/>
      <c r="M820" s="592"/>
      <c r="N820" s="592"/>
      <c r="O820" s="592"/>
      <c r="P820" s="592"/>
      <c r="Q820" s="592"/>
      <c r="R820" s="592"/>
      <c r="S820" s="592"/>
      <c r="T820" s="592"/>
      <c r="U820" s="12"/>
      <c r="V820" s="12"/>
      <c r="W820" s="12"/>
      <c r="X820" s="12"/>
      <c r="Y820" s="12"/>
      <c r="Z820" s="12"/>
      <c r="AA820" s="12"/>
      <c r="AB820" s="12"/>
      <c r="AC820" s="12"/>
    </row>
    <row r="821" spans="1:29" ht="12.75" customHeight="1">
      <c r="A821" s="12"/>
      <c r="B821" s="12"/>
      <c r="C821" s="12"/>
      <c r="D821" s="12"/>
      <c r="E821" s="12"/>
      <c r="F821" s="12"/>
      <c r="G821" s="12"/>
      <c r="H821" s="592"/>
      <c r="I821" s="592"/>
      <c r="J821" s="592"/>
      <c r="K821" s="592"/>
      <c r="L821" s="592"/>
      <c r="M821" s="592"/>
      <c r="N821" s="592"/>
      <c r="O821" s="592"/>
      <c r="P821" s="592"/>
      <c r="Q821" s="592"/>
      <c r="R821" s="592"/>
      <c r="S821" s="592"/>
      <c r="T821" s="592"/>
      <c r="U821" s="12"/>
      <c r="V821" s="12"/>
      <c r="W821" s="12"/>
      <c r="X821" s="12"/>
      <c r="Y821" s="12"/>
      <c r="Z821" s="12"/>
      <c r="AA821" s="12"/>
      <c r="AB821" s="12"/>
      <c r="AC821" s="12"/>
    </row>
    <row r="822" spans="1:29" ht="12.75" customHeight="1">
      <c r="A822" s="12"/>
      <c r="B822" s="12"/>
      <c r="C822" s="12"/>
      <c r="D822" s="12"/>
      <c r="E822" s="12"/>
      <c r="F822" s="12"/>
      <c r="G822" s="12"/>
      <c r="H822" s="592"/>
      <c r="I822" s="592"/>
      <c r="J822" s="592"/>
      <c r="K822" s="592"/>
      <c r="L822" s="592"/>
      <c r="M822" s="592"/>
      <c r="N822" s="592"/>
      <c r="O822" s="592"/>
      <c r="P822" s="592"/>
      <c r="Q822" s="592"/>
      <c r="R822" s="592"/>
      <c r="S822" s="592"/>
      <c r="T822" s="592"/>
      <c r="U822" s="12"/>
      <c r="V822" s="12"/>
      <c r="W822" s="12"/>
      <c r="X822" s="12"/>
      <c r="Y822" s="12"/>
      <c r="Z822" s="12"/>
      <c r="AA822" s="12"/>
      <c r="AB822" s="12"/>
      <c r="AC822" s="12"/>
    </row>
    <row r="823" spans="1:29" ht="12.75" customHeight="1">
      <c r="A823" s="12"/>
      <c r="B823" s="12"/>
      <c r="C823" s="12"/>
      <c r="D823" s="12"/>
      <c r="E823" s="12"/>
      <c r="F823" s="12"/>
      <c r="G823" s="12"/>
      <c r="H823" s="592"/>
      <c r="I823" s="592"/>
      <c r="J823" s="592"/>
      <c r="K823" s="592"/>
      <c r="L823" s="592"/>
      <c r="M823" s="592"/>
      <c r="N823" s="592"/>
      <c r="O823" s="592"/>
      <c r="P823" s="592"/>
      <c r="Q823" s="592"/>
      <c r="R823" s="592"/>
      <c r="S823" s="592"/>
      <c r="T823" s="592"/>
      <c r="U823" s="12"/>
      <c r="V823" s="12"/>
      <c r="W823" s="12"/>
      <c r="X823" s="12"/>
      <c r="Y823" s="12"/>
      <c r="Z823" s="12"/>
      <c r="AA823" s="12"/>
      <c r="AB823" s="12"/>
      <c r="AC823" s="12"/>
    </row>
    <row r="824" spans="1:29" ht="12.75" customHeight="1">
      <c r="A824" s="12"/>
      <c r="B824" s="12"/>
      <c r="C824" s="12"/>
      <c r="D824" s="12"/>
      <c r="E824" s="12"/>
      <c r="F824" s="12"/>
      <c r="G824" s="12"/>
      <c r="H824" s="592"/>
      <c r="I824" s="592"/>
      <c r="J824" s="592"/>
      <c r="K824" s="592"/>
      <c r="L824" s="592"/>
      <c r="M824" s="592"/>
      <c r="N824" s="592"/>
      <c r="O824" s="592"/>
      <c r="P824" s="592"/>
      <c r="Q824" s="592"/>
      <c r="R824" s="592"/>
      <c r="S824" s="592"/>
      <c r="T824" s="592"/>
      <c r="U824" s="12"/>
      <c r="V824" s="12"/>
      <c r="W824" s="12"/>
      <c r="X824" s="12"/>
      <c r="Y824" s="12"/>
      <c r="Z824" s="12"/>
      <c r="AA824" s="12"/>
      <c r="AB824" s="12"/>
      <c r="AC824" s="12"/>
    </row>
    <row r="825" spans="1:29" ht="12.75" customHeight="1">
      <c r="A825" s="12"/>
      <c r="B825" s="12"/>
      <c r="C825" s="12"/>
      <c r="D825" s="12"/>
      <c r="E825" s="12"/>
      <c r="F825" s="12"/>
      <c r="G825" s="12"/>
      <c r="H825" s="592"/>
      <c r="I825" s="592"/>
      <c r="J825" s="592"/>
      <c r="K825" s="592"/>
      <c r="L825" s="592"/>
      <c r="M825" s="592"/>
      <c r="N825" s="592"/>
      <c r="O825" s="592"/>
      <c r="P825" s="592"/>
      <c r="Q825" s="592"/>
      <c r="R825" s="592"/>
      <c r="S825" s="592"/>
      <c r="T825" s="592"/>
      <c r="U825" s="12"/>
      <c r="V825" s="12"/>
      <c r="W825" s="12"/>
      <c r="X825" s="12"/>
      <c r="Y825" s="12"/>
      <c r="Z825" s="12"/>
      <c r="AA825" s="12"/>
      <c r="AB825" s="12"/>
      <c r="AC825" s="12"/>
    </row>
    <row r="826" spans="1:29" ht="12.75" customHeight="1">
      <c r="A826" s="12"/>
      <c r="B826" s="12"/>
      <c r="C826" s="12"/>
      <c r="D826" s="12"/>
      <c r="E826" s="12"/>
      <c r="F826" s="12"/>
      <c r="G826" s="12"/>
      <c r="H826" s="592"/>
      <c r="I826" s="592"/>
      <c r="J826" s="592"/>
      <c r="K826" s="592"/>
      <c r="L826" s="592"/>
      <c r="M826" s="592"/>
      <c r="N826" s="592"/>
      <c r="O826" s="592"/>
      <c r="P826" s="592"/>
      <c r="Q826" s="592"/>
      <c r="R826" s="592"/>
      <c r="S826" s="592"/>
      <c r="T826" s="592"/>
      <c r="U826" s="12"/>
      <c r="V826" s="12"/>
      <c r="W826" s="12"/>
      <c r="X826" s="12"/>
      <c r="Y826" s="12"/>
      <c r="Z826" s="12"/>
      <c r="AA826" s="12"/>
      <c r="AB826" s="12"/>
      <c r="AC826" s="12"/>
    </row>
    <row r="827" spans="1:29" ht="12.75" customHeight="1">
      <c r="A827" s="12"/>
      <c r="B827" s="12"/>
      <c r="C827" s="12"/>
      <c r="D827" s="12"/>
      <c r="E827" s="12"/>
      <c r="F827" s="12"/>
      <c r="G827" s="12"/>
      <c r="H827" s="592"/>
      <c r="I827" s="592"/>
      <c r="J827" s="592"/>
      <c r="K827" s="592"/>
      <c r="L827" s="592"/>
      <c r="M827" s="592"/>
      <c r="N827" s="592"/>
      <c r="O827" s="592"/>
      <c r="P827" s="592"/>
      <c r="Q827" s="592"/>
      <c r="R827" s="592"/>
      <c r="S827" s="592"/>
      <c r="T827" s="592"/>
      <c r="U827" s="12"/>
      <c r="V827" s="12"/>
      <c r="W827" s="12"/>
      <c r="X827" s="12"/>
      <c r="Y827" s="12"/>
      <c r="Z827" s="12"/>
      <c r="AA827" s="12"/>
      <c r="AB827" s="12"/>
      <c r="AC827" s="12"/>
    </row>
    <row r="828" spans="1:29" ht="12.75" customHeight="1">
      <c r="A828" s="12"/>
      <c r="B828" s="12"/>
      <c r="C828" s="12"/>
      <c r="D828" s="12"/>
      <c r="E828" s="12"/>
      <c r="F828" s="12"/>
      <c r="G828" s="12"/>
      <c r="H828" s="592"/>
      <c r="I828" s="592"/>
      <c r="J828" s="592"/>
      <c r="K828" s="592"/>
      <c r="L828" s="592"/>
      <c r="M828" s="592"/>
      <c r="N828" s="592"/>
      <c r="O828" s="592"/>
      <c r="P828" s="592"/>
      <c r="Q828" s="592"/>
      <c r="R828" s="592"/>
      <c r="S828" s="592"/>
      <c r="T828" s="592"/>
      <c r="U828" s="12"/>
      <c r="V828" s="12"/>
      <c r="W828" s="12"/>
      <c r="X828" s="12"/>
      <c r="Y828" s="12"/>
      <c r="Z828" s="12"/>
      <c r="AA828" s="12"/>
      <c r="AB828" s="12"/>
      <c r="AC828" s="12"/>
    </row>
    <row r="829" spans="1:29" ht="12.75" customHeight="1">
      <c r="A829" s="12"/>
      <c r="B829" s="12"/>
      <c r="C829" s="12"/>
      <c r="D829" s="12"/>
      <c r="E829" s="12"/>
      <c r="F829" s="12"/>
      <c r="G829" s="12"/>
      <c r="H829" s="592"/>
      <c r="I829" s="592"/>
      <c r="J829" s="592"/>
      <c r="K829" s="592"/>
      <c r="L829" s="592"/>
      <c r="M829" s="592"/>
      <c r="N829" s="592"/>
      <c r="O829" s="592"/>
      <c r="P829" s="592"/>
      <c r="Q829" s="592"/>
      <c r="R829" s="592"/>
      <c r="S829" s="592"/>
      <c r="T829" s="592"/>
      <c r="U829" s="12"/>
      <c r="V829" s="12"/>
      <c r="W829" s="12"/>
      <c r="X829" s="12"/>
      <c r="Y829" s="12"/>
      <c r="Z829" s="12"/>
      <c r="AA829" s="12"/>
      <c r="AB829" s="12"/>
      <c r="AC829" s="12"/>
    </row>
    <row r="830" spans="1:29" ht="12.75" customHeight="1">
      <c r="A830" s="12"/>
      <c r="B830" s="12"/>
      <c r="C830" s="12"/>
      <c r="D830" s="12"/>
      <c r="E830" s="12"/>
      <c r="F830" s="12"/>
      <c r="G830" s="12"/>
      <c r="H830" s="592"/>
      <c r="I830" s="592"/>
      <c r="J830" s="592"/>
      <c r="K830" s="592"/>
      <c r="L830" s="592"/>
      <c r="M830" s="592"/>
      <c r="N830" s="592"/>
      <c r="O830" s="592"/>
      <c r="P830" s="592"/>
      <c r="Q830" s="592"/>
      <c r="R830" s="592"/>
      <c r="S830" s="592"/>
      <c r="T830" s="592"/>
      <c r="U830" s="12"/>
      <c r="V830" s="12"/>
      <c r="W830" s="12"/>
      <c r="X830" s="12"/>
      <c r="Y830" s="12"/>
      <c r="Z830" s="12"/>
      <c r="AA830" s="12"/>
      <c r="AB830" s="12"/>
      <c r="AC830" s="12"/>
    </row>
    <row r="831" spans="1:29" ht="12.75" customHeight="1">
      <c r="A831" s="12"/>
      <c r="B831" s="12"/>
      <c r="C831" s="12"/>
      <c r="D831" s="12"/>
      <c r="E831" s="12"/>
      <c r="F831" s="12"/>
      <c r="G831" s="12"/>
      <c r="H831" s="592"/>
      <c r="I831" s="592"/>
      <c r="J831" s="592"/>
      <c r="K831" s="592"/>
      <c r="L831" s="592"/>
      <c r="M831" s="592"/>
      <c r="N831" s="592"/>
      <c r="O831" s="592"/>
      <c r="P831" s="592"/>
      <c r="Q831" s="592"/>
      <c r="R831" s="592"/>
      <c r="S831" s="592"/>
      <c r="T831" s="592"/>
      <c r="U831" s="12"/>
      <c r="V831" s="12"/>
      <c r="W831" s="12"/>
      <c r="X831" s="12"/>
      <c r="Y831" s="12"/>
      <c r="Z831" s="12"/>
      <c r="AA831" s="12"/>
      <c r="AB831" s="12"/>
      <c r="AC831" s="12"/>
    </row>
    <row r="832" spans="1:29" ht="12.75" customHeight="1">
      <c r="A832" s="12"/>
      <c r="B832" s="12"/>
      <c r="C832" s="12"/>
      <c r="D832" s="12"/>
      <c r="E832" s="12"/>
      <c r="F832" s="12"/>
      <c r="G832" s="12"/>
      <c r="H832" s="592"/>
      <c r="I832" s="592"/>
      <c r="J832" s="592"/>
      <c r="K832" s="592"/>
      <c r="L832" s="592"/>
      <c r="M832" s="592"/>
      <c r="N832" s="592"/>
      <c r="O832" s="592"/>
      <c r="P832" s="592"/>
      <c r="Q832" s="592"/>
      <c r="R832" s="592"/>
      <c r="S832" s="592"/>
      <c r="T832" s="592"/>
      <c r="U832" s="12"/>
      <c r="V832" s="12"/>
      <c r="W832" s="12"/>
      <c r="X832" s="12"/>
      <c r="Y832" s="12"/>
      <c r="Z832" s="12"/>
      <c r="AA832" s="12"/>
      <c r="AB832" s="12"/>
      <c r="AC832" s="12"/>
    </row>
    <row r="833" spans="1:29" ht="12.75" customHeight="1">
      <c r="A833" s="12"/>
      <c r="B833" s="12"/>
      <c r="C833" s="12"/>
      <c r="D833" s="12"/>
      <c r="E833" s="12"/>
      <c r="F833" s="12"/>
      <c r="G833" s="12"/>
      <c r="H833" s="592"/>
      <c r="I833" s="592"/>
      <c r="J833" s="592"/>
      <c r="K833" s="592"/>
      <c r="L833" s="592"/>
      <c r="M833" s="592"/>
      <c r="N833" s="592"/>
      <c r="O833" s="592"/>
      <c r="P833" s="592"/>
      <c r="Q833" s="592"/>
      <c r="R833" s="592"/>
      <c r="S833" s="592"/>
      <c r="T833" s="592"/>
      <c r="U833" s="12"/>
      <c r="V833" s="12"/>
      <c r="W833" s="12"/>
      <c r="X833" s="12"/>
      <c r="Y833" s="12"/>
      <c r="Z833" s="12"/>
      <c r="AA833" s="12"/>
      <c r="AB833" s="12"/>
      <c r="AC833" s="12"/>
    </row>
    <row r="834" spans="1:29" ht="12.75" customHeight="1">
      <c r="A834" s="12"/>
      <c r="B834" s="12"/>
      <c r="C834" s="12"/>
      <c r="D834" s="12"/>
      <c r="E834" s="12"/>
      <c r="F834" s="12"/>
      <c r="G834" s="12"/>
      <c r="H834" s="592"/>
      <c r="I834" s="592"/>
      <c r="J834" s="592"/>
      <c r="K834" s="592"/>
      <c r="L834" s="592"/>
      <c r="M834" s="592"/>
      <c r="N834" s="592"/>
      <c r="O834" s="592"/>
      <c r="P834" s="592"/>
      <c r="Q834" s="592"/>
      <c r="R834" s="592"/>
      <c r="S834" s="592"/>
      <c r="T834" s="592"/>
      <c r="U834" s="12"/>
      <c r="V834" s="12"/>
      <c r="W834" s="12"/>
      <c r="X834" s="12"/>
      <c r="Y834" s="12"/>
      <c r="Z834" s="12"/>
      <c r="AA834" s="12"/>
      <c r="AB834" s="12"/>
      <c r="AC834" s="12"/>
    </row>
    <row r="835" spans="1:29" ht="12.75" customHeight="1">
      <c r="A835" s="12"/>
      <c r="B835" s="12"/>
      <c r="C835" s="12"/>
      <c r="D835" s="12"/>
      <c r="E835" s="12"/>
      <c r="F835" s="12"/>
      <c r="G835" s="12"/>
      <c r="H835" s="592"/>
      <c r="I835" s="592"/>
      <c r="J835" s="592"/>
      <c r="K835" s="592"/>
      <c r="L835" s="592"/>
      <c r="M835" s="592"/>
      <c r="N835" s="592"/>
      <c r="O835" s="592"/>
      <c r="P835" s="592"/>
      <c r="Q835" s="592"/>
      <c r="R835" s="592"/>
      <c r="S835" s="592"/>
      <c r="T835" s="592"/>
      <c r="U835" s="12"/>
      <c r="V835" s="12"/>
      <c r="W835" s="12"/>
      <c r="X835" s="12"/>
      <c r="Y835" s="12"/>
      <c r="Z835" s="12"/>
      <c r="AA835" s="12"/>
      <c r="AB835" s="12"/>
      <c r="AC835" s="12"/>
    </row>
    <row r="836" spans="1:29" ht="12.75" customHeight="1">
      <c r="A836" s="12"/>
      <c r="B836" s="12"/>
      <c r="C836" s="12"/>
      <c r="D836" s="12"/>
      <c r="E836" s="12"/>
      <c r="F836" s="12"/>
      <c r="G836" s="12"/>
      <c r="H836" s="592"/>
      <c r="I836" s="592"/>
      <c r="J836" s="592"/>
      <c r="K836" s="592"/>
      <c r="L836" s="592"/>
      <c r="M836" s="592"/>
      <c r="N836" s="592"/>
      <c r="O836" s="592"/>
      <c r="P836" s="592"/>
      <c r="Q836" s="592"/>
      <c r="R836" s="592"/>
      <c r="S836" s="592"/>
      <c r="T836" s="592"/>
      <c r="U836" s="12"/>
      <c r="V836" s="12"/>
      <c r="W836" s="12"/>
      <c r="X836" s="12"/>
      <c r="Y836" s="12"/>
      <c r="Z836" s="12"/>
      <c r="AA836" s="12"/>
      <c r="AB836" s="12"/>
      <c r="AC836" s="12"/>
    </row>
    <row r="837" spans="1:29" ht="12.75" customHeight="1">
      <c r="A837" s="12"/>
      <c r="B837" s="12"/>
      <c r="C837" s="12"/>
      <c r="D837" s="12"/>
      <c r="E837" s="12"/>
      <c r="F837" s="12"/>
      <c r="G837" s="12"/>
      <c r="H837" s="592"/>
      <c r="I837" s="592"/>
      <c r="J837" s="592"/>
      <c r="K837" s="592"/>
      <c r="L837" s="592"/>
      <c r="M837" s="592"/>
      <c r="N837" s="592"/>
      <c r="O837" s="592"/>
      <c r="P837" s="592"/>
      <c r="Q837" s="592"/>
      <c r="R837" s="592"/>
      <c r="S837" s="592"/>
      <c r="T837" s="592"/>
      <c r="U837" s="12"/>
      <c r="V837" s="12"/>
      <c r="W837" s="12"/>
      <c r="X837" s="12"/>
      <c r="Y837" s="12"/>
      <c r="Z837" s="12"/>
      <c r="AA837" s="12"/>
      <c r="AB837" s="12"/>
      <c r="AC837" s="12"/>
    </row>
    <row r="838" spans="1:29" ht="12.75" customHeight="1">
      <c r="A838" s="12"/>
      <c r="B838" s="12"/>
      <c r="C838" s="12"/>
      <c r="D838" s="12"/>
      <c r="E838" s="12"/>
      <c r="F838" s="12"/>
      <c r="G838" s="12"/>
      <c r="H838" s="592"/>
      <c r="I838" s="592"/>
      <c r="J838" s="592"/>
      <c r="K838" s="592"/>
      <c r="L838" s="592"/>
      <c r="M838" s="592"/>
      <c r="N838" s="592"/>
      <c r="O838" s="592"/>
      <c r="P838" s="592"/>
      <c r="Q838" s="592"/>
      <c r="R838" s="592"/>
      <c r="S838" s="592"/>
      <c r="T838" s="592"/>
      <c r="U838" s="12"/>
      <c r="V838" s="12"/>
      <c r="W838" s="12"/>
      <c r="X838" s="12"/>
      <c r="Y838" s="12"/>
      <c r="Z838" s="12"/>
      <c r="AA838" s="12"/>
      <c r="AB838" s="12"/>
      <c r="AC838" s="12"/>
    </row>
    <row r="839" spans="1:29" ht="12.75" customHeight="1">
      <c r="A839" s="12"/>
      <c r="B839" s="12"/>
      <c r="C839" s="12"/>
      <c r="D839" s="12"/>
      <c r="E839" s="12"/>
      <c r="F839" s="12"/>
      <c r="G839" s="12"/>
      <c r="H839" s="592"/>
      <c r="I839" s="592"/>
      <c r="J839" s="592"/>
      <c r="K839" s="592"/>
      <c r="L839" s="592"/>
      <c r="M839" s="592"/>
      <c r="N839" s="592"/>
      <c r="O839" s="592"/>
      <c r="P839" s="592"/>
      <c r="Q839" s="592"/>
      <c r="R839" s="592"/>
      <c r="S839" s="592"/>
      <c r="T839" s="592"/>
      <c r="U839" s="12"/>
      <c r="V839" s="12"/>
      <c r="W839" s="12"/>
      <c r="X839" s="12"/>
      <c r="Y839" s="12"/>
      <c r="Z839" s="12"/>
      <c r="AA839" s="12"/>
      <c r="AB839" s="12"/>
      <c r="AC839" s="12"/>
    </row>
    <row r="840" spans="1:29" ht="12.75" customHeight="1">
      <c r="A840" s="12"/>
      <c r="B840" s="12"/>
      <c r="C840" s="12"/>
      <c r="D840" s="12"/>
      <c r="E840" s="12"/>
      <c r="F840" s="12"/>
      <c r="G840" s="12"/>
      <c r="H840" s="592"/>
      <c r="I840" s="592"/>
      <c r="J840" s="592"/>
      <c r="K840" s="592"/>
      <c r="L840" s="592"/>
      <c r="M840" s="592"/>
      <c r="N840" s="592"/>
      <c r="O840" s="592"/>
      <c r="P840" s="592"/>
      <c r="Q840" s="592"/>
      <c r="R840" s="592"/>
      <c r="S840" s="592"/>
      <c r="T840" s="592"/>
      <c r="U840" s="12"/>
      <c r="V840" s="12"/>
      <c r="W840" s="12"/>
      <c r="X840" s="12"/>
      <c r="Y840" s="12"/>
      <c r="Z840" s="12"/>
      <c r="AA840" s="12"/>
      <c r="AB840" s="12"/>
      <c r="AC840" s="12"/>
    </row>
    <row r="841" spans="1:29" ht="12.75" customHeight="1">
      <c r="A841" s="12"/>
      <c r="B841" s="12"/>
      <c r="C841" s="12"/>
      <c r="D841" s="12"/>
      <c r="E841" s="12"/>
      <c r="F841" s="12"/>
      <c r="G841" s="12"/>
      <c r="H841" s="592"/>
      <c r="I841" s="592"/>
      <c r="J841" s="592"/>
      <c r="K841" s="592"/>
      <c r="L841" s="592"/>
      <c r="M841" s="592"/>
      <c r="N841" s="592"/>
      <c r="O841" s="592"/>
      <c r="P841" s="592"/>
      <c r="Q841" s="592"/>
      <c r="R841" s="592"/>
      <c r="S841" s="592"/>
      <c r="T841" s="592"/>
      <c r="U841" s="12"/>
      <c r="V841" s="12"/>
      <c r="W841" s="12"/>
      <c r="X841" s="12"/>
      <c r="Y841" s="12"/>
      <c r="Z841" s="12"/>
      <c r="AA841" s="12"/>
      <c r="AB841" s="12"/>
      <c r="AC841" s="12"/>
    </row>
    <row r="842" spans="1:29" ht="12.75" customHeight="1">
      <c r="A842" s="12"/>
      <c r="B842" s="12"/>
      <c r="C842" s="12"/>
      <c r="D842" s="12"/>
      <c r="E842" s="12"/>
      <c r="F842" s="12"/>
      <c r="G842" s="12"/>
      <c r="H842" s="592"/>
      <c r="I842" s="592"/>
      <c r="J842" s="592"/>
      <c r="K842" s="592"/>
      <c r="L842" s="592"/>
      <c r="M842" s="592"/>
      <c r="N842" s="592"/>
      <c r="O842" s="592"/>
      <c r="P842" s="592"/>
      <c r="Q842" s="592"/>
      <c r="R842" s="592"/>
      <c r="S842" s="592"/>
      <c r="T842" s="592"/>
      <c r="U842" s="12"/>
      <c r="V842" s="12"/>
      <c r="W842" s="12"/>
      <c r="X842" s="12"/>
      <c r="Y842" s="12"/>
      <c r="Z842" s="12"/>
      <c r="AA842" s="12"/>
      <c r="AB842" s="12"/>
      <c r="AC842" s="12"/>
    </row>
    <row r="843" spans="1:29" ht="12.75" customHeight="1">
      <c r="A843" s="12"/>
      <c r="B843" s="12"/>
      <c r="C843" s="12"/>
      <c r="D843" s="12"/>
      <c r="E843" s="12"/>
      <c r="F843" s="12"/>
      <c r="G843" s="12"/>
      <c r="H843" s="592"/>
      <c r="I843" s="592"/>
      <c r="J843" s="592"/>
      <c r="K843" s="592"/>
      <c r="L843" s="592"/>
      <c r="M843" s="592"/>
      <c r="N843" s="592"/>
      <c r="O843" s="592"/>
      <c r="P843" s="592"/>
      <c r="Q843" s="592"/>
      <c r="R843" s="592"/>
      <c r="S843" s="592"/>
      <c r="T843" s="592"/>
      <c r="U843" s="12"/>
      <c r="V843" s="12"/>
      <c r="W843" s="12"/>
      <c r="X843" s="12"/>
      <c r="Y843" s="12"/>
      <c r="Z843" s="12"/>
      <c r="AA843" s="12"/>
      <c r="AB843" s="12"/>
      <c r="AC843" s="12"/>
    </row>
    <row r="844" spans="1:29" ht="12.75" customHeight="1">
      <c r="A844" s="12"/>
      <c r="B844" s="12"/>
      <c r="C844" s="12"/>
      <c r="D844" s="12"/>
      <c r="E844" s="12"/>
      <c r="F844" s="12"/>
      <c r="G844" s="12"/>
      <c r="H844" s="592"/>
      <c r="I844" s="592"/>
      <c r="J844" s="592"/>
      <c r="K844" s="592"/>
      <c r="L844" s="592"/>
      <c r="M844" s="592"/>
      <c r="N844" s="592"/>
      <c r="O844" s="592"/>
      <c r="P844" s="592"/>
      <c r="Q844" s="592"/>
      <c r="R844" s="592"/>
      <c r="S844" s="592"/>
      <c r="T844" s="592"/>
      <c r="U844" s="12"/>
      <c r="V844" s="12"/>
      <c r="W844" s="12"/>
      <c r="X844" s="12"/>
      <c r="Y844" s="12"/>
      <c r="Z844" s="12"/>
      <c r="AA844" s="12"/>
      <c r="AB844" s="12"/>
      <c r="AC844" s="12"/>
    </row>
    <row r="845" spans="1:29" ht="12.75" customHeight="1">
      <c r="A845" s="12"/>
      <c r="B845" s="12"/>
      <c r="C845" s="12"/>
      <c r="D845" s="12"/>
      <c r="E845" s="12"/>
      <c r="F845" s="12"/>
      <c r="G845" s="12"/>
      <c r="H845" s="592"/>
      <c r="I845" s="592"/>
      <c r="J845" s="592"/>
      <c r="K845" s="592"/>
      <c r="L845" s="592"/>
      <c r="M845" s="592"/>
      <c r="N845" s="592"/>
      <c r="O845" s="592"/>
      <c r="P845" s="592"/>
      <c r="Q845" s="592"/>
      <c r="R845" s="592"/>
      <c r="S845" s="592"/>
      <c r="T845" s="592"/>
      <c r="U845" s="12"/>
      <c r="V845" s="12"/>
      <c r="W845" s="12"/>
      <c r="X845" s="12"/>
      <c r="Y845" s="12"/>
      <c r="Z845" s="12"/>
      <c r="AA845" s="12"/>
      <c r="AB845" s="12"/>
      <c r="AC845" s="12"/>
    </row>
    <row r="846" spans="1:29" ht="12.75" customHeight="1">
      <c r="A846" s="12"/>
      <c r="B846" s="12"/>
      <c r="C846" s="12"/>
      <c r="D846" s="12"/>
      <c r="E846" s="12"/>
      <c r="F846" s="12"/>
      <c r="G846" s="12"/>
      <c r="H846" s="592"/>
      <c r="I846" s="592"/>
      <c r="J846" s="592"/>
      <c r="K846" s="592"/>
      <c r="L846" s="592"/>
      <c r="M846" s="592"/>
      <c r="N846" s="592"/>
      <c r="O846" s="592"/>
      <c r="P846" s="592"/>
      <c r="Q846" s="592"/>
      <c r="R846" s="592"/>
      <c r="S846" s="592"/>
      <c r="T846" s="592"/>
      <c r="U846" s="12"/>
      <c r="V846" s="12"/>
      <c r="W846" s="12"/>
      <c r="X846" s="12"/>
      <c r="Y846" s="12"/>
      <c r="Z846" s="12"/>
      <c r="AA846" s="12"/>
      <c r="AB846" s="12"/>
      <c r="AC846" s="12"/>
    </row>
    <row r="847" spans="1:29" ht="12.75" customHeight="1">
      <c r="A847" s="12"/>
      <c r="B847" s="12"/>
      <c r="C847" s="12"/>
      <c r="D847" s="12"/>
      <c r="E847" s="12"/>
      <c r="F847" s="12"/>
      <c r="G847" s="12"/>
      <c r="H847" s="592"/>
      <c r="I847" s="592"/>
      <c r="J847" s="592"/>
      <c r="K847" s="592"/>
      <c r="L847" s="592"/>
      <c r="M847" s="592"/>
      <c r="N847" s="592"/>
      <c r="O847" s="592"/>
      <c r="P847" s="592"/>
      <c r="Q847" s="592"/>
      <c r="R847" s="592"/>
      <c r="S847" s="592"/>
      <c r="T847" s="592"/>
      <c r="U847" s="12"/>
      <c r="V847" s="12"/>
      <c r="W847" s="12"/>
      <c r="X847" s="12"/>
      <c r="Y847" s="12"/>
      <c r="Z847" s="12"/>
      <c r="AA847" s="12"/>
      <c r="AB847" s="12"/>
      <c r="AC847" s="12"/>
    </row>
    <row r="848" spans="1:29" ht="12.75" customHeight="1">
      <c r="A848" s="12"/>
      <c r="B848" s="12"/>
      <c r="C848" s="12"/>
      <c r="D848" s="12"/>
      <c r="E848" s="12"/>
      <c r="F848" s="12"/>
      <c r="G848" s="12"/>
      <c r="H848" s="592"/>
      <c r="I848" s="592"/>
      <c r="J848" s="592"/>
      <c r="K848" s="592"/>
      <c r="L848" s="592"/>
      <c r="M848" s="592"/>
      <c r="N848" s="592"/>
      <c r="O848" s="592"/>
      <c r="P848" s="592"/>
      <c r="Q848" s="592"/>
      <c r="R848" s="592"/>
      <c r="S848" s="592"/>
      <c r="T848" s="592"/>
      <c r="U848" s="12"/>
      <c r="V848" s="12"/>
      <c r="W848" s="12"/>
      <c r="X848" s="12"/>
      <c r="Y848" s="12"/>
      <c r="Z848" s="12"/>
      <c r="AA848" s="12"/>
      <c r="AB848" s="12"/>
      <c r="AC848" s="12"/>
    </row>
    <row r="849" spans="1:29" ht="12.75" customHeight="1">
      <c r="A849" s="12"/>
      <c r="B849" s="12"/>
      <c r="C849" s="12"/>
      <c r="D849" s="12"/>
      <c r="E849" s="12"/>
      <c r="F849" s="12"/>
      <c r="G849" s="12"/>
      <c r="H849" s="592"/>
      <c r="I849" s="592"/>
      <c r="J849" s="592"/>
      <c r="K849" s="592"/>
      <c r="L849" s="592"/>
      <c r="M849" s="592"/>
      <c r="N849" s="592"/>
      <c r="O849" s="592"/>
      <c r="P849" s="592"/>
      <c r="Q849" s="592"/>
      <c r="R849" s="592"/>
      <c r="S849" s="592"/>
      <c r="T849" s="592"/>
      <c r="U849" s="12"/>
      <c r="V849" s="12"/>
      <c r="W849" s="12"/>
      <c r="X849" s="12"/>
      <c r="Y849" s="12"/>
      <c r="Z849" s="12"/>
      <c r="AA849" s="12"/>
      <c r="AB849" s="12"/>
      <c r="AC849" s="12"/>
    </row>
    <row r="850" spans="1:29" ht="12.75" customHeight="1">
      <c r="A850" s="12"/>
      <c r="B850" s="12"/>
      <c r="C850" s="12"/>
      <c r="D850" s="12"/>
      <c r="E850" s="12"/>
      <c r="F850" s="12"/>
      <c r="G850" s="12"/>
      <c r="H850" s="592"/>
      <c r="I850" s="592"/>
      <c r="J850" s="592"/>
      <c r="K850" s="592"/>
      <c r="L850" s="592"/>
      <c r="M850" s="592"/>
      <c r="N850" s="592"/>
      <c r="O850" s="592"/>
      <c r="P850" s="592"/>
      <c r="Q850" s="592"/>
      <c r="R850" s="592"/>
      <c r="S850" s="592"/>
      <c r="T850" s="592"/>
      <c r="U850" s="12"/>
      <c r="V850" s="12"/>
      <c r="W850" s="12"/>
      <c r="X850" s="12"/>
      <c r="Y850" s="12"/>
      <c r="Z850" s="12"/>
      <c r="AA850" s="12"/>
      <c r="AB850" s="12"/>
      <c r="AC850" s="12"/>
    </row>
    <row r="851" spans="1:29" ht="12.75" customHeight="1">
      <c r="A851" s="12"/>
      <c r="B851" s="12"/>
      <c r="C851" s="12"/>
      <c r="D851" s="12"/>
      <c r="E851" s="12"/>
      <c r="F851" s="12"/>
      <c r="G851" s="12"/>
      <c r="H851" s="592"/>
      <c r="I851" s="592"/>
      <c r="J851" s="592"/>
      <c r="K851" s="592"/>
      <c r="L851" s="592"/>
      <c r="M851" s="592"/>
      <c r="N851" s="592"/>
      <c r="O851" s="592"/>
      <c r="P851" s="592"/>
      <c r="Q851" s="592"/>
      <c r="R851" s="592"/>
      <c r="S851" s="592"/>
      <c r="T851" s="592"/>
      <c r="U851" s="12"/>
      <c r="V851" s="12"/>
      <c r="W851" s="12"/>
      <c r="X851" s="12"/>
      <c r="Y851" s="12"/>
      <c r="Z851" s="12"/>
      <c r="AA851" s="12"/>
      <c r="AB851" s="12"/>
      <c r="AC851" s="12"/>
    </row>
    <row r="852" spans="1:29" ht="12.75" customHeight="1">
      <c r="A852" s="12"/>
      <c r="B852" s="12"/>
      <c r="C852" s="12"/>
      <c r="D852" s="12"/>
      <c r="E852" s="12"/>
      <c r="F852" s="12"/>
      <c r="G852" s="12"/>
      <c r="H852" s="592"/>
      <c r="I852" s="592"/>
      <c r="J852" s="592"/>
      <c r="K852" s="592"/>
      <c r="L852" s="592"/>
      <c r="M852" s="592"/>
      <c r="N852" s="592"/>
      <c r="O852" s="592"/>
      <c r="P852" s="592"/>
      <c r="Q852" s="592"/>
      <c r="R852" s="592"/>
      <c r="S852" s="592"/>
      <c r="T852" s="592"/>
      <c r="U852" s="12"/>
      <c r="V852" s="12"/>
      <c r="W852" s="12"/>
      <c r="X852" s="12"/>
      <c r="Y852" s="12"/>
      <c r="Z852" s="12"/>
      <c r="AA852" s="12"/>
      <c r="AB852" s="12"/>
      <c r="AC852" s="12"/>
    </row>
    <row r="853" spans="1:29" ht="12.75" customHeight="1">
      <c r="A853" s="12"/>
      <c r="B853" s="12"/>
      <c r="C853" s="12"/>
      <c r="D853" s="12"/>
      <c r="E853" s="12"/>
      <c r="F853" s="12"/>
      <c r="G853" s="12"/>
      <c r="H853" s="592"/>
      <c r="I853" s="592"/>
      <c r="J853" s="592"/>
      <c r="K853" s="592"/>
      <c r="L853" s="592"/>
      <c r="M853" s="592"/>
      <c r="N853" s="592"/>
      <c r="O853" s="592"/>
      <c r="P853" s="592"/>
      <c r="Q853" s="592"/>
      <c r="R853" s="592"/>
      <c r="S853" s="592"/>
      <c r="T853" s="592"/>
      <c r="U853" s="12"/>
      <c r="V853" s="12"/>
      <c r="W853" s="12"/>
      <c r="X853" s="12"/>
      <c r="Y853" s="12"/>
      <c r="Z853" s="12"/>
      <c r="AA853" s="12"/>
      <c r="AB853" s="12"/>
      <c r="AC853" s="12"/>
    </row>
    <row r="854" spans="1:29" ht="12.75" customHeight="1">
      <c r="A854" s="12"/>
      <c r="B854" s="12"/>
      <c r="C854" s="12"/>
      <c r="D854" s="12"/>
      <c r="E854" s="12"/>
      <c r="F854" s="12"/>
      <c r="G854" s="12"/>
      <c r="H854" s="592"/>
      <c r="I854" s="592"/>
      <c r="J854" s="592"/>
      <c r="K854" s="592"/>
      <c r="L854" s="592"/>
      <c r="M854" s="592"/>
      <c r="N854" s="592"/>
      <c r="O854" s="592"/>
      <c r="P854" s="592"/>
      <c r="Q854" s="592"/>
      <c r="R854" s="592"/>
      <c r="S854" s="592"/>
      <c r="T854" s="592"/>
      <c r="U854" s="12"/>
      <c r="V854" s="12"/>
      <c r="W854" s="12"/>
      <c r="X854" s="12"/>
      <c r="Y854" s="12"/>
      <c r="Z854" s="12"/>
      <c r="AA854" s="12"/>
      <c r="AB854" s="12"/>
      <c r="AC854" s="12"/>
    </row>
    <row r="855" spans="1:29" ht="12.75" customHeight="1">
      <c r="A855" s="12"/>
      <c r="B855" s="12"/>
      <c r="C855" s="12"/>
      <c r="D855" s="12"/>
      <c r="E855" s="12"/>
      <c r="F855" s="12"/>
      <c r="G855" s="12"/>
      <c r="H855" s="592"/>
      <c r="I855" s="592"/>
      <c r="J855" s="592"/>
      <c r="K855" s="592"/>
      <c r="L855" s="592"/>
      <c r="M855" s="592"/>
      <c r="N855" s="592"/>
      <c r="O855" s="592"/>
      <c r="P855" s="592"/>
      <c r="Q855" s="592"/>
      <c r="R855" s="592"/>
      <c r="S855" s="592"/>
      <c r="T855" s="592"/>
      <c r="U855" s="12"/>
      <c r="V855" s="12"/>
      <c r="W855" s="12"/>
      <c r="X855" s="12"/>
      <c r="Y855" s="12"/>
      <c r="Z855" s="12"/>
      <c r="AA855" s="12"/>
      <c r="AB855" s="12"/>
      <c r="AC855" s="12"/>
    </row>
    <row r="856" spans="1:29" ht="12.75" customHeight="1">
      <c r="A856" s="12"/>
      <c r="B856" s="12"/>
      <c r="C856" s="12"/>
      <c r="D856" s="12"/>
      <c r="E856" s="12"/>
      <c r="F856" s="12"/>
      <c r="G856" s="12"/>
      <c r="H856" s="592"/>
      <c r="I856" s="592"/>
      <c r="J856" s="592"/>
      <c r="K856" s="592"/>
      <c r="L856" s="592"/>
      <c r="M856" s="592"/>
      <c r="N856" s="592"/>
      <c r="O856" s="592"/>
      <c r="P856" s="592"/>
      <c r="Q856" s="592"/>
      <c r="R856" s="592"/>
      <c r="S856" s="592"/>
      <c r="T856" s="592"/>
      <c r="U856" s="12"/>
      <c r="V856" s="12"/>
      <c r="W856" s="12"/>
      <c r="X856" s="12"/>
      <c r="Y856" s="12"/>
      <c r="Z856" s="12"/>
      <c r="AA856" s="12"/>
      <c r="AB856" s="12"/>
      <c r="AC856" s="12"/>
    </row>
    <row r="857" spans="1:29" ht="12.75" customHeight="1">
      <c r="A857" s="12"/>
      <c r="B857" s="12"/>
      <c r="C857" s="12"/>
      <c r="D857" s="12"/>
      <c r="E857" s="12"/>
      <c r="F857" s="12"/>
      <c r="G857" s="12"/>
      <c r="H857" s="592"/>
      <c r="I857" s="592"/>
      <c r="J857" s="592"/>
      <c r="K857" s="592"/>
      <c r="L857" s="592"/>
      <c r="M857" s="592"/>
      <c r="N857" s="592"/>
      <c r="O857" s="592"/>
      <c r="P857" s="592"/>
      <c r="Q857" s="592"/>
      <c r="R857" s="592"/>
      <c r="S857" s="592"/>
      <c r="T857" s="592"/>
      <c r="U857" s="12"/>
      <c r="V857" s="12"/>
      <c r="W857" s="12"/>
      <c r="X857" s="12"/>
      <c r="Y857" s="12"/>
      <c r="Z857" s="12"/>
      <c r="AA857" s="12"/>
      <c r="AB857" s="12"/>
      <c r="AC857" s="12"/>
    </row>
    <row r="858" spans="1:29" ht="12.75" customHeight="1">
      <c r="A858" s="12"/>
      <c r="B858" s="12"/>
      <c r="C858" s="12"/>
      <c r="D858" s="12"/>
      <c r="E858" s="12"/>
      <c r="F858" s="12"/>
      <c r="G858" s="12"/>
      <c r="H858" s="592"/>
      <c r="I858" s="592"/>
      <c r="J858" s="592"/>
      <c r="K858" s="592"/>
      <c r="L858" s="592"/>
      <c r="M858" s="592"/>
      <c r="N858" s="592"/>
      <c r="O858" s="592"/>
      <c r="P858" s="592"/>
      <c r="Q858" s="592"/>
      <c r="R858" s="592"/>
      <c r="S858" s="592"/>
      <c r="T858" s="592"/>
      <c r="U858" s="12"/>
      <c r="V858" s="12"/>
      <c r="W858" s="12"/>
      <c r="X858" s="12"/>
      <c r="Y858" s="12"/>
      <c r="Z858" s="12"/>
      <c r="AA858" s="12"/>
      <c r="AB858" s="12"/>
      <c r="AC858" s="12"/>
    </row>
    <row r="859" spans="1:29" ht="12.75" customHeight="1">
      <c r="A859" s="12"/>
      <c r="B859" s="12"/>
      <c r="C859" s="12"/>
      <c r="D859" s="12"/>
      <c r="E859" s="12"/>
      <c r="F859" s="12"/>
      <c r="G859" s="12"/>
      <c r="H859" s="592"/>
      <c r="I859" s="592"/>
      <c r="J859" s="592"/>
      <c r="K859" s="592"/>
      <c r="L859" s="592"/>
      <c r="M859" s="592"/>
      <c r="N859" s="592"/>
      <c r="O859" s="592"/>
      <c r="P859" s="592"/>
      <c r="Q859" s="592"/>
      <c r="R859" s="592"/>
      <c r="S859" s="592"/>
      <c r="T859" s="592"/>
      <c r="U859" s="12"/>
      <c r="V859" s="12"/>
      <c r="W859" s="12"/>
      <c r="X859" s="12"/>
      <c r="Y859" s="12"/>
      <c r="Z859" s="12"/>
      <c r="AA859" s="12"/>
      <c r="AB859" s="12"/>
      <c r="AC859" s="12"/>
    </row>
    <row r="860" spans="1:29" ht="12.75" customHeight="1">
      <c r="A860" s="12"/>
      <c r="B860" s="12"/>
      <c r="C860" s="12"/>
      <c r="D860" s="12"/>
      <c r="E860" s="12"/>
      <c r="F860" s="12"/>
      <c r="G860" s="12"/>
      <c r="H860" s="592"/>
      <c r="I860" s="592"/>
      <c r="J860" s="592"/>
      <c r="K860" s="592"/>
      <c r="L860" s="592"/>
      <c r="M860" s="592"/>
      <c r="N860" s="592"/>
      <c r="O860" s="592"/>
      <c r="P860" s="592"/>
      <c r="Q860" s="592"/>
      <c r="R860" s="592"/>
      <c r="S860" s="592"/>
      <c r="T860" s="592"/>
      <c r="U860" s="12"/>
      <c r="V860" s="12"/>
      <c r="W860" s="12"/>
      <c r="X860" s="12"/>
      <c r="Y860" s="12"/>
      <c r="Z860" s="12"/>
      <c r="AA860" s="12"/>
      <c r="AB860" s="12"/>
      <c r="AC860" s="12"/>
    </row>
    <row r="861" spans="1:29" ht="12.75" customHeight="1">
      <c r="A861" s="12"/>
      <c r="B861" s="12"/>
      <c r="C861" s="12"/>
      <c r="D861" s="12"/>
      <c r="E861" s="12"/>
      <c r="F861" s="12"/>
      <c r="G861" s="12"/>
      <c r="H861" s="592"/>
      <c r="I861" s="592"/>
      <c r="J861" s="592"/>
      <c r="K861" s="592"/>
      <c r="L861" s="592"/>
      <c r="M861" s="592"/>
      <c r="N861" s="592"/>
      <c r="O861" s="592"/>
      <c r="P861" s="592"/>
      <c r="Q861" s="592"/>
      <c r="R861" s="592"/>
      <c r="S861" s="592"/>
      <c r="T861" s="592"/>
      <c r="U861" s="12"/>
      <c r="V861" s="12"/>
      <c r="W861" s="12"/>
      <c r="X861" s="12"/>
      <c r="Y861" s="12"/>
      <c r="Z861" s="12"/>
      <c r="AA861" s="12"/>
      <c r="AB861" s="12"/>
      <c r="AC861" s="12"/>
    </row>
    <row r="862" spans="1:29" ht="12.75" customHeight="1">
      <c r="A862" s="12"/>
      <c r="B862" s="12"/>
      <c r="C862" s="12"/>
      <c r="D862" s="12"/>
      <c r="E862" s="12"/>
      <c r="F862" s="12"/>
      <c r="G862" s="12"/>
      <c r="H862" s="592"/>
      <c r="I862" s="592"/>
      <c r="J862" s="592"/>
      <c r="K862" s="592"/>
      <c r="L862" s="592"/>
      <c r="M862" s="592"/>
      <c r="N862" s="592"/>
      <c r="O862" s="592"/>
      <c r="P862" s="592"/>
      <c r="Q862" s="592"/>
      <c r="R862" s="592"/>
      <c r="S862" s="592"/>
      <c r="T862" s="592"/>
      <c r="U862" s="12"/>
      <c r="V862" s="12"/>
      <c r="W862" s="12"/>
      <c r="X862" s="12"/>
      <c r="Y862" s="12"/>
      <c r="Z862" s="12"/>
      <c r="AA862" s="12"/>
      <c r="AB862" s="12"/>
      <c r="AC862" s="12"/>
    </row>
    <row r="863" spans="1:29" ht="12.75" customHeight="1">
      <c r="A863" s="12"/>
      <c r="B863" s="12"/>
      <c r="C863" s="12"/>
      <c r="D863" s="12"/>
      <c r="E863" s="12"/>
      <c r="F863" s="12"/>
      <c r="G863" s="12"/>
      <c r="H863" s="592"/>
      <c r="I863" s="592"/>
      <c r="J863" s="592"/>
      <c r="K863" s="592"/>
      <c r="L863" s="592"/>
      <c r="M863" s="592"/>
      <c r="N863" s="592"/>
      <c r="O863" s="592"/>
      <c r="P863" s="592"/>
      <c r="Q863" s="592"/>
      <c r="R863" s="592"/>
      <c r="S863" s="592"/>
      <c r="T863" s="592"/>
      <c r="U863" s="12"/>
      <c r="V863" s="12"/>
      <c r="W863" s="12"/>
      <c r="X863" s="12"/>
      <c r="Y863" s="12"/>
      <c r="Z863" s="12"/>
      <c r="AA863" s="12"/>
      <c r="AB863" s="12"/>
      <c r="AC863" s="12"/>
    </row>
    <row r="864" spans="1:29" ht="12.75" customHeight="1">
      <c r="A864" s="12"/>
      <c r="B864" s="12"/>
      <c r="C864" s="12"/>
      <c r="D864" s="12"/>
      <c r="E864" s="12"/>
      <c r="F864" s="12"/>
      <c r="G864" s="12"/>
      <c r="H864" s="592"/>
      <c r="I864" s="592"/>
      <c r="J864" s="592"/>
      <c r="K864" s="592"/>
      <c r="L864" s="592"/>
      <c r="M864" s="592"/>
      <c r="N864" s="592"/>
      <c r="O864" s="592"/>
      <c r="P864" s="592"/>
      <c r="Q864" s="592"/>
      <c r="R864" s="592"/>
      <c r="S864" s="592"/>
      <c r="T864" s="592"/>
      <c r="U864" s="12"/>
      <c r="V864" s="12"/>
      <c r="W864" s="12"/>
      <c r="X864" s="12"/>
      <c r="Y864" s="12"/>
      <c r="Z864" s="12"/>
      <c r="AA864" s="12"/>
      <c r="AB864" s="12"/>
      <c r="AC864" s="12"/>
    </row>
    <row r="865" spans="1:29" ht="12.75" customHeight="1">
      <c r="A865" s="12"/>
      <c r="B865" s="12"/>
      <c r="C865" s="12"/>
      <c r="D865" s="12"/>
      <c r="E865" s="12"/>
      <c r="F865" s="12"/>
      <c r="G865" s="12"/>
      <c r="H865" s="592"/>
      <c r="I865" s="592"/>
      <c r="J865" s="592"/>
      <c r="K865" s="592"/>
      <c r="L865" s="592"/>
      <c r="M865" s="592"/>
      <c r="N865" s="592"/>
      <c r="O865" s="592"/>
      <c r="P865" s="592"/>
      <c r="Q865" s="592"/>
      <c r="R865" s="592"/>
      <c r="S865" s="592"/>
      <c r="T865" s="592"/>
      <c r="U865" s="12"/>
      <c r="V865" s="12"/>
      <c r="W865" s="12"/>
      <c r="X865" s="12"/>
      <c r="Y865" s="12"/>
      <c r="Z865" s="12"/>
      <c r="AA865" s="12"/>
      <c r="AB865" s="12"/>
      <c r="AC865" s="12"/>
    </row>
    <row r="866" spans="1:29" ht="12.75" customHeight="1">
      <c r="A866" s="12"/>
      <c r="B866" s="12"/>
      <c r="C866" s="12"/>
      <c r="D866" s="12"/>
      <c r="E866" s="12"/>
      <c r="F866" s="12"/>
      <c r="G866" s="12"/>
      <c r="H866" s="592"/>
      <c r="I866" s="592"/>
      <c r="J866" s="592"/>
      <c r="K866" s="592"/>
      <c r="L866" s="592"/>
      <c r="M866" s="592"/>
      <c r="N866" s="592"/>
      <c r="O866" s="592"/>
      <c r="P866" s="592"/>
      <c r="Q866" s="592"/>
      <c r="R866" s="592"/>
      <c r="S866" s="592"/>
      <c r="T866" s="592"/>
      <c r="U866" s="12"/>
      <c r="V866" s="12"/>
      <c r="W866" s="12"/>
      <c r="X866" s="12"/>
      <c r="Y866" s="12"/>
      <c r="Z866" s="12"/>
      <c r="AA866" s="12"/>
      <c r="AB866" s="12"/>
      <c r="AC866" s="12"/>
    </row>
    <row r="867" spans="1:29" ht="12.75" customHeight="1">
      <c r="A867" s="12"/>
      <c r="B867" s="12"/>
      <c r="C867" s="12"/>
      <c r="D867" s="12"/>
      <c r="E867" s="12"/>
      <c r="F867" s="12"/>
      <c r="G867" s="12"/>
      <c r="H867" s="592"/>
      <c r="I867" s="592"/>
      <c r="J867" s="592"/>
      <c r="K867" s="592"/>
      <c r="L867" s="592"/>
      <c r="M867" s="592"/>
      <c r="N867" s="592"/>
      <c r="O867" s="592"/>
      <c r="P867" s="592"/>
      <c r="Q867" s="592"/>
      <c r="R867" s="592"/>
      <c r="S867" s="592"/>
      <c r="T867" s="592"/>
      <c r="U867" s="12"/>
      <c r="V867" s="12"/>
      <c r="W867" s="12"/>
      <c r="X867" s="12"/>
      <c r="Y867" s="12"/>
      <c r="Z867" s="12"/>
      <c r="AA867" s="12"/>
      <c r="AB867" s="12"/>
      <c r="AC867" s="12"/>
    </row>
    <row r="868" spans="1:29" ht="12.75" customHeight="1">
      <c r="A868" s="12"/>
      <c r="B868" s="12"/>
      <c r="C868" s="12"/>
      <c r="D868" s="12"/>
      <c r="E868" s="12"/>
      <c r="F868" s="12"/>
      <c r="G868" s="12"/>
      <c r="H868" s="592"/>
      <c r="I868" s="592"/>
      <c r="J868" s="592"/>
      <c r="K868" s="592"/>
      <c r="L868" s="592"/>
      <c r="M868" s="592"/>
      <c r="N868" s="592"/>
      <c r="O868" s="592"/>
      <c r="P868" s="592"/>
      <c r="Q868" s="592"/>
      <c r="R868" s="592"/>
      <c r="S868" s="592"/>
      <c r="T868" s="592"/>
      <c r="U868" s="12"/>
      <c r="V868" s="12"/>
      <c r="W868" s="12"/>
      <c r="X868" s="12"/>
      <c r="Y868" s="12"/>
      <c r="Z868" s="12"/>
      <c r="AA868" s="12"/>
      <c r="AB868" s="12"/>
      <c r="AC868" s="12"/>
    </row>
    <row r="869" spans="1:29" ht="12.75" customHeight="1">
      <c r="A869" s="12"/>
      <c r="B869" s="12"/>
      <c r="C869" s="12"/>
      <c r="D869" s="12"/>
      <c r="E869" s="12"/>
      <c r="F869" s="12"/>
      <c r="G869" s="12"/>
      <c r="H869" s="592"/>
      <c r="I869" s="592"/>
      <c r="J869" s="592"/>
      <c r="K869" s="592"/>
      <c r="L869" s="592"/>
      <c r="M869" s="592"/>
      <c r="N869" s="592"/>
      <c r="O869" s="592"/>
      <c r="P869" s="592"/>
      <c r="Q869" s="592"/>
      <c r="R869" s="592"/>
      <c r="S869" s="592"/>
      <c r="T869" s="592"/>
      <c r="U869" s="12"/>
      <c r="V869" s="12"/>
      <c r="W869" s="12"/>
      <c r="X869" s="12"/>
      <c r="Y869" s="12"/>
      <c r="Z869" s="12"/>
      <c r="AA869" s="12"/>
      <c r="AB869" s="12"/>
      <c r="AC869" s="12"/>
    </row>
    <row r="870" spans="1:29" ht="12.75" customHeight="1">
      <c r="A870" s="12"/>
      <c r="B870" s="12"/>
      <c r="C870" s="12"/>
      <c r="D870" s="12"/>
      <c r="E870" s="12"/>
      <c r="F870" s="12"/>
      <c r="G870" s="12"/>
      <c r="H870" s="592"/>
      <c r="I870" s="592"/>
      <c r="J870" s="592"/>
      <c r="K870" s="592"/>
      <c r="L870" s="592"/>
      <c r="M870" s="592"/>
      <c r="N870" s="592"/>
      <c r="O870" s="592"/>
      <c r="P870" s="592"/>
      <c r="Q870" s="592"/>
      <c r="R870" s="592"/>
      <c r="S870" s="592"/>
      <c r="T870" s="592"/>
      <c r="U870" s="12"/>
      <c r="V870" s="12"/>
      <c r="W870" s="12"/>
      <c r="X870" s="12"/>
      <c r="Y870" s="12"/>
      <c r="Z870" s="12"/>
      <c r="AA870" s="12"/>
      <c r="AB870" s="12"/>
      <c r="AC870" s="12"/>
    </row>
    <row r="871" spans="1:29" ht="12.75" customHeight="1">
      <c r="A871" s="12"/>
      <c r="B871" s="12"/>
      <c r="C871" s="12"/>
      <c r="D871" s="12"/>
      <c r="E871" s="12"/>
      <c r="F871" s="12"/>
      <c r="G871" s="12"/>
      <c r="H871" s="592"/>
      <c r="I871" s="592"/>
      <c r="J871" s="592"/>
      <c r="K871" s="592"/>
      <c r="L871" s="592"/>
      <c r="M871" s="592"/>
      <c r="N871" s="592"/>
      <c r="O871" s="592"/>
      <c r="P871" s="592"/>
      <c r="Q871" s="592"/>
      <c r="R871" s="592"/>
      <c r="S871" s="592"/>
      <c r="T871" s="592"/>
      <c r="U871" s="12"/>
      <c r="V871" s="12"/>
      <c r="W871" s="12"/>
      <c r="X871" s="12"/>
      <c r="Y871" s="12"/>
      <c r="Z871" s="12"/>
      <c r="AA871" s="12"/>
      <c r="AB871" s="12"/>
      <c r="AC871" s="12"/>
    </row>
    <row r="872" spans="1:29" ht="12.75" customHeight="1">
      <c r="A872" s="12"/>
      <c r="B872" s="12"/>
      <c r="C872" s="12"/>
      <c r="D872" s="12"/>
      <c r="E872" s="12"/>
      <c r="F872" s="12"/>
      <c r="G872" s="12"/>
      <c r="H872" s="592"/>
      <c r="I872" s="592"/>
      <c r="J872" s="592"/>
      <c r="K872" s="592"/>
      <c r="L872" s="592"/>
      <c r="M872" s="592"/>
      <c r="N872" s="592"/>
      <c r="O872" s="592"/>
      <c r="P872" s="592"/>
      <c r="Q872" s="592"/>
      <c r="R872" s="592"/>
      <c r="S872" s="592"/>
      <c r="T872" s="592"/>
      <c r="U872" s="12"/>
      <c r="V872" s="12"/>
      <c r="W872" s="12"/>
      <c r="X872" s="12"/>
      <c r="Y872" s="12"/>
      <c r="Z872" s="12"/>
      <c r="AA872" s="12"/>
      <c r="AB872" s="12"/>
      <c r="AC872" s="12"/>
    </row>
    <row r="873" spans="1:29" ht="12.75" customHeight="1">
      <c r="A873" s="12"/>
      <c r="B873" s="12"/>
      <c r="C873" s="12"/>
      <c r="D873" s="12"/>
      <c r="E873" s="12"/>
      <c r="F873" s="12"/>
      <c r="G873" s="12"/>
      <c r="H873" s="592"/>
      <c r="I873" s="592"/>
      <c r="J873" s="592"/>
      <c r="K873" s="592"/>
      <c r="L873" s="592"/>
      <c r="M873" s="592"/>
      <c r="N873" s="592"/>
      <c r="O873" s="592"/>
      <c r="P873" s="592"/>
      <c r="Q873" s="592"/>
      <c r="R873" s="592"/>
      <c r="S873" s="592"/>
      <c r="T873" s="592"/>
      <c r="U873" s="12"/>
      <c r="V873" s="12"/>
      <c r="W873" s="12"/>
      <c r="X873" s="12"/>
      <c r="Y873" s="12"/>
      <c r="Z873" s="12"/>
      <c r="AA873" s="12"/>
      <c r="AB873" s="12"/>
      <c r="AC873" s="12"/>
    </row>
    <row r="874" spans="1:29" ht="12.75" customHeight="1">
      <c r="A874" s="12"/>
      <c r="B874" s="12"/>
      <c r="C874" s="12"/>
      <c r="D874" s="12"/>
      <c r="E874" s="12"/>
      <c r="F874" s="12"/>
      <c r="G874" s="12"/>
      <c r="H874" s="592"/>
      <c r="I874" s="592"/>
      <c r="J874" s="592"/>
      <c r="K874" s="592"/>
      <c r="L874" s="592"/>
      <c r="M874" s="592"/>
      <c r="N874" s="592"/>
      <c r="O874" s="592"/>
      <c r="P874" s="592"/>
      <c r="Q874" s="592"/>
      <c r="R874" s="592"/>
      <c r="S874" s="592"/>
      <c r="T874" s="592"/>
      <c r="U874" s="12"/>
      <c r="V874" s="12"/>
      <c r="W874" s="12"/>
      <c r="X874" s="12"/>
      <c r="Y874" s="12"/>
      <c r="Z874" s="12"/>
      <c r="AA874" s="12"/>
      <c r="AB874" s="12"/>
      <c r="AC874" s="12"/>
    </row>
    <row r="875" spans="1:29" ht="12.75" customHeight="1">
      <c r="A875" s="12"/>
      <c r="B875" s="12"/>
      <c r="C875" s="12"/>
      <c r="D875" s="12"/>
      <c r="E875" s="12"/>
      <c r="F875" s="12"/>
      <c r="G875" s="12"/>
      <c r="H875" s="592"/>
      <c r="I875" s="592"/>
      <c r="J875" s="592"/>
      <c r="K875" s="592"/>
      <c r="L875" s="592"/>
      <c r="M875" s="592"/>
      <c r="N875" s="592"/>
      <c r="O875" s="592"/>
      <c r="P875" s="592"/>
      <c r="Q875" s="592"/>
      <c r="R875" s="592"/>
      <c r="S875" s="592"/>
      <c r="T875" s="592"/>
      <c r="U875" s="12"/>
      <c r="V875" s="12"/>
      <c r="W875" s="12"/>
      <c r="X875" s="12"/>
      <c r="Y875" s="12"/>
      <c r="Z875" s="12"/>
      <c r="AA875" s="12"/>
      <c r="AB875" s="12"/>
      <c r="AC875" s="12"/>
    </row>
    <row r="876" spans="1:29" ht="12.75" customHeight="1">
      <c r="A876" s="12"/>
      <c r="B876" s="12"/>
      <c r="C876" s="12"/>
      <c r="D876" s="12"/>
      <c r="E876" s="12"/>
      <c r="F876" s="12"/>
      <c r="G876" s="12"/>
      <c r="H876" s="592"/>
      <c r="I876" s="592"/>
      <c r="J876" s="592"/>
      <c r="K876" s="592"/>
      <c r="L876" s="592"/>
      <c r="M876" s="592"/>
      <c r="N876" s="592"/>
      <c r="O876" s="592"/>
      <c r="P876" s="592"/>
      <c r="Q876" s="592"/>
      <c r="R876" s="592"/>
      <c r="S876" s="592"/>
      <c r="T876" s="592"/>
      <c r="U876" s="12"/>
      <c r="V876" s="12"/>
      <c r="W876" s="12"/>
      <c r="X876" s="12"/>
      <c r="Y876" s="12"/>
      <c r="Z876" s="12"/>
      <c r="AA876" s="12"/>
      <c r="AB876" s="12"/>
      <c r="AC876" s="12"/>
    </row>
    <row r="877" spans="1:29" ht="12.75" customHeight="1">
      <c r="A877" s="12"/>
      <c r="B877" s="12"/>
      <c r="C877" s="12"/>
      <c r="D877" s="12"/>
      <c r="E877" s="12"/>
      <c r="F877" s="12"/>
      <c r="G877" s="12"/>
      <c r="H877" s="592"/>
      <c r="I877" s="592"/>
      <c r="J877" s="592"/>
      <c r="K877" s="592"/>
      <c r="L877" s="592"/>
      <c r="M877" s="592"/>
      <c r="N877" s="592"/>
      <c r="O877" s="592"/>
      <c r="P877" s="592"/>
      <c r="Q877" s="592"/>
      <c r="R877" s="592"/>
      <c r="S877" s="592"/>
      <c r="T877" s="592"/>
      <c r="U877" s="12"/>
      <c r="V877" s="12"/>
      <c r="W877" s="12"/>
      <c r="X877" s="12"/>
      <c r="Y877" s="12"/>
      <c r="Z877" s="12"/>
      <c r="AA877" s="12"/>
      <c r="AB877" s="12"/>
      <c r="AC877" s="12"/>
    </row>
    <row r="878" spans="1:29" ht="12.75" customHeight="1">
      <c r="A878" s="12"/>
      <c r="B878" s="12"/>
      <c r="C878" s="12"/>
      <c r="D878" s="12"/>
      <c r="E878" s="12"/>
      <c r="F878" s="12"/>
      <c r="G878" s="12"/>
      <c r="H878" s="592"/>
      <c r="I878" s="592"/>
      <c r="J878" s="592"/>
      <c r="K878" s="592"/>
      <c r="L878" s="592"/>
      <c r="M878" s="592"/>
      <c r="N878" s="592"/>
      <c r="O878" s="592"/>
      <c r="P878" s="592"/>
      <c r="Q878" s="592"/>
      <c r="R878" s="592"/>
      <c r="S878" s="592"/>
      <c r="T878" s="592"/>
      <c r="U878" s="12"/>
      <c r="V878" s="12"/>
      <c r="W878" s="12"/>
      <c r="X878" s="12"/>
      <c r="Y878" s="12"/>
      <c r="Z878" s="12"/>
      <c r="AA878" s="12"/>
      <c r="AB878" s="12"/>
      <c r="AC878" s="12"/>
    </row>
    <row r="879" spans="1:29" ht="12.75" customHeight="1">
      <c r="A879" s="12"/>
      <c r="B879" s="12"/>
      <c r="C879" s="12"/>
      <c r="D879" s="12"/>
      <c r="E879" s="12"/>
      <c r="F879" s="12"/>
      <c r="G879" s="12"/>
      <c r="H879" s="592"/>
      <c r="I879" s="592"/>
      <c r="J879" s="592"/>
      <c r="K879" s="592"/>
      <c r="L879" s="592"/>
      <c r="M879" s="592"/>
      <c r="N879" s="592"/>
      <c r="O879" s="592"/>
      <c r="P879" s="592"/>
      <c r="Q879" s="592"/>
      <c r="R879" s="592"/>
      <c r="S879" s="592"/>
      <c r="T879" s="592"/>
      <c r="U879" s="12"/>
      <c r="V879" s="12"/>
      <c r="W879" s="12"/>
      <c r="X879" s="12"/>
      <c r="Y879" s="12"/>
      <c r="Z879" s="12"/>
      <c r="AA879" s="12"/>
      <c r="AB879" s="12"/>
      <c r="AC879" s="12"/>
    </row>
    <row r="880" spans="1:29" ht="12.75" customHeight="1">
      <c r="A880" s="12"/>
      <c r="B880" s="12"/>
      <c r="C880" s="12"/>
      <c r="D880" s="12"/>
      <c r="E880" s="12"/>
      <c r="F880" s="12"/>
      <c r="G880" s="12"/>
      <c r="H880" s="592"/>
      <c r="I880" s="592"/>
      <c r="J880" s="592"/>
      <c r="K880" s="592"/>
      <c r="L880" s="592"/>
      <c r="M880" s="592"/>
      <c r="N880" s="592"/>
      <c r="O880" s="592"/>
      <c r="P880" s="592"/>
      <c r="Q880" s="592"/>
      <c r="R880" s="592"/>
      <c r="S880" s="592"/>
      <c r="T880" s="592"/>
      <c r="U880" s="12"/>
      <c r="V880" s="12"/>
      <c r="W880" s="12"/>
      <c r="X880" s="12"/>
      <c r="Y880" s="12"/>
      <c r="Z880" s="12"/>
      <c r="AA880" s="12"/>
      <c r="AB880" s="12"/>
      <c r="AC880" s="12"/>
    </row>
    <row r="881" spans="1:29" ht="12.75" customHeight="1">
      <c r="A881" s="12"/>
      <c r="B881" s="12"/>
      <c r="C881" s="12"/>
      <c r="D881" s="12"/>
      <c r="E881" s="12"/>
      <c r="F881" s="12"/>
      <c r="G881" s="12"/>
      <c r="H881" s="592"/>
      <c r="I881" s="592"/>
      <c r="J881" s="592"/>
      <c r="K881" s="592"/>
      <c r="L881" s="592"/>
      <c r="M881" s="592"/>
      <c r="N881" s="592"/>
      <c r="O881" s="592"/>
      <c r="P881" s="592"/>
      <c r="Q881" s="592"/>
      <c r="R881" s="592"/>
      <c r="S881" s="592"/>
      <c r="T881" s="592"/>
      <c r="U881" s="12"/>
      <c r="V881" s="12"/>
      <c r="W881" s="12"/>
      <c r="X881" s="12"/>
      <c r="Y881" s="12"/>
      <c r="Z881" s="12"/>
      <c r="AA881" s="12"/>
      <c r="AB881" s="12"/>
      <c r="AC881" s="12"/>
    </row>
    <row r="882" spans="1:29" ht="12.75" customHeight="1">
      <c r="A882" s="12"/>
      <c r="B882" s="12"/>
      <c r="C882" s="12"/>
      <c r="D882" s="12"/>
      <c r="E882" s="12"/>
      <c r="F882" s="12"/>
      <c r="G882" s="12"/>
      <c r="H882" s="592"/>
      <c r="I882" s="592"/>
      <c r="J882" s="592"/>
      <c r="K882" s="592"/>
      <c r="L882" s="592"/>
      <c r="M882" s="592"/>
      <c r="N882" s="592"/>
      <c r="O882" s="592"/>
      <c r="P882" s="592"/>
      <c r="Q882" s="592"/>
      <c r="R882" s="592"/>
      <c r="S882" s="592"/>
      <c r="T882" s="592"/>
      <c r="U882" s="12"/>
      <c r="V882" s="12"/>
      <c r="W882" s="12"/>
      <c r="X882" s="12"/>
      <c r="Y882" s="12"/>
      <c r="Z882" s="12"/>
      <c r="AA882" s="12"/>
      <c r="AB882" s="12"/>
      <c r="AC882" s="12"/>
    </row>
    <row r="883" spans="1:29" ht="12.75" customHeight="1">
      <c r="A883" s="12"/>
      <c r="B883" s="12"/>
      <c r="C883" s="12"/>
      <c r="D883" s="12"/>
      <c r="E883" s="12"/>
      <c r="F883" s="12"/>
      <c r="G883" s="12"/>
      <c r="H883" s="592"/>
      <c r="I883" s="592"/>
      <c r="J883" s="592"/>
      <c r="K883" s="592"/>
      <c r="L883" s="592"/>
      <c r="M883" s="592"/>
      <c r="N883" s="592"/>
      <c r="O883" s="592"/>
      <c r="P883" s="592"/>
      <c r="Q883" s="592"/>
      <c r="R883" s="592"/>
      <c r="S883" s="592"/>
      <c r="T883" s="592"/>
      <c r="U883" s="12"/>
      <c r="V883" s="12"/>
      <c r="W883" s="12"/>
      <c r="X883" s="12"/>
      <c r="Y883" s="12"/>
      <c r="Z883" s="12"/>
      <c r="AA883" s="12"/>
      <c r="AB883" s="12"/>
      <c r="AC883" s="12"/>
    </row>
    <row r="884" spans="1:29" ht="12.75" customHeight="1">
      <c r="A884" s="12"/>
      <c r="B884" s="12"/>
      <c r="C884" s="12"/>
      <c r="D884" s="12"/>
      <c r="E884" s="12"/>
      <c r="F884" s="12"/>
      <c r="G884" s="12"/>
      <c r="H884" s="592"/>
      <c r="I884" s="592"/>
      <c r="J884" s="592"/>
      <c r="K884" s="592"/>
      <c r="L884" s="592"/>
      <c r="M884" s="592"/>
      <c r="N884" s="592"/>
      <c r="O884" s="592"/>
      <c r="P884" s="592"/>
      <c r="Q884" s="592"/>
      <c r="R884" s="592"/>
      <c r="S884" s="592"/>
      <c r="T884" s="592"/>
      <c r="U884" s="12"/>
      <c r="V884" s="12"/>
      <c r="W884" s="12"/>
      <c r="X884" s="12"/>
      <c r="Y884" s="12"/>
      <c r="Z884" s="12"/>
      <c r="AA884" s="12"/>
      <c r="AB884" s="12"/>
      <c r="AC884" s="12"/>
    </row>
    <row r="885" spans="1:29" ht="12.75" customHeight="1">
      <c r="A885" s="12"/>
      <c r="B885" s="12"/>
      <c r="C885" s="12"/>
      <c r="D885" s="12"/>
      <c r="E885" s="12"/>
      <c r="F885" s="12"/>
      <c r="G885" s="12"/>
      <c r="H885" s="592"/>
      <c r="I885" s="592"/>
      <c r="J885" s="592"/>
      <c r="K885" s="592"/>
      <c r="L885" s="592"/>
      <c r="M885" s="592"/>
      <c r="N885" s="592"/>
      <c r="O885" s="592"/>
      <c r="P885" s="592"/>
      <c r="Q885" s="592"/>
      <c r="R885" s="592"/>
      <c r="S885" s="592"/>
      <c r="T885" s="592"/>
      <c r="U885" s="12"/>
      <c r="V885" s="12"/>
      <c r="W885" s="12"/>
      <c r="X885" s="12"/>
      <c r="Y885" s="12"/>
      <c r="Z885" s="12"/>
      <c r="AA885" s="12"/>
      <c r="AB885" s="12"/>
      <c r="AC885" s="12"/>
    </row>
    <row r="886" spans="1:29" ht="12.75" customHeight="1">
      <c r="A886" s="12"/>
      <c r="B886" s="12"/>
      <c r="C886" s="12"/>
      <c r="D886" s="12"/>
      <c r="E886" s="12"/>
      <c r="F886" s="12"/>
      <c r="G886" s="12"/>
      <c r="H886" s="592"/>
      <c r="I886" s="592"/>
      <c r="J886" s="592"/>
      <c r="K886" s="592"/>
      <c r="L886" s="592"/>
      <c r="M886" s="592"/>
      <c r="N886" s="592"/>
      <c r="O886" s="592"/>
      <c r="P886" s="592"/>
      <c r="Q886" s="592"/>
      <c r="R886" s="592"/>
      <c r="S886" s="592"/>
      <c r="T886" s="592"/>
      <c r="U886" s="12"/>
      <c r="V886" s="12"/>
      <c r="W886" s="12"/>
      <c r="X886" s="12"/>
      <c r="Y886" s="12"/>
      <c r="Z886" s="12"/>
      <c r="AA886" s="12"/>
      <c r="AB886" s="12"/>
      <c r="AC886" s="12"/>
    </row>
    <row r="887" spans="1:29" ht="12.75" customHeight="1">
      <c r="A887" s="12"/>
      <c r="B887" s="12"/>
      <c r="C887" s="12"/>
      <c r="D887" s="12"/>
      <c r="E887" s="12"/>
      <c r="F887" s="12"/>
      <c r="G887" s="12"/>
      <c r="H887" s="592"/>
      <c r="I887" s="592"/>
      <c r="J887" s="592"/>
      <c r="K887" s="592"/>
      <c r="L887" s="592"/>
      <c r="M887" s="592"/>
      <c r="N887" s="592"/>
      <c r="O887" s="592"/>
      <c r="P887" s="592"/>
      <c r="Q887" s="592"/>
      <c r="R887" s="592"/>
      <c r="S887" s="592"/>
      <c r="T887" s="592"/>
      <c r="U887" s="12"/>
      <c r="V887" s="12"/>
      <c r="W887" s="12"/>
      <c r="X887" s="12"/>
      <c r="Y887" s="12"/>
      <c r="Z887" s="12"/>
      <c r="AA887" s="12"/>
      <c r="AB887" s="12"/>
      <c r="AC887" s="12"/>
    </row>
    <row r="888" spans="1:29" ht="12.75" customHeight="1">
      <c r="A888" s="12"/>
      <c r="B888" s="12"/>
      <c r="C888" s="12"/>
      <c r="D888" s="12"/>
      <c r="E888" s="12"/>
      <c r="F888" s="12"/>
      <c r="G888" s="12"/>
      <c r="H888" s="592"/>
      <c r="I888" s="592"/>
      <c r="J888" s="592"/>
      <c r="K888" s="592"/>
      <c r="L888" s="592"/>
      <c r="M888" s="592"/>
      <c r="N888" s="592"/>
      <c r="O888" s="592"/>
      <c r="P888" s="592"/>
      <c r="Q888" s="592"/>
      <c r="R888" s="592"/>
      <c r="S888" s="592"/>
      <c r="T888" s="592"/>
      <c r="U888" s="12"/>
      <c r="V888" s="12"/>
      <c r="W888" s="12"/>
      <c r="X888" s="12"/>
      <c r="Y888" s="12"/>
      <c r="Z888" s="12"/>
      <c r="AA888" s="12"/>
      <c r="AB888" s="12"/>
      <c r="AC888" s="12"/>
    </row>
    <row r="889" spans="1:29" ht="12.75" customHeight="1">
      <c r="A889" s="12"/>
      <c r="B889" s="12"/>
      <c r="C889" s="12"/>
      <c r="D889" s="12"/>
      <c r="E889" s="12"/>
      <c r="F889" s="12"/>
      <c r="G889" s="12"/>
      <c r="H889" s="592"/>
      <c r="I889" s="592"/>
      <c r="J889" s="592"/>
      <c r="K889" s="592"/>
      <c r="L889" s="592"/>
      <c r="M889" s="592"/>
      <c r="N889" s="592"/>
      <c r="O889" s="592"/>
      <c r="P889" s="592"/>
      <c r="Q889" s="592"/>
      <c r="R889" s="592"/>
      <c r="S889" s="592"/>
      <c r="T889" s="592"/>
      <c r="U889" s="12"/>
      <c r="V889" s="12"/>
      <c r="W889" s="12"/>
      <c r="X889" s="12"/>
      <c r="Y889" s="12"/>
      <c r="Z889" s="12"/>
      <c r="AA889" s="12"/>
      <c r="AB889" s="12"/>
      <c r="AC889" s="12"/>
    </row>
    <row r="890" spans="1:29" ht="12.75" customHeight="1">
      <c r="A890" s="12"/>
      <c r="B890" s="12"/>
      <c r="C890" s="12"/>
      <c r="D890" s="12"/>
      <c r="E890" s="12"/>
      <c r="F890" s="12"/>
      <c r="G890" s="12"/>
      <c r="H890" s="592"/>
      <c r="I890" s="592"/>
      <c r="J890" s="592"/>
      <c r="K890" s="592"/>
      <c r="L890" s="592"/>
      <c r="M890" s="592"/>
      <c r="N890" s="592"/>
      <c r="O890" s="592"/>
      <c r="P890" s="592"/>
      <c r="Q890" s="592"/>
      <c r="R890" s="592"/>
      <c r="S890" s="592"/>
      <c r="T890" s="592"/>
      <c r="U890" s="12"/>
      <c r="V890" s="12"/>
      <c r="W890" s="12"/>
      <c r="X890" s="12"/>
      <c r="Y890" s="12"/>
      <c r="Z890" s="12"/>
      <c r="AA890" s="12"/>
      <c r="AB890" s="12"/>
      <c r="AC890" s="12"/>
    </row>
    <row r="891" spans="1:29" ht="12.75" customHeight="1">
      <c r="A891" s="12"/>
      <c r="B891" s="12"/>
      <c r="C891" s="12"/>
      <c r="D891" s="12"/>
      <c r="E891" s="12"/>
      <c r="F891" s="12"/>
      <c r="G891" s="12"/>
      <c r="H891" s="592"/>
      <c r="I891" s="592"/>
      <c r="J891" s="592"/>
      <c r="K891" s="592"/>
      <c r="L891" s="592"/>
      <c r="M891" s="592"/>
      <c r="N891" s="592"/>
      <c r="O891" s="592"/>
      <c r="P891" s="592"/>
      <c r="Q891" s="592"/>
      <c r="R891" s="592"/>
      <c r="S891" s="592"/>
      <c r="T891" s="592"/>
      <c r="U891" s="12"/>
      <c r="V891" s="12"/>
      <c r="W891" s="12"/>
      <c r="X891" s="12"/>
      <c r="Y891" s="12"/>
      <c r="Z891" s="12"/>
      <c r="AA891" s="12"/>
      <c r="AB891" s="12"/>
      <c r="AC891" s="12"/>
    </row>
    <row r="892" spans="1:29" ht="12.75" customHeight="1">
      <c r="A892" s="12"/>
      <c r="B892" s="12"/>
      <c r="C892" s="12"/>
      <c r="D892" s="12"/>
      <c r="E892" s="12"/>
      <c r="F892" s="12"/>
      <c r="G892" s="12"/>
      <c r="H892" s="592"/>
      <c r="I892" s="592"/>
      <c r="J892" s="592"/>
      <c r="K892" s="592"/>
      <c r="L892" s="592"/>
      <c r="M892" s="592"/>
      <c r="N892" s="592"/>
      <c r="O892" s="592"/>
      <c r="P892" s="592"/>
      <c r="Q892" s="592"/>
      <c r="R892" s="592"/>
      <c r="S892" s="592"/>
      <c r="T892" s="592"/>
      <c r="U892" s="12"/>
      <c r="V892" s="12"/>
      <c r="W892" s="12"/>
      <c r="X892" s="12"/>
      <c r="Y892" s="12"/>
      <c r="Z892" s="12"/>
      <c r="AA892" s="12"/>
      <c r="AB892" s="12"/>
      <c r="AC892" s="12"/>
    </row>
    <row r="893" spans="1:29" ht="12.75" customHeight="1">
      <c r="A893" s="12"/>
      <c r="B893" s="12"/>
      <c r="C893" s="12"/>
      <c r="D893" s="12"/>
      <c r="E893" s="12"/>
      <c r="F893" s="12"/>
      <c r="G893" s="12"/>
      <c r="H893" s="592"/>
      <c r="I893" s="592"/>
      <c r="J893" s="592"/>
      <c r="K893" s="592"/>
      <c r="L893" s="592"/>
      <c r="M893" s="592"/>
      <c r="N893" s="592"/>
      <c r="O893" s="592"/>
      <c r="P893" s="592"/>
      <c r="Q893" s="592"/>
      <c r="R893" s="592"/>
      <c r="S893" s="592"/>
      <c r="T893" s="592"/>
      <c r="U893" s="12"/>
      <c r="V893" s="12"/>
      <c r="W893" s="12"/>
      <c r="X893" s="12"/>
      <c r="Y893" s="12"/>
      <c r="Z893" s="12"/>
      <c r="AA893" s="12"/>
      <c r="AB893" s="12"/>
      <c r="AC893" s="12"/>
    </row>
    <row r="894" spans="1:29" ht="12.75" customHeight="1">
      <c r="A894" s="12"/>
      <c r="B894" s="12"/>
      <c r="C894" s="12"/>
      <c r="D894" s="12"/>
      <c r="E894" s="12"/>
      <c r="F894" s="12"/>
      <c r="G894" s="12"/>
      <c r="H894" s="592"/>
      <c r="I894" s="592"/>
      <c r="J894" s="592"/>
      <c r="K894" s="592"/>
      <c r="L894" s="592"/>
      <c r="M894" s="592"/>
      <c r="N894" s="592"/>
      <c r="O894" s="592"/>
      <c r="P894" s="592"/>
      <c r="Q894" s="592"/>
      <c r="R894" s="592"/>
      <c r="S894" s="592"/>
      <c r="T894" s="592"/>
      <c r="U894" s="12"/>
      <c r="V894" s="12"/>
      <c r="W894" s="12"/>
      <c r="X894" s="12"/>
      <c r="Y894" s="12"/>
      <c r="Z894" s="12"/>
      <c r="AA894" s="12"/>
      <c r="AB894" s="12"/>
      <c r="AC894" s="12"/>
    </row>
    <row r="895" spans="1:29" ht="12.75" customHeight="1">
      <c r="A895" s="12"/>
      <c r="B895" s="12"/>
      <c r="C895" s="12"/>
      <c r="D895" s="12"/>
      <c r="E895" s="12"/>
      <c r="F895" s="12"/>
      <c r="G895" s="12"/>
      <c r="H895" s="592"/>
      <c r="I895" s="592"/>
      <c r="J895" s="592"/>
      <c r="K895" s="592"/>
      <c r="L895" s="592"/>
      <c r="M895" s="592"/>
      <c r="N895" s="592"/>
      <c r="O895" s="592"/>
      <c r="P895" s="592"/>
      <c r="Q895" s="592"/>
      <c r="R895" s="592"/>
      <c r="S895" s="592"/>
      <c r="T895" s="592"/>
      <c r="U895" s="12"/>
      <c r="V895" s="12"/>
      <c r="W895" s="12"/>
      <c r="X895" s="12"/>
      <c r="Y895" s="12"/>
      <c r="Z895" s="12"/>
      <c r="AA895" s="12"/>
      <c r="AB895" s="12"/>
      <c r="AC895" s="12"/>
    </row>
    <row r="896" spans="1:29" ht="12.75" customHeight="1">
      <c r="A896" s="12"/>
      <c r="B896" s="12"/>
      <c r="C896" s="12"/>
      <c r="D896" s="12"/>
      <c r="E896" s="12"/>
      <c r="F896" s="12"/>
      <c r="G896" s="12"/>
      <c r="H896" s="592"/>
      <c r="I896" s="592"/>
      <c r="J896" s="592"/>
      <c r="K896" s="592"/>
      <c r="L896" s="592"/>
      <c r="M896" s="592"/>
      <c r="N896" s="592"/>
      <c r="O896" s="592"/>
      <c r="P896" s="592"/>
      <c r="Q896" s="592"/>
      <c r="R896" s="592"/>
      <c r="S896" s="592"/>
      <c r="T896" s="592"/>
      <c r="U896" s="12"/>
      <c r="V896" s="12"/>
      <c r="W896" s="12"/>
      <c r="X896" s="12"/>
      <c r="Y896" s="12"/>
      <c r="Z896" s="12"/>
      <c r="AA896" s="12"/>
      <c r="AB896" s="12"/>
      <c r="AC896" s="12"/>
    </row>
    <row r="897" spans="1:29" ht="12.75" customHeight="1">
      <c r="A897" s="12"/>
      <c r="B897" s="12"/>
      <c r="C897" s="12"/>
      <c r="D897" s="12"/>
      <c r="E897" s="12"/>
      <c r="F897" s="12"/>
      <c r="G897" s="12"/>
      <c r="H897" s="592"/>
      <c r="I897" s="592"/>
      <c r="J897" s="592"/>
      <c r="K897" s="592"/>
      <c r="L897" s="592"/>
      <c r="M897" s="592"/>
      <c r="N897" s="592"/>
      <c r="O897" s="592"/>
      <c r="P897" s="592"/>
      <c r="Q897" s="592"/>
      <c r="R897" s="592"/>
      <c r="S897" s="592"/>
      <c r="T897" s="592"/>
      <c r="U897" s="12"/>
      <c r="V897" s="12"/>
      <c r="W897" s="12"/>
      <c r="X897" s="12"/>
      <c r="Y897" s="12"/>
      <c r="Z897" s="12"/>
      <c r="AA897" s="12"/>
      <c r="AB897" s="12"/>
      <c r="AC897" s="12"/>
    </row>
    <row r="898" spans="1:29" ht="12.75" customHeight="1">
      <c r="A898" s="12"/>
      <c r="B898" s="12"/>
      <c r="C898" s="12"/>
      <c r="D898" s="12"/>
      <c r="E898" s="12"/>
      <c r="F898" s="12"/>
      <c r="G898" s="12"/>
      <c r="H898" s="592"/>
      <c r="I898" s="592"/>
      <c r="J898" s="592"/>
      <c r="K898" s="592"/>
      <c r="L898" s="592"/>
      <c r="M898" s="592"/>
      <c r="N898" s="592"/>
      <c r="O898" s="592"/>
      <c r="P898" s="592"/>
      <c r="Q898" s="592"/>
      <c r="R898" s="592"/>
      <c r="S898" s="592"/>
      <c r="T898" s="592"/>
      <c r="U898" s="12"/>
      <c r="V898" s="12"/>
      <c r="W898" s="12"/>
      <c r="X898" s="12"/>
      <c r="Y898" s="12"/>
      <c r="Z898" s="12"/>
      <c r="AA898" s="12"/>
      <c r="AB898" s="12"/>
      <c r="AC898" s="12"/>
    </row>
    <row r="899" spans="1:29" ht="12.75" customHeight="1">
      <c r="A899" s="12"/>
      <c r="B899" s="12"/>
      <c r="C899" s="12"/>
      <c r="D899" s="12"/>
      <c r="E899" s="12"/>
      <c r="F899" s="12"/>
      <c r="G899" s="12"/>
      <c r="H899" s="592"/>
      <c r="I899" s="592"/>
      <c r="J899" s="592"/>
      <c r="K899" s="592"/>
      <c r="L899" s="592"/>
      <c r="M899" s="592"/>
      <c r="N899" s="592"/>
      <c r="O899" s="592"/>
      <c r="P899" s="592"/>
      <c r="Q899" s="592"/>
      <c r="R899" s="592"/>
      <c r="S899" s="592"/>
      <c r="T899" s="592"/>
      <c r="U899" s="12"/>
      <c r="V899" s="12"/>
      <c r="W899" s="12"/>
      <c r="X899" s="12"/>
      <c r="Y899" s="12"/>
      <c r="Z899" s="12"/>
      <c r="AA899" s="12"/>
      <c r="AB899" s="12"/>
      <c r="AC899" s="12"/>
    </row>
    <row r="900" spans="1:29" ht="12.75" customHeight="1">
      <c r="A900" s="12"/>
      <c r="B900" s="12"/>
      <c r="C900" s="12"/>
      <c r="D900" s="12"/>
      <c r="E900" s="12"/>
      <c r="F900" s="12"/>
      <c r="G900" s="12"/>
      <c r="H900" s="592"/>
      <c r="I900" s="592"/>
      <c r="J900" s="592"/>
      <c r="K900" s="592"/>
      <c r="L900" s="592"/>
      <c r="M900" s="592"/>
      <c r="N900" s="592"/>
      <c r="O900" s="592"/>
      <c r="P900" s="592"/>
      <c r="Q900" s="592"/>
      <c r="R900" s="592"/>
      <c r="S900" s="592"/>
      <c r="T900" s="592"/>
      <c r="U900" s="12"/>
      <c r="V900" s="12"/>
      <c r="W900" s="12"/>
      <c r="X900" s="12"/>
      <c r="Y900" s="12"/>
      <c r="Z900" s="12"/>
      <c r="AA900" s="12"/>
      <c r="AB900" s="12"/>
      <c r="AC900" s="12"/>
    </row>
    <row r="901" spans="1:29" ht="12.75" customHeight="1">
      <c r="A901" s="12"/>
      <c r="B901" s="12"/>
      <c r="C901" s="12"/>
      <c r="D901" s="12"/>
      <c r="E901" s="12"/>
      <c r="F901" s="12"/>
      <c r="G901" s="12"/>
      <c r="H901" s="592"/>
      <c r="I901" s="592"/>
      <c r="J901" s="592"/>
      <c r="K901" s="592"/>
      <c r="L901" s="592"/>
      <c r="M901" s="592"/>
      <c r="N901" s="592"/>
      <c r="O901" s="592"/>
      <c r="P901" s="592"/>
      <c r="Q901" s="592"/>
      <c r="R901" s="592"/>
      <c r="S901" s="592"/>
      <c r="T901" s="592"/>
      <c r="U901" s="12"/>
      <c r="V901" s="12"/>
      <c r="W901" s="12"/>
      <c r="X901" s="12"/>
      <c r="Y901" s="12"/>
      <c r="Z901" s="12"/>
      <c r="AA901" s="12"/>
      <c r="AB901" s="12"/>
      <c r="AC901" s="12"/>
    </row>
    <row r="902" spans="1:29" ht="12.75" customHeight="1">
      <c r="A902" s="12"/>
      <c r="B902" s="12"/>
      <c r="C902" s="12"/>
      <c r="D902" s="12"/>
      <c r="E902" s="12"/>
      <c r="F902" s="12"/>
      <c r="G902" s="12"/>
      <c r="H902" s="592"/>
      <c r="I902" s="592"/>
      <c r="J902" s="592"/>
      <c r="K902" s="592"/>
      <c r="L902" s="592"/>
      <c r="M902" s="592"/>
      <c r="N902" s="592"/>
      <c r="O902" s="592"/>
      <c r="P902" s="592"/>
      <c r="Q902" s="592"/>
      <c r="R902" s="592"/>
      <c r="S902" s="592"/>
      <c r="T902" s="592"/>
      <c r="U902" s="12"/>
      <c r="V902" s="12"/>
      <c r="W902" s="12"/>
      <c r="X902" s="12"/>
      <c r="Y902" s="12"/>
      <c r="Z902" s="12"/>
      <c r="AA902" s="12"/>
      <c r="AB902" s="12"/>
      <c r="AC902" s="12"/>
    </row>
    <row r="903" spans="1:29" ht="12.75" customHeight="1">
      <c r="A903" s="12"/>
      <c r="B903" s="12"/>
      <c r="C903" s="12"/>
      <c r="D903" s="12"/>
      <c r="E903" s="12"/>
      <c r="F903" s="12"/>
      <c r="G903" s="12"/>
      <c r="H903" s="592"/>
      <c r="I903" s="592"/>
      <c r="J903" s="592"/>
      <c r="K903" s="592"/>
      <c r="L903" s="592"/>
      <c r="M903" s="592"/>
      <c r="N903" s="592"/>
      <c r="O903" s="592"/>
      <c r="P903" s="592"/>
      <c r="Q903" s="592"/>
      <c r="R903" s="592"/>
      <c r="S903" s="592"/>
      <c r="T903" s="592"/>
      <c r="U903" s="12"/>
      <c r="V903" s="12"/>
      <c r="W903" s="12"/>
      <c r="X903" s="12"/>
      <c r="Y903" s="12"/>
      <c r="Z903" s="12"/>
      <c r="AA903" s="12"/>
      <c r="AB903" s="12"/>
      <c r="AC903" s="12"/>
    </row>
    <row r="904" spans="1:29" ht="12.75" customHeight="1">
      <c r="A904" s="12"/>
      <c r="B904" s="12"/>
      <c r="C904" s="12"/>
      <c r="D904" s="12"/>
      <c r="E904" s="12"/>
      <c r="F904" s="12"/>
      <c r="G904" s="12"/>
      <c r="H904" s="592"/>
      <c r="I904" s="592"/>
      <c r="J904" s="592"/>
      <c r="K904" s="592"/>
      <c r="L904" s="592"/>
      <c r="M904" s="592"/>
      <c r="N904" s="592"/>
      <c r="O904" s="592"/>
      <c r="P904" s="592"/>
      <c r="Q904" s="592"/>
      <c r="R904" s="592"/>
      <c r="S904" s="592"/>
      <c r="T904" s="592"/>
      <c r="U904" s="12"/>
      <c r="V904" s="12"/>
      <c r="W904" s="12"/>
      <c r="X904" s="12"/>
      <c r="Y904" s="12"/>
      <c r="Z904" s="12"/>
      <c r="AA904" s="12"/>
      <c r="AB904" s="12"/>
      <c r="AC904" s="12"/>
    </row>
    <row r="905" spans="1:29" ht="12.75" customHeight="1">
      <c r="A905" s="12"/>
      <c r="B905" s="12"/>
      <c r="C905" s="12"/>
      <c r="D905" s="12"/>
      <c r="E905" s="12"/>
      <c r="F905" s="12"/>
      <c r="G905" s="12"/>
      <c r="H905" s="592"/>
      <c r="I905" s="592"/>
      <c r="J905" s="592"/>
      <c r="K905" s="592"/>
      <c r="L905" s="592"/>
      <c r="M905" s="592"/>
      <c r="N905" s="592"/>
      <c r="O905" s="592"/>
      <c r="P905" s="592"/>
      <c r="Q905" s="592"/>
      <c r="R905" s="592"/>
      <c r="S905" s="592"/>
      <c r="T905" s="592"/>
      <c r="U905" s="12"/>
      <c r="V905" s="12"/>
      <c r="W905" s="12"/>
      <c r="X905" s="12"/>
      <c r="Y905" s="12"/>
      <c r="Z905" s="12"/>
      <c r="AA905" s="12"/>
      <c r="AB905" s="12"/>
      <c r="AC905" s="12"/>
    </row>
    <row r="906" spans="1:29" ht="12.75" customHeight="1">
      <c r="A906" s="12"/>
      <c r="B906" s="12"/>
      <c r="C906" s="12"/>
      <c r="D906" s="12"/>
      <c r="E906" s="12"/>
      <c r="F906" s="12"/>
      <c r="G906" s="12"/>
      <c r="H906" s="592"/>
      <c r="I906" s="592"/>
      <c r="J906" s="592"/>
      <c r="K906" s="592"/>
      <c r="L906" s="592"/>
      <c r="M906" s="592"/>
      <c r="N906" s="592"/>
      <c r="O906" s="592"/>
      <c r="P906" s="592"/>
      <c r="Q906" s="592"/>
      <c r="R906" s="592"/>
      <c r="S906" s="592"/>
      <c r="T906" s="592"/>
      <c r="U906" s="12"/>
      <c r="V906" s="12"/>
      <c r="W906" s="12"/>
      <c r="X906" s="12"/>
      <c r="Y906" s="12"/>
      <c r="Z906" s="12"/>
      <c r="AA906" s="12"/>
      <c r="AB906" s="12"/>
      <c r="AC906" s="12"/>
    </row>
    <row r="907" spans="1:29" ht="12.75" customHeight="1">
      <c r="A907" s="12"/>
      <c r="B907" s="12"/>
      <c r="C907" s="12"/>
      <c r="D907" s="12"/>
      <c r="E907" s="12"/>
      <c r="F907" s="12"/>
      <c r="G907" s="12"/>
      <c r="H907" s="592"/>
      <c r="I907" s="592"/>
      <c r="J907" s="592"/>
      <c r="K907" s="592"/>
      <c r="L907" s="592"/>
      <c r="M907" s="592"/>
      <c r="N907" s="592"/>
      <c r="O907" s="592"/>
      <c r="P907" s="592"/>
      <c r="Q907" s="592"/>
      <c r="R907" s="592"/>
      <c r="S907" s="592"/>
      <c r="T907" s="592"/>
      <c r="U907" s="12"/>
      <c r="V907" s="12"/>
      <c r="W907" s="12"/>
      <c r="X907" s="12"/>
      <c r="Y907" s="12"/>
      <c r="Z907" s="12"/>
      <c r="AA907" s="12"/>
      <c r="AB907" s="12"/>
      <c r="AC907" s="12"/>
    </row>
    <row r="908" spans="1:29" ht="12.75" customHeight="1">
      <c r="A908" s="12"/>
      <c r="B908" s="12"/>
      <c r="C908" s="12"/>
      <c r="D908" s="12"/>
      <c r="E908" s="12"/>
      <c r="F908" s="12"/>
      <c r="G908" s="12"/>
      <c r="H908" s="592"/>
      <c r="I908" s="592"/>
      <c r="J908" s="592"/>
      <c r="K908" s="592"/>
      <c r="L908" s="592"/>
      <c r="M908" s="592"/>
      <c r="N908" s="592"/>
      <c r="O908" s="592"/>
      <c r="P908" s="592"/>
      <c r="Q908" s="592"/>
      <c r="R908" s="592"/>
      <c r="S908" s="592"/>
      <c r="T908" s="592"/>
      <c r="U908" s="12"/>
      <c r="V908" s="12"/>
      <c r="W908" s="12"/>
      <c r="X908" s="12"/>
      <c r="Y908" s="12"/>
      <c r="Z908" s="12"/>
      <c r="AA908" s="12"/>
      <c r="AB908" s="12"/>
      <c r="AC908" s="12"/>
    </row>
    <row r="909" spans="1:29" ht="12.75" customHeight="1">
      <c r="A909" s="12"/>
      <c r="B909" s="12"/>
      <c r="C909" s="12"/>
      <c r="D909" s="12"/>
      <c r="E909" s="12"/>
      <c r="F909" s="12"/>
      <c r="G909" s="12"/>
      <c r="H909" s="592"/>
      <c r="I909" s="592"/>
      <c r="J909" s="592"/>
      <c r="K909" s="592"/>
      <c r="L909" s="592"/>
      <c r="M909" s="592"/>
      <c r="N909" s="592"/>
      <c r="O909" s="592"/>
      <c r="P909" s="592"/>
      <c r="Q909" s="592"/>
      <c r="R909" s="592"/>
      <c r="S909" s="592"/>
      <c r="T909" s="592"/>
      <c r="U909" s="12"/>
      <c r="V909" s="12"/>
      <c r="W909" s="12"/>
      <c r="X909" s="12"/>
      <c r="Y909" s="12"/>
      <c r="Z909" s="12"/>
      <c r="AA909" s="12"/>
      <c r="AB909" s="12"/>
      <c r="AC909" s="12"/>
    </row>
    <row r="910" spans="1:29" ht="12.75" customHeight="1">
      <c r="A910" s="12"/>
      <c r="B910" s="12"/>
      <c r="C910" s="12"/>
      <c r="D910" s="12"/>
      <c r="E910" s="12"/>
      <c r="F910" s="12"/>
      <c r="G910" s="12"/>
      <c r="H910" s="592"/>
      <c r="I910" s="592"/>
      <c r="J910" s="592"/>
      <c r="K910" s="592"/>
      <c r="L910" s="592"/>
      <c r="M910" s="592"/>
      <c r="N910" s="592"/>
      <c r="O910" s="592"/>
      <c r="P910" s="592"/>
      <c r="Q910" s="592"/>
      <c r="R910" s="592"/>
      <c r="S910" s="592"/>
      <c r="T910" s="592"/>
      <c r="U910" s="12"/>
      <c r="V910" s="12"/>
      <c r="W910" s="12"/>
      <c r="X910" s="12"/>
      <c r="Y910" s="12"/>
      <c r="Z910" s="12"/>
      <c r="AA910" s="12"/>
      <c r="AB910" s="12"/>
      <c r="AC910" s="12"/>
    </row>
    <row r="911" spans="1:29" ht="12.75" customHeight="1">
      <c r="A911" s="12"/>
      <c r="B911" s="12"/>
      <c r="C911" s="12"/>
      <c r="D911" s="12"/>
      <c r="E911" s="12"/>
      <c r="F911" s="12"/>
      <c r="G911" s="12"/>
      <c r="H911" s="592"/>
      <c r="I911" s="592"/>
      <c r="J911" s="592"/>
      <c r="K911" s="592"/>
      <c r="L911" s="592"/>
      <c r="M911" s="592"/>
      <c r="N911" s="592"/>
      <c r="O911" s="592"/>
      <c r="P911" s="592"/>
      <c r="Q911" s="592"/>
      <c r="R911" s="592"/>
      <c r="S911" s="592"/>
      <c r="T911" s="592"/>
      <c r="U911" s="12"/>
      <c r="V911" s="12"/>
      <c r="W911" s="12"/>
      <c r="X911" s="12"/>
      <c r="Y911" s="12"/>
      <c r="Z911" s="12"/>
      <c r="AA911" s="12"/>
      <c r="AB911" s="12"/>
      <c r="AC911" s="12"/>
    </row>
    <row r="912" spans="1:29" ht="12.75" customHeight="1">
      <c r="A912" s="12"/>
      <c r="B912" s="12"/>
      <c r="C912" s="12"/>
      <c r="D912" s="12"/>
      <c r="E912" s="12"/>
      <c r="F912" s="12"/>
      <c r="G912" s="12"/>
      <c r="H912" s="592"/>
      <c r="I912" s="592"/>
      <c r="J912" s="592"/>
      <c r="K912" s="592"/>
      <c r="L912" s="592"/>
      <c r="M912" s="592"/>
      <c r="N912" s="592"/>
      <c r="O912" s="592"/>
      <c r="P912" s="592"/>
      <c r="Q912" s="592"/>
      <c r="R912" s="592"/>
      <c r="S912" s="592"/>
      <c r="T912" s="592"/>
      <c r="U912" s="12"/>
      <c r="V912" s="12"/>
      <c r="W912" s="12"/>
      <c r="X912" s="12"/>
      <c r="Y912" s="12"/>
      <c r="Z912" s="12"/>
      <c r="AA912" s="12"/>
      <c r="AB912" s="12"/>
      <c r="AC912" s="12"/>
    </row>
    <row r="913" spans="1:29" ht="12.75" customHeight="1">
      <c r="A913" s="12"/>
      <c r="B913" s="12"/>
      <c r="C913" s="12"/>
      <c r="D913" s="12"/>
      <c r="E913" s="12"/>
      <c r="F913" s="12"/>
      <c r="G913" s="12"/>
      <c r="H913" s="592"/>
      <c r="I913" s="592"/>
      <c r="J913" s="592"/>
      <c r="K913" s="592"/>
      <c r="L913" s="592"/>
      <c r="M913" s="592"/>
      <c r="N913" s="592"/>
      <c r="O913" s="592"/>
      <c r="P913" s="592"/>
      <c r="Q913" s="592"/>
      <c r="R913" s="592"/>
      <c r="S913" s="592"/>
      <c r="T913" s="592"/>
      <c r="U913" s="12"/>
      <c r="V913" s="12"/>
      <c r="W913" s="12"/>
      <c r="X913" s="12"/>
      <c r="Y913" s="12"/>
      <c r="Z913" s="12"/>
      <c r="AA913" s="12"/>
      <c r="AB913" s="12"/>
      <c r="AC913" s="12"/>
    </row>
    <row r="914" spans="1:29" ht="12.75" customHeight="1">
      <c r="A914" s="12"/>
      <c r="B914" s="12"/>
      <c r="C914" s="12"/>
      <c r="D914" s="12"/>
      <c r="E914" s="12"/>
      <c r="F914" s="12"/>
      <c r="G914" s="12"/>
      <c r="H914" s="592"/>
      <c r="I914" s="592"/>
      <c r="J914" s="592"/>
      <c r="K914" s="592"/>
      <c r="L914" s="592"/>
      <c r="M914" s="592"/>
      <c r="N914" s="592"/>
      <c r="O914" s="592"/>
      <c r="P914" s="592"/>
      <c r="Q914" s="592"/>
      <c r="R914" s="592"/>
      <c r="S914" s="592"/>
      <c r="T914" s="592"/>
      <c r="U914" s="12"/>
      <c r="V914" s="12"/>
      <c r="W914" s="12"/>
      <c r="X914" s="12"/>
      <c r="Y914" s="12"/>
      <c r="Z914" s="12"/>
      <c r="AA914" s="12"/>
      <c r="AB914" s="12"/>
      <c r="AC914" s="12"/>
    </row>
    <row r="915" spans="1:29" ht="12.75" customHeight="1">
      <c r="A915" s="12"/>
      <c r="B915" s="12"/>
      <c r="C915" s="12"/>
      <c r="D915" s="12"/>
      <c r="E915" s="12"/>
      <c r="F915" s="12"/>
      <c r="G915" s="12"/>
      <c r="H915" s="592"/>
      <c r="I915" s="592"/>
      <c r="J915" s="592"/>
      <c r="K915" s="592"/>
      <c r="L915" s="592"/>
      <c r="M915" s="592"/>
      <c r="N915" s="592"/>
      <c r="O915" s="592"/>
      <c r="P915" s="592"/>
      <c r="Q915" s="592"/>
      <c r="R915" s="592"/>
      <c r="S915" s="592"/>
      <c r="T915" s="592"/>
      <c r="U915" s="12"/>
      <c r="V915" s="12"/>
      <c r="W915" s="12"/>
      <c r="X915" s="12"/>
      <c r="Y915" s="12"/>
      <c r="Z915" s="12"/>
      <c r="AA915" s="12"/>
      <c r="AB915" s="12"/>
      <c r="AC915" s="12"/>
    </row>
    <row r="916" spans="1:29" ht="12.75" customHeight="1">
      <c r="A916" s="12"/>
      <c r="B916" s="12"/>
      <c r="C916" s="12"/>
      <c r="D916" s="12"/>
      <c r="E916" s="12"/>
      <c r="F916" s="12"/>
      <c r="G916" s="12"/>
      <c r="H916" s="592"/>
      <c r="I916" s="592"/>
      <c r="J916" s="592"/>
      <c r="K916" s="592"/>
      <c r="L916" s="592"/>
      <c r="M916" s="592"/>
      <c r="N916" s="592"/>
      <c r="O916" s="592"/>
      <c r="P916" s="592"/>
      <c r="Q916" s="592"/>
      <c r="R916" s="592"/>
      <c r="S916" s="592"/>
      <c r="T916" s="592"/>
      <c r="U916" s="12"/>
      <c r="V916" s="12"/>
      <c r="W916" s="12"/>
      <c r="X916" s="12"/>
      <c r="Y916" s="12"/>
      <c r="Z916" s="12"/>
      <c r="AA916" s="12"/>
      <c r="AB916" s="12"/>
      <c r="AC916" s="12"/>
    </row>
    <row r="917" spans="1:29" ht="12.75" customHeight="1">
      <c r="A917" s="12"/>
      <c r="B917" s="12"/>
      <c r="C917" s="12"/>
      <c r="D917" s="12"/>
      <c r="E917" s="12"/>
      <c r="F917" s="12"/>
      <c r="G917" s="12"/>
      <c r="H917" s="592"/>
      <c r="I917" s="592"/>
      <c r="J917" s="592"/>
      <c r="K917" s="592"/>
      <c r="L917" s="592"/>
      <c r="M917" s="592"/>
      <c r="N917" s="592"/>
      <c r="O917" s="592"/>
      <c r="P917" s="592"/>
      <c r="Q917" s="592"/>
      <c r="R917" s="592"/>
      <c r="S917" s="592"/>
      <c r="T917" s="592"/>
      <c r="U917" s="12"/>
      <c r="V917" s="12"/>
      <c r="W917" s="12"/>
      <c r="X917" s="12"/>
      <c r="Y917" s="12"/>
      <c r="Z917" s="12"/>
      <c r="AA917" s="12"/>
      <c r="AB917" s="12"/>
      <c r="AC917" s="12"/>
    </row>
    <row r="918" spans="1:29" ht="12.75" customHeight="1">
      <c r="A918" s="12"/>
      <c r="B918" s="12"/>
      <c r="C918" s="12"/>
      <c r="D918" s="12"/>
      <c r="E918" s="12"/>
      <c r="F918" s="12"/>
      <c r="G918" s="12"/>
      <c r="H918" s="592"/>
      <c r="I918" s="592"/>
      <c r="J918" s="592"/>
      <c r="K918" s="592"/>
      <c r="L918" s="592"/>
      <c r="M918" s="592"/>
      <c r="N918" s="592"/>
      <c r="O918" s="592"/>
      <c r="P918" s="592"/>
      <c r="Q918" s="592"/>
      <c r="R918" s="592"/>
      <c r="S918" s="592"/>
      <c r="T918" s="592"/>
      <c r="U918" s="12"/>
      <c r="V918" s="12"/>
      <c r="W918" s="12"/>
      <c r="X918" s="12"/>
      <c r="Y918" s="12"/>
      <c r="Z918" s="12"/>
      <c r="AA918" s="12"/>
      <c r="AB918" s="12"/>
      <c r="AC918" s="12"/>
    </row>
    <row r="919" spans="1:29" ht="12.75" customHeight="1">
      <c r="A919" s="12"/>
      <c r="B919" s="12"/>
      <c r="C919" s="12"/>
      <c r="D919" s="12"/>
      <c r="E919" s="12"/>
      <c r="F919" s="12"/>
      <c r="G919" s="12"/>
      <c r="H919" s="592"/>
      <c r="I919" s="592"/>
      <c r="J919" s="592"/>
      <c r="K919" s="592"/>
      <c r="L919" s="592"/>
      <c r="M919" s="592"/>
      <c r="N919" s="592"/>
      <c r="O919" s="592"/>
      <c r="P919" s="592"/>
      <c r="Q919" s="592"/>
      <c r="R919" s="592"/>
      <c r="S919" s="592"/>
      <c r="T919" s="592"/>
      <c r="U919" s="12"/>
      <c r="V919" s="12"/>
      <c r="W919" s="12"/>
      <c r="X919" s="12"/>
      <c r="Y919" s="12"/>
      <c r="Z919" s="12"/>
      <c r="AA919" s="12"/>
      <c r="AB919" s="12"/>
      <c r="AC919" s="12"/>
    </row>
    <row r="920" spans="1:29" ht="12.75" customHeight="1">
      <c r="A920" s="12"/>
      <c r="B920" s="12"/>
      <c r="C920" s="12"/>
      <c r="D920" s="12"/>
      <c r="E920" s="12"/>
      <c r="F920" s="12"/>
      <c r="G920" s="12"/>
      <c r="H920" s="592"/>
      <c r="I920" s="592"/>
      <c r="J920" s="592"/>
      <c r="K920" s="592"/>
      <c r="L920" s="592"/>
      <c r="M920" s="592"/>
      <c r="N920" s="592"/>
      <c r="O920" s="592"/>
      <c r="P920" s="592"/>
      <c r="Q920" s="592"/>
      <c r="R920" s="592"/>
      <c r="S920" s="592"/>
      <c r="T920" s="592"/>
      <c r="U920" s="12"/>
      <c r="V920" s="12"/>
      <c r="W920" s="12"/>
      <c r="X920" s="12"/>
      <c r="Y920" s="12"/>
      <c r="Z920" s="12"/>
      <c r="AA920" s="12"/>
      <c r="AB920" s="12"/>
      <c r="AC920" s="12"/>
    </row>
    <row r="921" spans="1:29" ht="12.75" customHeight="1">
      <c r="A921" s="12"/>
      <c r="B921" s="12"/>
      <c r="C921" s="12"/>
      <c r="D921" s="12"/>
      <c r="E921" s="12"/>
      <c r="F921" s="12"/>
      <c r="G921" s="12"/>
      <c r="H921" s="592"/>
      <c r="I921" s="592"/>
      <c r="J921" s="592"/>
      <c r="K921" s="592"/>
      <c r="L921" s="592"/>
      <c r="M921" s="592"/>
      <c r="N921" s="592"/>
      <c r="O921" s="592"/>
      <c r="P921" s="592"/>
      <c r="Q921" s="592"/>
      <c r="R921" s="592"/>
      <c r="S921" s="592"/>
      <c r="T921" s="592"/>
      <c r="U921" s="12"/>
      <c r="V921" s="12"/>
      <c r="W921" s="12"/>
      <c r="X921" s="12"/>
      <c r="Y921" s="12"/>
      <c r="Z921" s="12"/>
      <c r="AA921" s="12"/>
      <c r="AB921" s="12"/>
      <c r="AC921" s="12"/>
    </row>
    <row r="922" spans="1:29" ht="12.75" customHeight="1">
      <c r="A922" s="12"/>
      <c r="B922" s="12"/>
      <c r="C922" s="12"/>
      <c r="D922" s="12"/>
      <c r="E922" s="12"/>
      <c r="F922" s="12"/>
      <c r="G922" s="12"/>
      <c r="H922" s="592"/>
      <c r="I922" s="592"/>
      <c r="J922" s="592"/>
      <c r="K922" s="592"/>
      <c r="L922" s="592"/>
      <c r="M922" s="592"/>
      <c r="N922" s="592"/>
      <c r="O922" s="592"/>
      <c r="P922" s="592"/>
      <c r="Q922" s="592"/>
      <c r="R922" s="592"/>
      <c r="S922" s="592"/>
      <c r="T922" s="592"/>
      <c r="U922" s="12"/>
      <c r="V922" s="12"/>
      <c r="W922" s="12"/>
      <c r="X922" s="12"/>
      <c r="Y922" s="12"/>
      <c r="Z922" s="12"/>
      <c r="AA922" s="12"/>
      <c r="AB922" s="12"/>
      <c r="AC922" s="12"/>
    </row>
    <row r="923" spans="1:29" ht="12.75" customHeight="1">
      <c r="A923" s="12"/>
      <c r="B923" s="12"/>
      <c r="C923" s="12"/>
      <c r="D923" s="12"/>
      <c r="E923" s="12"/>
      <c r="F923" s="12"/>
      <c r="G923" s="12"/>
      <c r="H923" s="592"/>
      <c r="I923" s="592"/>
      <c r="J923" s="592"/>
      <c r="K923" s="592"/>
      <c r="L923" s="592"/>
      <c r="M923" s="592"/>
      <c r="N923" s="592"/>
      <c r="O923" s="592"/>
      <c r="P923" s="592"/>
      <c r="Q923" s="592"/>
      <c r="R923" s="592"/>
      <c r="S923" s="592"/>
      <c r="T923" s="592"/>
      <c r="U923" s="12"/>
      <c r="V923" s="12"/>
      <c r="W923" s="12"/>
      <c r="X923" s="12"/>
      <c r="Y923" s="12"/>
      <c r="Z923" s="12"/>
      <c r="AA923" s="12"/>
      <c r="AB923" s="12"/>
      <c r="AC923" s="12"/>
    </row>
    <row r="924" spans="1:29" ht="12.75" customHeight="1">
      <c r="A924" s="12"/>
      <c r="B924" s="12"/>
      <c r="C924" s="12"/>
      <c r="D924" s="12"/>
      <c r="E924" s="12"/>
      <c r="F924" s="12"/>
      <c r="G924" s="12"/>
      <c r="H924" s="592"/>
      <c r="I924" s="592"/>
      <c r="J924" s="592"/>
      <c r="K924" s="592"/>
      <c r="L924" s="592"/>
      <c r="M924" s="592"/>
      <c r="N924" s="592"/>
      <c r="O924" s="592"/>
      <c r="P924" s="592"/>
      <c r="Q924" s="592"/>
      <c r="R924" s="592"/>
      <c r="S924" s="592"/>
      <c r="T924" s="592"/>
      <c r="U924" s="12"/>
      <c r="V924" s="12"/>
      <c r="W924" s="12"/>
      <c r="X924" s="12"/>
      <c r="Y924" s="12"/>
      <c r="Z924" s="12"/>
      <c r="AA924" s="12"/>
      <c r="AB924" s="12"/>
      <c r="AC924" s="12"/>
    </row>
    <row r="925" spans="1:29" ht="12.75" customHeight="1">
      <c r="A925" s="12"/>
      <c r="B925" s="12"/>
      <c r="C925" s="12"/>
      <c r="D925" s="12"/>
      <c r="E925" s="12"/>
      <c r="F925" s="12"/>
      <c r="G925" s="12"/>
      <c r="H925" s="592"/>
      <c r="I925" s="592"/>
      <c r="J925" s="592"/>
      <c r="K925" s="592"/>
      <c r="L925" s="592"/>
      <c r="M925" s="592"/>
      <c r="N925" s="592"/>
      <c r="O925" s="592"/>
      <c r="P925" s="592"/>
      <c r="Q925" s="592"/>
      <c r="R925" s="592"/>
      <c r="S925" s="592"/>
      <c r="T925" s="592"/>
      <c r="U925" s="12"/>
      <c r="V925" s="12"/>
      <c r="W925" s="12"/>
      <c r="X925" s="12"/>
      <c r="Y925" s="12"/>
      <c r="Z925" s="12"/>
      <c r="AA925" s="12"/>
      <c r="AB925" s="12"/>
      <c r="AC925" s="12"/>
    </row>
    <row r="926" spans="1:29" ht="12.75" customHeight="1">
      <c r="A926" s="12"/>
      <c r="B926" s="12"/>
      <c r="C926" s="12"/>
      <c r="D926" s="12"/>
      <c r="E926" s="12"/>
      <c r="F926" s="12"/>
      <c r="G926" s="12"/>
      <c r="H926" s="592"/>
      <c r="I926" s="592"/>
      <c r="J926" s="592"/>
      <c r="K926" s="592"/>
      <c r="L926" s="592"/>
      <c r="M926" s="592"/>
      <c r="N926" s="592"/>
      <c r="O926" s="592"/>
      <c r="P926" s="592"/>
      <c r="Q926" s="592"/>
      <c r="R926" s="592"/>
      <c r="S926" s="592"/>
      <c r="T926" s="592"/>
      <c r="U926" s="12"/>
      <c r="V926" s="12"/>
      <c r="W926" s="12"/>
      <c r="X926" s="12"/>
      <c r="Y926" s="12"/>
      <c r="Z926" s="12"/>
      <c r="AA926" s="12"/>
      <c r="AB926" s="12"/>
      <c r="AC926" s="12"/>
    </row>
    <row r="927" spans="1:29" ht="12.75" customHeight="1">
      <c r="A927" s="12"/>
      <c r="B927" s="12"/>
      <c r="C927" s="12"/>
      <c r="D927" s="12"/>
      <c r="E927" s="12"/>
      <c r="F927" s="12"/>
      <c r="G927" s="12"/>
      <c r="H927" s="592"/>
      <c r="I927" s="592"/>
      <c r="J927" s="592"/>
      <c r="K927" s="592"/>
      <c r="L927" s="592"/>
      <c r="M927" s="592"/>
      <c r="N927" s="592"/>
      <c r="O927" s="592"/>
      <c r="P927" s="592"/>
      <c r="Q927" s="592"/>
      <c r="R927" s="592"/>
      <c r="S927" s="592"/>
      <c r="T927" s="592"/>
      <c r="U927" s="12"/>
      <c r="V927" s="12"/>
      <c r="W927" s="12"/>
      <c r="X927" s="12"/>
      <c r="Y927" s="12"/>
      <c r="Z927" s="12"/>
      <c r="AA927" s="12"/>
      <c r="AB927" s="12"/>
      <c r="AC927" s="12"/>
    </row>
    <row r="928" spans="1:29" ht="12.75" customHeight="1">
      <c r="A928" s="12"/>
      <c r="B928" s="12"/>
      <c r="C928" s="12"/>
      <c r="D928" s="12"/>
      <c r="E928" s="12"/>
      <c r="F928" s="12"/>
      <c r="G928" s="12"/>
      <c r="H928" s="592"/>
      <c r="I928" s="592"/>
      <c r="J928" s="592"/>
      <c r="K928" s="592"/>
      <c r="L928" s="592"/>
      <c r="M928" s="592"/>
      <c r="N928" s="592"/>
      <c r="O928" s="592"/>
      <c r="P928" s="592"/>
      <c r="Q928" s="592"/>
      <c r="R928" s="592"/>
      <c r="S928" s="592"/>
      <c r="T928" s="592"/>
      <c r="U928" s="12"/>
      <c r="V928" s="12"/>
      <c r="W928" s="12"/>
      <c r="X928" s="12"/>
      <c r="Y928" s="12"/>
      <c r="Z928" s="12"/>
      <c r="AA928" s="12"/>
      <c r="AB928" s="12"/>
      <c r="AC928" s="12"/>
    </row>
    <row r="929" spans="1:29" ht="12.75" customHeight="1">
      <c r="A929" s="12"/>
      <c r="B929" s="12"/>
      <c r="C929" s="12"/>
      <c r="D929" s="12"/>
      <c r="E929" s="12"/>
      <c r="F929" s="12"/>
      <c r="G929" s="12"/>
      <c r="H929" s="592"/>
      <c r="I929" s="592"/>
      <c r="J929" s="592"/>
      <c r="K929" s="592"/>
      <c r="L929" s="592"/>
      <c r="M929" s="592"/>
      <c r="N929" s="592"/>
      <c r="O929" s="592"/>
      <c r="P929" s="592"/>
      <c r="Q929" s="592"/>
      <c r="R929" s="592"/>
      <c r="S929" s="592"/>
      <c r="T929" s="592"/>
      <c r="U929" s="12"/>
      <c r="V929" s="12"/>
      <c r="W929" s="12"/>
      <c r="X929" s="12"/>
      <c r="Y929" s="12"/>
      <c r="Z929" s="12"/>
      <c r="AA929" s="12"/>
      <c r="AB929" s="12"/>
      <c r="AC929" s="12"/>
    </row>
    <row r="930" spans="1:29" ht="12.75" customHeight="1">
      <c r="A930" s="12"/>
      <c r="B930" s="12"/>
      <c r="C930" s="12"/>
      <c r="D930" s="12"/>
      <c r="E930" s="12"/>
      <c r="F930" s="12"/>
      <c r="G930" s="12"/>
      <c r="H930" s="592"/>
      <c r="I930" s="592"/>
      <c r="J930" s="592"/>
      <c r="K930" s="592"/>
      <c r="L930" s="592"/>
      <c r="M930" s="592"/>
      <c r="N930" s="592"/>
      <c r="O930" s="592"/>
      <c r="P930" s="592"/>
      <c r="Q930" s="592"/>
      <c r="R930" s="592"/>
      <c r="S930" s="592"/>
      <c r="T930" s="592"/>
      <c r="U930" s="12"/>
      <c r="V930" s="12"/>
      <c r="W930" s="12"/>
      <c r="X930" s="12"/>
      <c r="Y930" s="12"/>
      <c r="Z930" s="12"/>
      <c r="AA930" s="12"/>
      <c r="AB930" s="12"/>
      <c r="AC930" s="12"/>
    </row>
    <row r="931" spans="1:29" ht="12.75" customHeight="1">
      <c r="A931" s="12"/>
      <c r="B931" s="12"/>
      <c r="C931" s="12"/>
      <c r="D931" s="12"/>
      <c r="E931" s="12"/>
      <c r="F931" s="12"/>
      <c r="G931" s="12"/>
      <c r="H931" s="592"/>
      <c r="I931" s="592"/>
      <c r="J931" s="592"/>
      <c r="K931" s="592"/>
      <c r="L931" s="592"/>
      <c r="M931" s="592"/>
      <c r="N931" s="592"/>
      <c r="O931" s="592"/>
      <c r="P931" s="592"/>
      <c r="Q931" s="592"/>
      <c r="R931" s="592"/>
      <c r="S931" s="592"/>
      <c r="T931" s="592"/>
      <c r="U931" s="12"/>
      <c r="V931" s="12"/>
      <c r="W931" s="12"/>
      <c r="X931" s="12"/>
      <c r="Y931" s="12"/>
      <c r="Z931" s="12"/>
      <c r="AA931" s="12"/>
      <c r="AB931" s="12"/>
      <c r="AC931" s="12"/>
    </row>
    <row r="932" spans="1:29" ht="12.75" customHeight="1">
      <c r="A932" s="12"/>
      <c r="B932" s="12"/>
      <c r="C932" s="12"/>
      <c r="D932" s="12"/>
      <c r="E932" s="12"/>
      <c r="F932" s="12"/>
      <c r="G932" s="12"/>
      <c r="H932" s="592"/>
      <c r="I932" s="592"/>
      <c r="J932" s="592"/>
      <c r="K932" s="592"/>
      <c r="L932" s="592"/>
      <c r="M932" s="592"/>
      <c r="N932" s="592"/>
      <c r="O932" s="592"/>
      <c r="P932" s="592"/>
      <c r="Q932" s="592"/>
      <c r="R932" s="592"/>
      <c r="S932" s="592"/>
      <c r="T932" s="592"/>
      <c r="U932" s="12"/>
      <c r="V932" s="12"/>
      <c r="W932" s="12"/>
      <c r="X932" s="12"/>
      <c r="Y932" s="12"/>
      <c r="Z932" s="12"/>
      <c r="AA932" s="12"/>
      <c r="AB932" s="12"/>
      <c r="AC932" s="12"/>
    </row>
    <row r="933" spans="1:29" ht="12.75" customHeight="1">
      <c r="A933" s="12"/>
      <c r="B933" s="12"/>
      <c r="C933" s="12"/>
      <c r="D933" s="12"/>
      <c r="E933" s="12"/>
      <c r="F933" s="12"/>
      <c r="G933" s="12"/>
      <c r="H933" s="592"/>
      <c r="I933" s="592"/>
      <c r="J933" s="592"/>
      <c r="K933" s="592"/>
      <c r="L933" s="592"/>
      <c r="M933" s="592"/>
      <c r="N933" s="592"/>
      <c r="O933" s="592"/>
      <c r="P933" s="592"/>
      <c r="Q933" s="592"/>
      <c r="R933" s="592"/>
      <c r="S933" s="592"/>
      <c r="T933" s="592"/>
      <c r="U933" s="12"/>
      <c r="V933" s="12"/>
      <c r="W933" s="12"/>
      <c r="X933" s="12"/>
      <c r="Y933" s="12"/>
      <c r="Z933" s="12"/>
      <c r="AA933" s="12"/>
      <c r="AB933" s="12"/>
      <c r="AC933" s="12"/>
    </row>
    <row r="934" spans="1:29" ht="12.75" customHeight="1">
      <c r="A934" s="12"/>
      <c r="B934" s="12"/>
      <c r="C934" s="12"/>
      <c r="D934" s="12"/>
      <c r="E934" s="12"/>
      <c r="F934" s="12"/>
      <c r="G934" s="12"/>
      <c r="H934" s="592"/>
      <c r="I934" s="592"/>
      <c r="J934" s="592"/>
      <c r="K934" s="592"/>
      <c r="L934" s="592"/>
      <c r="M934" s="592"/>
      <c r="N934" s="592"/>
      <c r="O934" s="592"/>
      <c r="P934" s="592"/>
      <c r="Q934" s="592"/>
      <c r="R934" s="592"/>
      <c r="S934" s="592"/>
      <c r="T934" s="592"/>
      <c r="U934" s="12"/>
      <c r="V934" s="12"/>
      <c r="W934" s="12"/>
      <c r="X934" s="12"/>
      <c r="Y934" s="12"/>
      <c r="Z934" s="12"/>
      <c r="AA934" s="12"/>
      <c r="AB934" s="12"/>
      <c r="AC934" s="12"/>
    </row>
    <row r="935" spans="1:29" ht="12.75" customHeight="1">
      <c r="A935" s="12"/>
      <c r="B935" s="12"/>
      <c r="C935" s="12"/>
      <c r="D935" s="12"/>
      <c r="E935" s="12"/>
      <c r="F935" s="12"/>
      <c r="G935" s="12"/>
      <c r="H935" s="592"/>
      <c r="I935" s="592"/>
      <c r="J935" s="592"/>
      <c r="K935" s="592"/>
      <c r="L935" s="592"/>
      <c r="M935" s="592"/>
      <c r="N935" s="592"/>
      <c r="O935" s="592"/>
      <c r="P935" s="592"/>
      <c r="Q935" s="592"/>
      <c r="R935" s="592"/>
      <c r="S935" s="592"/>
      <c r="T935" s="592"/>
      <c r="U935" s="12"/>
      <c r="V935" s="12"/>
      <c r="W935" s="12"/>
      <c r="X935" s="12"/>
      <c r="Y935" s="12"/>
      <c r="Z935" s="12"/>
      <c r="AA935" s="12"/>
      <c r="AB935" s="12"/>
      <c r="AC935" s="12"/>
    </row>
    <row r="936" spans="1:29" ht="12.75" customHeight="1">
      <c r="A936" s="12"/>
      <c r="B936" s="12"/>
      <c r="C936" s="12"/>
      <c r="D936" s="12"/>
      <c r="E936" s="12"/>
      <c r="F936" s="12"/>
      <c r="G936" s="12"/>
      <c r="H936" s="592"/>
      <c r="I936" s="592"/>
      <c r="J936" s="592"/>
      <c r="K936" s="592"/>
      <c r="L936" s="592"/>
      <c r="M936" s="592"/>
      <c r="N936" s="592"/>
      <c r="O936" s="592"/>
      <c r="P936" s="592"/>
      <c r="Q936" s="592"/>
      <c r="R936" s="592"/>
      <c r="S936" s="592"/>
      <c r="T936" s="592"/>
      <c r="U936" s="12"/>
      <c r="V936" s="12"/>
      <c r="W936" s="12"/>
      <c r="X936" s="12"/>
      <c r="Y936" s="12"/>
      <c r="Z936" s="12"/>
      <c r="AA936" s="12"/>
      <c r="AB936" s="12"/>
      <c r="AC936" s="12"/>
    </row>
    <row r="937" spans="1:29" ht="12.75" customHeight="1">
      <c r="A937" s="12"/>
      <c r="B937" s="12"/>
      <c r="C937" s="12"/>
      <c r="D937" s="12"/>
      <c r="E937" s="12"/>
      <c r="F937" s="12"/>
      <c r="G937" s="12"/>
      <c r="H937" s="592"/>
      <c r="I937" s="592"/>
      <c r="J937" s="592"/>
      <c r="K937" s="592"/>
      <c r="L937" s="592"/>
      <c r="M937" s="592"/>
      <c r="N937" s="592"/>
      <c r="O937" s="592"/>
      <c r="P937" s="592"/>
      <c r="Q937" s="592"/>
      <c r="R937" s="592"/>
      <c r="S937" s="592"/>
      <c r="T937" s="592"/>
      <c r="U937" s="12"/>
      <c r="V937" s="12"/>
      <c r="W937" s="12"/>
      <c r="X937" s="12"/>
      <c r="Y937" s="12"/>
      <c r="Z937" s="12"/>
      <c r="AA937" s="12"/>
      <c r="AB937" s="12"/>
      <c r="AC937" s="12"/>
    </row>
    <row r="938" spans="1:29" ht="12.75" customHeight="1">
      <c r="A938" s="12"/>
      <c r="B938" s="12"/>
      <c r="C938" s="12"/>
      <c r="D938" s="12"/>
      <c r="E938" s="12"/>
      <c r="F938" s="12"/>
      <c r="G938" s="12"/>
      <c r="H938" s="592"/>
      <c r="I938" s="592"/>
      <c r="J938" s="592"/>
      <c r="K938" s="592"/>
      <c r="L938" s="592"/>
      <c r="M938" s="592"/>
      <c r="N938" s="592"/>
      <c r="O938" s="592"/>
      <c r="P938" s="592"/>
      <c r="Q938" s="592"/>
      <c r="R938" s="592"/>
      <c r="S938" s="592"/>
      <c r="T938" s="592"/>
      <c r="U938" s="12"/>
      <c r="V938" s="12"/>
      <c r="W938" s="12"/>
      <c r="X938" s="12"/>
      <c r="Y938" s="12"/>
      <c r="Z938" s="12"/>
      <c r="AA938" s="12"/>
      <c r="AB938" s="12"/>
      <c r="AC938" s="12"/>
    </row>
    <row r="939" spans="1:29" ht="12.75" customHeight="1">
      <c r="A939" s="12"/>
      <c r="B939" s="12"/>
      <c r="C939" s="12"/>
      <c r="D939" s="12"/>
      <c r="E939" s="12"/>
      <c r="F939" s="12"/>
      <c r="G939" s="12"/>
      <c r="H939" s="592"/>
      <c r="I939" s="592"/>
      <c r="J939" s="592"/>
      <c r="K939" s="592"/>
      <c r="L939" s="592"/>
      <c r="M939" s="592"/>
      <c r="N939" s="592"/>
      <c r="O939" s="592"/>
      <c r="P939" s="592"/>
      <c r="Q939" s="592"/>
      <c r="R939" s="592"/>
      <c r="S939" s="592"/>
      <c r="T939" s="592"/>
      <c r="U939" s="12"/>
      <c r="V939" s="12"/>
      <c r="W939" s="12"/>
      <c r="X939" s="12"/>
      <c r="Y939" s="12"/>
      <c r="Z939" s="12"/>
      <c r="AA939" s="12"/>
      <c r="AB939" s="12"/>
      <c r="AC939" s="12"/>
    </row>
    <row r="940" spans="1:29" ht="12.75" customHeight="1">
      <c r="A940" s="12"/>
      <c r="B940" s="12"/>
      <c r="C940" s="12"/>
      <c r="D940" s="12"/>
      <c r="E940" s="12"/>
      <c r="F940" s="12"/>
      <c r="G940" s="12"/>
      <c r="H940" s="592"/>
      <c r="I940" s="592"/>
      <c r="J940" s="592"/>
      <c r="K940" s="592"/>
      <c r="L940" s="592"/>
      <c r="M940" s="592"/>
      <c r="N940" s="592"/>
      <c r="O940" s="592"/>
      <c r="P940" s="592"/>
      <c r="Q940" s="592"/>
      <c r="R940" s="592"/>
      <c r="S940" s="592"/>
      <c r="T940" s="592"/>
      <c r="U940" s="12"/>
      <c r="V940" s="12"/>
      <c r="W940" s="12"/>
      <c r="X940" s="12"/>
      <c r="Y940" s="12"/>
      <c r="Z940" s="12"/>
      <c r="AA940" s="12"/>
      <c r="AB940" s="12"/>
      <c r="AC940" s="12"/>
    </row>
    <row r="941" spans="1:29" ht="12.75" customHeight="1">
      <c r="A941" s="12"/>
      <c r="B941" s="12"/>
      <c r="C941" s="12"/>
      <c r="D941" s="12"/>
      <c r="E941" s="12"/>
      <c r="F941" s="12"/>
      <c r="G941" s="12"/>
      <c r="H941" s="592"/>
      <c r="I941" s="592"/>
      <c r="J941" s="592"/>
      <c r="K941" s="592"/>
      <c r="L941" s="592"/>
      <c r="M941" s="592"/>
      <c r="N941" s="592"/>
      <c r="O941" s="592"/>
      <c r="P941" s="592"/>
      <c r="Q941" s="592"/>
      <c r="R941" s="592"/>
      <c r="S941" s="592"/>
      <c r="T941" s="592"/>
      <c r="U941" s="12"/>
      <c r="V941" s="12"/>
      <c r="W941" s="12"/>
      <c r="X941" s="12"/>
      <c r="Y941" s="12"/>
      <c r="Z941" s="12"/>
      <c r="AA941" s="12"/>
      <c r="AB941" s="12"/>
      <c r="AC941" s="12"/>
    </row>
    <row r="942" spans="1:29" ht="12.75" customHeight="1">
      <c r="A942" s="12"/>
      <c r="B942" s="12"/>
      <c r="C942" s="12"/>
      <c r="D942" s="12"/>
      <c r="E942" s="12"/>
      <c r="F942" s="12"/>
      <c r="G942" s="12"/>
      <c r="H942" s="592"/>
      <c r="I942" s="592"/>
      <c r="J942" s="592"/>
      <c r="K942" s="592"/>
      <c r="L942" s="592"/>
      <c r="M942" s="592"/>
      <c r="N942" s="592"/>
      <c r="O942" s="592"/>
      <c r="P942" s="592"/>
      <c r="Q942" s="592"/>
      <c r="R942" s="592"/>
      <c r="S942" s="592"/>
      <c r="T942" s="592"/>
      <c r="U942" s="12"/>
      <c r="V942" s="12"/>
      <c r="W942" s="12"/>
      <c r="X942" s="12"/>
      <c r="Y942" s="12"/>
      <c r="Z942" s="12"/>
      <c r="AA942" s="12"/>
      <c r="AB942" s="12"/>
      <c r="AC942" s="12"/>
    </row>
    <row r="943" spans="1:29" ht="12.75" customHeight="1">
      <c r="A943" s="12"/>
      <c r="B943" s="12"/>
      <c r="C943" s="12"/>
      <c r="D943" s="12"/>
      <c r="E943" s="12"/>
      <c r="F943" s="12"/>
      <c r="G943" s="12"/>
      <c r="H943" s="592"/>
      <c r="I943" s="592"/>
      <c r="J943" s="592"/>
      <c r="K943" s="592"/>
      <c r="L943" s="592"/>
      <c r="M943" s="592"/>
      <c r="N943" s="592"/>
      <c r="O943" s="592"/>
      <c r="P943" s="592"/>
      <c r="Q943" s="592"/>
      <c r="R943" s="592"/>
      <c r="S943" s="592"/>
      <c r="T943" s="592"/>
      <c r="U943" s="12"/>
      <c r="V943" s="12"/>
      <c r="W943" s="12"/>
      <c r="X943" s="12"/>
      <c r="Y943" s="12"/>
      <c r="Z943" s="12"/>
      <c r="AA943" s="12"/>
      <c r="AB943" s="12"/>
      <c r="AC943" s="12"/>
    </row>
    <row r="944" spans="1:29" ht="12.75" customHeight="1">
      <c r="A944" s="12"/>
      <c r="B944" s="12"/>
      <c r="C944" s="12"/>
      <c r="D944" s="12"/>
      <c r="E944" s="12"/>
      <c r="F944" s="12"/>
      <c r="G944" s="12"/>
      <c r="H944" s="592"/>
      <c r="I944" s="592"/>
      <c r="J944" s="592"/>
      <c r="K944" s="592"/>
      <c r="L944" s="592"/>
      <c r="M944" s="592"/>
      <c r="N944" s="592"/>
      <c r="O944" s="592"/>
      <c r="P944" s="592"/>
      <c r="Q944" s="592"/>
      <c r="R944" s="592"/>
      <c r="S944" s="592"/>
      <c r="T944" s="592"/>
      <c r="U944" s="12"/>
      <c r="V944" s="12"/>
      <c r="W944" s="12"/>
      <c r="X944" s="12"/>
      <c r="Y944" s="12"/>
      <c r="Z944" s="12"/>
      <c r="AA944" s="12"/>
      <c r="AB944" s="12"/>
      <c r="AC944" s="12"/>
    </row>
    <row r="945" spans="1:29" ht="12.75" customHeight="1">
      <c r="A945" s="12"/>
      <c r="B945" s="12"/>
      <c r="C945" s="12"/>
      <c r="D945" s="12"/>
      <c r="E945" s="12"/>
      <c r="F945" s="12"/>
      <c r="G945" s="12"/>
      <c r="H945" s="592"/>
      <c r="I945" s="592"/>
      <c r="J945" s="592"/>
      <c r="K945" s="592"/>
      <c r="L945" s="592"/>
      <c r="M945" s="592"/>
      <c r="N945" s="592"/>
      <c r="O945" s="592"/>
      <c r="P945" s="592"/>
      <c r="Q945" s="592"/>
      <c r="R945" s="592"/>
      <c r="S945" s="592"/>
      <c r="T945" s="592"/>
      <c r="U945" s="12"/>
      <c r="V945" s="12"/>
      <c r="W945" s="12"/>
      <c r="X945" s="12"/>
      <c r="Y945" s="12"/>
      <c r="Z945" s="12"/>
      <c r="AA945" s="12"/>
      <c r="AB945" s="12"/>
      <c r="AC945" s="12"/>
    </row>
    <row r="946" spans="1:29" ht="12.75" customHeight="1">
      <c r="A946" s="12"/>
      <c r="B946" s="12"/>
      <c r="C946" s="12"/>
      <c r="D946" s="12"/>
      <c r="E946" s="12"/>
      <c r="F946" s="12"/>
      <c r="G946" s="12"/>
      <c r="H946" s="592"/>
      <c r="I946" s="592"/>
      <c r="J946" s="592"/>
      <c r="K946" s="592"/>
      <c r="L946" s="592"/>
      <c r="M946" s="592"/>
      <c r="N946" s="592"/>
      <c r="O946" s="592"/>
      <c r="P946" s="592"/>
      <c r="Q946" s="592"/>
      <c r="R946" s="592"/>
      <c r="S946" s="592"/>
      <c r="T946" s="592"/>
      <c r="U946" s="12"/>
      <c r="V946" s="12"/>
      <c r="W946" s="12"/>
      <c r="X946" s="12"/>
      <c r="Y946" s="12"/>
      <c r="Z946" s="12"/>
      <c r="AA946" s="12"/>
      <c r="AB946" s="12"/>
      <c r="AC946" s="12"/>
    </row>
    <row r="947" spans="1:29" ht="12.75" customHeight="1">
      <c r="A947" s="12"/>
      <c r="B947" s="12"/>
      <c r="C947" s="12"/>
      <c r="D947" s="12"/>
      <c r="E947" s="12"/>
      <c r="F947" s="12"/>
      <c r="G947" s="12"/>
      <c r="H947" s="592"/>
      <c r="I947" s="592"/>
      <c r="J947" s="592"/>
      <c r="K947" s="592"/>
      <c r="L947" s="592"/>
      <c r="M947" s="592"/>
      <c r="N947" s="592"/>
      <c r="O947" s="592"/>
      <c r="P947" s="592"/>
      <c r="Q947" s="592"/>
      <c r="R947" s="592"/>
      <c r="S947" s="592"/>
      <c r="T947" s="592"/>
      <c r="U947" s="12"/>
      <c r="V947" s="12"/>
      <c r="W947" s="12"/>
      <c r="X947" s="12"/>
      <c r="Y947" s="12"/>
      <c r="Z947" s="12"/>
      <c r="AA947" s="12"/>
      <c r="AB947" s="12"/>
      <c r="AC947" s="12"/>
    </row>
    <row r="948" spans="1:29" ht="12.75" customHeight="1">
      <c r="A948" s="12"/>
      <c r="B948" s="12"/>
      <c r="C948" s="12"/>
      <c r="D948" s="12"/>
      <c r="E948" s="12"/>
      <c r="F948" s="12"/>
      <c r="G948" s="12"/>
      <c r="H948" s="592"/>
      <c r="I948" s="592"/>
      <c r="J948" s="592"/>
      <c r="K948" s="592"/>
      <c r="L948" s="592"/>
      <c r="M948" s="592"/>
      <c r="N948" s="592"/>
      <c r="O948" s="592"/>
      <c r="P948" s="592"/>
      <c r="Q948" s="592"/>
      <c r="R948" s="592"/>
      <c r="S948" s="592"/>
      <c r="T948" s="592"/>
      <c r="U948" s="12"/>
      <c r="V948" s="12"/>
      <c r="W948" s="12"/>
      <c r="X948" s="12"/>
      <c r="Y948" s="12"/>
      <c r="Z948" s="12"/>
      <c r="AA948" s="12"/>
      <c r="AB948" s="12"/>
      <c r="AC948" s="12"/>
    </row>
    <row r="949" spans="1:29" ht="12.75" customHeight="1">
      <c r="A949" s="12"/>
      <c r="B949" s="12"/>
      <c r="C949" s="12"/>
      <c r="D949" s="12"/>
      <c r="E949" s="12"/>
      <c r="F949" s="12"/>
      <c r="G949" s="12"/>
      <c r="H949" s="592"/>
      <c r="I949" s="592"/>
      <c r="J949" s="592"/>
      <c r="K949" s="592"/>
      <c r="L949" s="592"/>
      <c r="M949" s="592"/>
      <c r="N949" s="592"/>
      <c r="O949" s="592"/>
      <c r="P949" s="592"/>
      <c r="Q949" s="592"/>
      <c r="R949" s="592"/>
      <c r="S949" s="592"/>
      <c r="T949" s="592"/>
      <c r="U949" s="12"/>
      <c r="V949" s="12"/>
      <c r="W949" s="12"/>
      <c r="X949" s="12"/>
      <c r="Y949" s="12"/>
      <c r="Z949" s="12"/>
      <c r="AA949" s="12"/>
      <c r="AB949" s="12"/>
      <c r="AC949" s="12"/>
    </row>
    <row r="950" spans="1:29" ht="12.75" customHeight="1">
      <c r="A950" s="12"/>
      <c r="B950" s="12"/>
      <c r="C950" s="12"/>
      <c r="D950" s="12"/>
      <c r="E950" s="12"/>
      <c r="F950" s="12"/>
      <c r="G950" s="12"/>
      <c r="H950" s="592"/>
      <c r="I950" s="592"/>
      <c r="J950" s="592"/>
      <c r="K950" s="592"/>
      <c r="L950" s="592"/>
      <c r="M950" s="592"/>
      <c r="N950" s="592"/>
      <c r="O950" s="592"/>
      <c r="P950" s="592"/>
      <c r="Q950" s="592"/>
      <c r="R950" s="592"/>
      <c r="S950" s="592"/>
      <c r="T950" s="592"/>
      <c r="U950" s="12"/>
      <c r="V950" s="12"/>
      <c r="W950" s="12"/>
      <c r="X950" s="12"/>
      <c r="Y950" s="12"/>
      <c r="Z950" s="12"/>
      <c r="AA950" s="12"/>
      <c r="AB950" s="12"/>
      <c r="AC950" s="12"/>
    </row>
    <row r="951" spans="1:29" ht="12.75" customHeight="1">
      <c r="A951" s="12"/>
      <c r="B951" s="12"/>
      <c r="C951" s="12"/>
      <c r="D951" s="12"/>
      <c r="E951" s="12"/>
      <c r="F951" s="12"/>
      <c r="G951" s="12"/>
      <c r="H951" s="592"/>
      <c r="I951" s="592"/>
      <c r="J951" s="592"/>
      <c r="K951" s="592"/>
      <c r="L951" s="592"/>
      <c r="M951" s="592"/>
      <c r="N951" s="592"/>
      <c r="O951" s="592"/>
      <c r="P951" s="592"/>
      <c r="Q951" s="592"/>
      <c r="R951" s="592"/>
      <c r="S951" s="592"/>
      <c r="T951" s="592"/>
      <c r="U951" s="12"/>
      <c r="V951" s="12"/>
      <c r="W951" s="12"/>
      <c r="X951" s="12"/>
      <c r="Y951" s="12"/>
      <c r="Z951" s="12"/>
      <c r="AA951" s="12"/>
      <c r="AB951" s="12"/>
      <c r="AC951" s="12"/>
    </row>
    <row r="952" spans="1:29" ht="12.75" customHeight="1">
      <c r="A952" s="12"/>
      <c r="B952" s="12"/>
      <c r="C952" s="12"/>
      <c r="D952" s="12"/>
      <c r="E952" s="12"/>
      <c r="F952" s="12"/>
      <c r="G952" s="12"/>
      <c r="H952" s="592"/>
      <c r="I952" s="592"/>
      <c r="J952" s="592"/>
      <c r="K952" s="592"/>
      <c r="L952" s="592"/>
      <c r="M952" s="592"/>
      <c r="N952" s="592"/>
      <c r="O952" s="592"/>
      <c r="P952" s="592"/>
      <c r="Q952" s="592"/>
      <c r="R952" s="592"/>
      <c r="S952" s="592"/>
      <c r="T952" s="592"/>
      <c r="U952" s="12"/>
      <c r="V952" s="12"/>
      <c r="W952" s="12"/>
      <c r="X952" s="12"/>
      <c r="Y952" s="12"/>
      <c r="Z952" s="12"/>
      <c r="AA952" s="12"/>
      <c r="AB952" s="12"/>
      <c r="AC952" s="12"/>
    </row>
    <row r="953" spans="1:29" ht="12.75" customHeight="1">
      <c r="A953" s="12"/>
      <c r="B953" s="12"/>
      <c r="C953" s="12"/>
      <c r="D953" s="12"/>
      <c r="E953" s="12"/>
      <c r="F953" s="12"/>
      <c r="G953" s="12"/>
      <c r="H953" s="592"/>
      <c r="I953" s="592"/>
      <c r="J953" s="592"/>
      <c r="K953" s="592"/>
      <c r="L953" s="592"/>
      <c r="M953" s="592"/>
      <c r="N953" s="592"/>
      <c r="O953" s="592"/>
      <c r="P953" s="592"/>
      <c r="Q953" s="592"/>
      <c r="R953" s="592"/>
      <c r="S953" s="592"/>
      <c r="T953" s="592"/>
      <c r="U953" s="12"/>
      <c r="V953" s="12"/>
      <c r="W953" s="12"/>
      <c r="X953" s="12"/>
      <c r="Y953" s="12"/>
      <c r="Z953" s="12"/>
      <c r="AA953" s="12"/>
      <c r="AB953" s="12"/>
      <c r="AC953" s="12"/>
    </row>
    <row r="954" spans="1:29" ht="12.75" customHeight="1">
      <c r="A954" s="12"/>
      <c r="B954" s="12"/>
      <c r="C954" s="12"/>
      <c r="D954" s="12"/>
      <c r="E954" s="12"/>
      <c r="F954" s="12"/>
      <c r="G954" s="12"/>
      <c r="H954" s="592"/>
      <c r="I954" s="592"/>
      <c r="J954" s="592"/>
      <c r="K954" s="592"/>
      <c r="L954" s="592"/>
      <c r="M954" s="592"/>
      <c r="N954" s="592"/>
      <c r="O954" s="592"/>
      <c r="P954" s="592"/>
      <c r="Q954" s="592"/>
      <c r="R954" s="592"/>
      <c r="S954" s="592"/>
      <c r="T954" s="592"/>
      <c r="U954" s="12"/>
      <c r="V954" s="12"/>
      <c r="W954" s="12"/>
      <c r="X954" s="12"/>
      <c r="Y954" s="12"/>
      <c r="Z954" s="12"/>
      <c r="AA954" s="12"/>
      <c r="AB954" s="12"/>
      <c r="AC954" s="12"/>
    </row>
    <row r="955" spans="1:29" ht="12.75" customHeight="1">
      <c r="A955" s="12"/>
      <c r="B955" s="12"/>
      <c r="C955" s="12"/>
      <c r="D955" s="12"/>
      <c r="E955" s="12"/>
      <c r="F955" s="12"/>
      <c r="G955" s="12"/>
      <c r="H955" s="592"/>
      <c r="I955" s="592"/>
      <c r="J955" s="592"/>
      <c r="K955" s="592"/>
      <c r="L955" s="592"/>
      <c r="M955" s="592"/>
      <c r="N955" s="592"/>
      <c r="O955" s="592"/>
      <c r="P955" s="592"/>
      <c r="Q955" s="592"/>
      <c r="R955" s="592"/>
      <c r="S955" s="592"/>
      <c r="T955" s="592"/>
      <c r="U955" s="12"/>
      <c r="V955" s="12"/>
      <c r="W955" s="12"/>
      <c r="X955" s="12"/>
      <c r="Y955" s="12"/>
      <c r="Z955" s="12"/>
      <c r="AA955" s="12"/>
      <c r="AB955" s="12"/>
      <c r="AC955" s="12"/>
    </row>
    <row r="956" spans="1:29" ht="12.75" customHeight="1">
      <c r="A956" s="12"/>
      <c r="B956" s="12"/>
      <c r="C956" s="12"/>
      <c r="D956" s="12"/>
      <c r="E956" s="12"/>
      <c r="F956" s="12"/>
      <c r="G956" s="12"/>
      <c r="H956" s="592"/>
      <c r="I956" s="592"/>
      <c r="J956" s="592"/>
      <c r="K956" s="592"/>
      <c r="L956" s="592"/>
      <c r="M956" s="592"/>
      <c r="N956" s="592"/>
      <c r="O956" s="592"/>
      <c r="P956" s="592"/>
      <c r="Q956" s="592"/>
      <c r="R956" s="592"/>
      <c r="S956" s="592"/>
      <c r="T956" s="592"/>
      <c r="U956" s="12"/>
      <c r="V956" s="12"/>
      <c r="W956" s="12"/>
      <c r="X956" s="12"/>
      <c r="Y956" s="12"/>
      <c r="Z956" s="12"/>
      <c r="AA956" s="12"/>
      <c r="AB956" s="12"/>
      <c r="AC956" s="12"/>
    </row>
    <row r="957" spans="1:29" ht="12.75" customHeight="1">
      <c r="A957" s="12"/>
      <c r="B957" s="12"/>
      <c r="C957" s="12"/>
      <c r="D957" s="12"/>
      <c r="E957" s="12"/>
      <c r="F957" s="12"/>
      <c r="G957" s="12"/>
      <c r="H957" s="592"/>
      <c r="I957" s="592"/>
      <c r="J957" s="592"/>
      <c r="K957" s="592"/>
      <c r="L957" s="592"/>
      <c r="M957" s="592"/>
      <c r="N957" s="592"/>
      <c r="O957" s="592"/>
      <c r="P957" s="592"/>
      <c r="Q957" s="592"/>
      <c r="R957" s="592"/>
      <c r="S957" s="592"/>
      <c r="T957" s="592"/>
      <c r="U957" s="12"/>
      <c r="V957" s="12"/>
      <c r="W957" s="12"/>
      <c r="X957" s="12"/>
      <c r="Y957" s="12"/>
      <c r="Z957" s="12"/>
      <c r="AA957" s="12"/>
      <c r="AB957" s="12"/>
      <c r="AC957" s="12"/>
    </row>
    <row r="958" spans="1:29" ht="12.75" customHeight="1">
      <c r="A958" s="12"/>
      <c r="B958" s="12"/>
      <c r="C958" s="12"/>
      <c r="D958" s="12"/>
      <c r="E958" s="12"/>
      <c r="F958" s="12"/>
      <c r="G958" s="12"/>
      <c r="H958" s="592"/>
      <c r="I958" s="592"/>
      <c r="J958" s="592"/>
      <c r="K958" s="592"/>
      <c r="L958" s="592"/>
      <c r="M958" s="592"/>
      <c r="N958" s="592"/>
      <c r="O958" s="592"/>
      <c r="P958" s="592"/>
      <c r="Q958" s="592"/>
      <c r="R958" s="592"/>
      <c r="S958" s="592"/>
      <c r="T958" s="592"/>
      <c r="U958" s="12"/>
      <c r="V958" s="12"/>
      <c r="W958" s="12"/>
      <c r="X958" s="12"/>
      <c r="Y958" s="12"/>
      <c r="Z958" s="12"/>
      <c r="AA958" s="12"/>
      <c r="AB958" s="12"/>
      <c r="AC958" s="12"/>
    </row>
    <row r="959" spans="1:29" ht="12.75" customHeight="1">
      <c r="A959" s="12"/>
      <c r="B959" s="12"/>
      <c r="C959" s="12"/>
      <c r="D959" s="12"/>
      <c r="E959" s="12"/>
      <c r="F959" s="12"/>
      <c r="G959" s="12"/>
      <c r="H959" s="592"/>
      <c r="I959" s="592"/>
      <c r="J959" s="592"/>
      <c r="K959" s="592"/>
      <c r="L959" s="592"/>
      <c r="M959" s="592"/>
      <c r="N959" s="592"/>
      <c r="O959" s="592"/>
      <c r="P959" s="592"/>
      <c r="Q959" s="592"/>
      <c r="R959" s="592"/>
      <c r="S959" s="592"/>
      <c r="T959" s="592"/>
      <c r="U959" s="12"/>
      <c r="V959" s="12"/>
      <c r="W959" s="12"/>
      <c r="X959" s="12"/>
      <c r="Y959" s="12"/>
      <c r="Z959" s="12"/>
      <c r="AA959" s="12"/>
      <c r="AB959" s="12"/>
      <c r="AC959" s="12"/>
    </row>
    <row r="960" spans="1:29" ht="12.75" customHeight="1">
      <c r="A960" s="12"/>
      <c r="B960" s="12"/>
      <c r="C960" s="12"/>
      <c r="D960" s="12"/>
      <c r="E960" s="12"/>
      <c r="F960" s="12"/>
      <c r="G960" s="12"/>
      <c r="H960" s="592"/>
      <c r="I960" s="592"/>
      <c r="J960" s="592"/>
      <c r="K960" s="592"/>
      <c r="L960" s="592"/>
      <c r="M960" s="592"/>
      <c r="N960" s="592"/>
      <c r="O960" s="592"/>
      <c r="P960" s="592"/>
      <c r="Q960" s="592"/>
      <c r="R960" s="592"/>
      <c r="S960" s="592"/>
      <c r="T960" s="592"/>
      <c r="U960" s="12"/>
      <c r="V960" s="12"/>
      <c r="W960" s="12"/>
      <c r="X960" s="12"/>
      <c r="Y960" s="12"/>
      <c r="Z960" s="12"/>
      <c r="AA960" s="12"/>
      <c r="AB960" s="12"/>
      <c r="AC960" s="12"/>
    </row>
    <row r="961" spans="1:29" ht="12.75" customHeight="1">
      <c r="A961" s="12"/>
      <c r="B961" s="12"/>
      <c r="C961" s="12"/>
      <c r="D961" s="12"/>
      <c r="E961" s="12"/>
      <c r="F961" s="12"/>
      <c r="G961" s="12"/>
      <c r="H961" s="592"/>
      <c r="I961" s="592"/>
      <c r="J961" s="592"/>
      <c r="K961" s="592"/>
      <c r="L961" s="592"/>
      <c r="M961" s="592"/>
      <c r="N961" s="592"/>
      <c r="O961" s="592"/>
      <c r="P961" s="592"/>
      <c r="Q961" s="592"/>
      <c r="R961" s="592"/>
      <c r="S961" s="592"/>
      <c r="T961" s="592"/>
      <c r="U961" s="12"/>
      <c r="V961" s="12"/>
      <c r="W961" s="12"/>
      <c r="X961" s="12"/>
      <c r="Y961" s="12"/>
      <c r="Z961" s="12"/>
      <c r="AA961" s="12"/>
      <c r="AB961" s="12"/>
      <c r="AC961" s="12"/>
    </row>
    <row r="962" spans="1:29" ht="12.75" customHeight="1">
      <c r="A962" s="12"/>
      <c r="B962" s="12"/>
      <c r="C962" s="12"/>
      <c r="D962" s="12"/>
      <c r="E962" s="12"/>
      <c r="F962" s="12"/>
      <c r="G962" s="12"/>
      <c r="H962" s="592"/>
      <c r="I962" s="592"/>
      <c r="J962" s="592"/>
      <c r="K962" s="592"/>
      <c r="L962" s="592"/>
      <c r="M962" s="592"/>
      <c r="N962" s="592"/>
      <c r="O962" s="592"/>
      <c r="P962" s="592"/>
      <c r="Q962" s="592"/>
      <c r="R962" s="592"/>
      <c r="S962" s="592"/>
      <c r="T962" s="592"/>
      <c r="U962" s="12"/>
      <c r="V962" s="12"/>
      <c r="W962" s="12"/>
      <c r="X962" s="12"/>
      <c r="Y962" s="12"/>
      <c r="Z962" s="12"/>
      <c r="AA962" s="12"/>
      <c r="AB962" s="12"/>
      <c r="AC962" s="12"/>
    </row>
    <row r="963" spans="1:29" ht="12.75" customHeight="1">
      <c r="A963" s="12"/>
      <c r="B963" s="12"/>
      <c r="C963" s="12"/>
      <c r="D963" s="12"/>
      <c r="E963" s="12"/>
      <c r="F963" s="12"/>
      <c r="G963" s="12"/>
      <c r="H963" s="592"/>
      <c r="I963" s="592"/>
      <c r="J963" s="592"/>
      <c r="K963" s="592"/>
      <c r="L963" s="592"/>
      <c r="M963" s="592"/>
      <c r="N963" s="592"/>
      <c r="O963" s="592"/>
      <c r="P963" s="592"/>
      <c r="Q963" s="592"/>
      <c r="R963" s="592"/>
      <c r="S963" s="592"/>
      <c r="T963" s="592"/>
      <c r="U963" s="12"/>
      <c r="V963" s="12"/>
      <c r="W963" s="12"/>
      <c r="X963" s="12"/>
      <c r="Y963" s="12"/>
      <c r="Z963" s="12"/>
      <c r="AA963" s="12"/>
      <c r="AB963" s="12"/>
      <c r="AC963" s="12"/>
    </row>
    <row r="964" spans="1:29" ht="12.75" customHeight="1">
      <c r="A964" s="12"/>
      <c r="B964" s="12"/>
      <c r="C964" s="12"/>
      <c r="D964" s="12"/>
      <c r="E964" s="12"/>
      <c r="F964" s="12"/>
      <c r="G964" s="12"/>
      <c r="H964" s="592"/>
      <c r="I964" s="592"/>
      <c r="J964" s="592"/>
      <c r="K964" s="592"/>
      <c r="L964" s="592"/>
      <c r="M964" s="592"/>
      <c r="N964" s="592"/>
      <c r="O964" s="592"/>
      <c r="P964" s="592"/>
      <c r="Q964" s="592"/>
      <c r="R964" s="592"/>
      <c r="S964" s="592"/>
      <c r="T964" s="592"/>
      <c r="U964" s="12"/>
      <c r="V964" s="12"/>
      <c r="W964" s="12"/>
      <c r="X964" s="12"/>
      <c r="Y964" s="12"/>
      <c r="Z964" s="12"/>
      <c r="AA964" s="12"/>
      <c r="AB964" s="12"/>
      <c r="AC964" s="12"/>
    </row>
    <row r="965" spans="1:29" ht="12.75" customHeight="1">
      <c r="A965" s="12"/>
      <c r="B965" s="12"/>
      <c r="C965" s="12"/>
      <c r="D965" s="12"/>
      <c r="E965" s="12"/>
      <c r="F965" s="12"/>
      <c r="G965" s="12"/>
      <c r="H965" s="592"/>
      <c r="I965" s="592"/>
      <c r="J965" s="592"/>
      <c r="K965" s="592"/>
      <c r="L965" s="592"/>
      <c r="M965" s="592"/>
      <c r="N965" s="592"/>
      <c r="O965" s="592"/>
      <c r="P965" s="592"/>
      <c r="Q965" s="592"/>
      <c r="R965" s="592"/>
      <c r="S965" s="592"/>
      <c r="T965" s="592"/>
      <c r="U965" s="12"/>
      <c r="V965" s="12"/>
      <c r="W965" s="12"/>
      <c r="X965" s="12"/>
      <c r="Y965" s="12"/>
      <c r="Z965" s="12"/>
      <c r="AA965" s="12"/>
      <c r="AB965" s="12"/>
      <c r="AC965" s="12"/>
    </row>
    <row r="966" spans="1:29" ht="12.75" customHeight="1">
      <c r="A966" s="12"/>
      <c r="B966" s="12"/>
      <c r="C966" s="12"/>
      <c r="D966" s="12"/>
      <c r="E966" s="12"/>
      <c r="F966" s="12"/>
      <c r="G966" s="12"/>
      <c r="H966" s="592"/>
      <c r="I966" s="592"/>
      <c r="J966" s="592"/>
      <c r="K966" s="592"/>
      <c r="L966" s="592"/>
      <c r="M966" s="592"/>
      <c r="N966" s="592"/>
      <c r="O966" s="592"/>
      <c r="P966" s="592"/>
      <c r="Q966" s="592"/>
      <c r="R966" s="592"/>
      <c r="S966" s="592"/>
      <c r="T966" s="592"/>
      <c r="U966" s="12"/>
      <c r="V966" s="12"/>
      <c r="W966" s="12"/>
      <c r="X966" s="12"/>
      <c r="Y966" s="12"/>
      <c r="Z966" s="12"/>
      <c r="AA966" s="12"/>
      <c r="AB966" s="12"/>
      <c r="AC966" s="12"/>
    </row>
    <row r="967" spans="1:29" ht="12.75" customHeight="1">
      <c r="A967" s="12"/>
      <c r="B967" s="12"/>
      <c r="C967" s="12"/>
      <c r="D967" s="12"/>
      <c r="E967" s="12"/>
      <c r="F967" s="12"/>
      <c r="G967" s="12"/>
      <c r="H967" s="592"/>
      <c r="I967" s="592"/>
      <c r="J967" s="592"/>
      <c r="K967" s="592"/>
      <c r="L967" s="592"/>
      <c r="M967" s="592"/>
      <c r="N967" s="592"/>
      <c r="O967" s="592"/>
      <c r="P967" s="592"/>
      <c r="Q967" s="592"/>
      <c r="R967" s="592"/>
      <c r="S967" s="592"/>
      <c r="T967" s="592"/>
      <c r="U967" s="12"/>
      <c r="V967" s="12"/>
      <c r="W967" s="12"/>
      <c r="X967" s="12"/>
      <c r="Y967" s="12"/>
      <c r="Z967" s="12"/>
      <c r="AA967" s="12"/>
      <c r="AB967" s="12"/>
      <c r="AC967" s="12"/>
    </row>
    <row r="968" spans="1:29" ht="12.75" customHeight="1">
      <c r="A968" s="12"/>
      <c r="B968" s="12"/>
      <c r="C968" s="12"/>
      <c r="D968" s="12"/>
      <c r="E968" s="12"/>
      <c r="F968" s="12"/>
      <c r="G968" s="12"/>
      <c r="H968" s="592"/>
      <c r="I968" s="592"/>
      <c r="J968" s="592"/>
      <c r="K968" s="592"/>
      <c r="L968" s="592"/>
      <c r="M968" s="592"/>
      <c r="N968" s="592"/>
      <c r="O968" s="592"/>
      <c r="P968" s="592"/>
      <c r="Q968" s="592"/>
      <c r="R968" s="592"/>
      <c r="S968" s="592"/>
      <c r="T968" s="592"/>
      <c r="U968" s="12"/>
      <c r="V968" s="12"/>
      <c r="W968" s="12"/>
      <c r="X968" s="12"/>
      <c r="Y968" s="12"/>
      <c r="Z968" s="12"/>
      <c r="AA968" s="12"/>
      <c r="AB968" s="12"/>
      <c r="AC968" s="12"/>
    </row>
    <row r="969" spans="1:29" ht="12.75" customHeight="1">
      <c r="A969" s="12"/>
      <c r="B969" s="12"/>
      <c r="C969" s="12"/>
      <c r="D969" s="12"/>
      <c r="E969" s="12"/>
      <c r="F969" s="12"/>
      <c r="G969" s="12"/>
      <c r="H969" s="592"/>
      <c r="I969" s="592"/>
      <c r="J969" s="592"/>
      <c r="K969" s="592"/>
      <c r="L969" s="592"/>
      <c r="M969" s="592"/>
      <c r="N969" s="592"/>
      <c r="O969" s="592"/>
      <c r="P969" s="592"/>
      <c r="Q969" s="592"/>
      <c r="R969" s="592"/>
      <c r="S969" s="592"/>
      <c r="T969" s="592"/>
      <c r="U969" s="12"/>
      <c r="V969" s="12"/>
      <c r="W969" s="12"/>
      <c r="X969" s="12"/>
      <c r="Y969" s="12"/>
      <c r="Z969" s="12"/>
      <c r="AA969" s="12"/>
      <c r="AB969" s="12"/>
      <c r="AC969" s="12"/>
    </row>
    <row r="970" spans="1:29" ht="12.75" customHeight="1">
      <c r="A970" s="12"/>
      <c r="B970" s="12"/>
      <c r="C970" s="12"/>
      <c r="D970" s="12"/>
      <c r="E970" s="12"/>
      <c r="F970" s="12"/>
      <c r="G970" s="12"/>
      <c r="H970" s="592"/>
      <c r="I970" s="592"/>
      <c r="J970" s="592"/>
      <c r="K970" s="592"/>
      <c r="L970" s="592"/>
      <c r="M970" s="592"/>
      <c r="N970" s="592"/>
      <c r="O970" s="592"/>
      <c r="P970" s="592"/>
      <c r="Q970" s="592"/>
      <c r="R970" s="592"/>
      <c r="S970" s="592"/>
      <c r="T970" s="592"/>
      <c r="U970" s="12"/>
      <c r="V970" s="12"/>
      <c r="W970" s="12"/>
      <c r="X970" s="12"/>
      <c r="Y970" s="12"/>
      <c r="Z970" s="12"/>
      <c r="AA970" s="12"/>
      <c r="AB970" s="12"/>
      <c r="AC970" s="12"/>
    </row>
    <row r="971" spans="1:29" ht="12.75" customHeight="1">
      <c r="A971" s="12"/>
      <c r="B971" s="12"/>
      <c r="C971" s="12"/>
      <c r="D971" s="12"/>
      <c r="E971" s="12"/>
      <c r="F971" s="12"/>
      <c r="G971" s="12"/>
      <c r="H971" s="592"/>
      <c r="I971" s="592"/>
      <c r="J971" s="592"/>
      <c r="K971" s="592"/>
      <c r="L971" s="592"/>
      <c r="M971" s="592"/>
      <c r="N971" s="592"/>
      <c r="O971" s="592"/>
      <c r="P971" s="592"/>
      <c r="Q971" s="592"/>
      <c r="R971" s="592"/>
      <c r="S971" s="592"/>
      <c r="T971" s="592"/>
      <c r="U971" s="12"/>
      <c r="V971" s="12"/>
      <c r="W971" s="12"/>
      <c r="X971" s="12"/>
      <c r="Y971" s="12"/>
      <c r="Z971" s="12"/>
      <c r="AA971" s="12"/>
      <c r="AB971" s="12"/>
      <c r="AC971" s="12"/>
    </row>
    <row r="972" spans="1:29" ht="12.75" customHeight="1">
      <c r="A972" s="12"/>
      <c r="B972" s="12"/>
      <c r="C972" s="12"/>
      <c r="D972" s="12"/>
      <c r="E972" s="12"/>
      <c r="F972" s="12"/>
      <c r="G972" s="12"/>
      <c r="H972" s="592"/>
      <c r="I972" s="592"/>
      <c r="J972" s="592"/>
      <c r="K972" s="592"/>
      <c r="L972" s="592"/>
      <c r="M972" s="592"/>
      <c r="N972" s="592"/>
      <c r="O972" s="592"/>
      <c r="P972" s="592"/>
      <c r="Q972" s="592"/>
      <c r="R972" s="592"/>
      <c r="S972" s="592"/>
      <c r="T972" s="592"/>
      <c r="U972" s="12"/>
      <c r="V972" s="12"/>
      <c r="W972" s="12"/>
      <c r="X972" s="12"/>
      <c r="Y972" s="12"/>
      <c r="Z972" s="12"/>
      <c r="AA972" s="12"/>
      <c r="AB972" s="12"/>
      <c r="AC972" s="12"/>
    </row>
    <row r="973" spans="1:29" ht="12.75" customHeight="1">
      <c r="A973" s="12"/>
      <c r="B973" s="12"/>
      <c r="C973" s="12"/>
      <c r="D973" s="12"/>
      <c r="E973" s="12"/>
      <c r="F973" s="12"/>
      <c r="G973" s="12"/>
      <c r="H973" s="592"/>
      <c r="I973" s="592"/>
      <c r="J973" s="592"/>
      <c r="K973" s="592"/>
      <c r="L973" s="592"/>
      <c r="M973" s="592"/>
      <c r="N973" s="592"/>
      <c r="O973" s="592"/>
      <c r="P973" s="592"/>
      <c r="Q973" s="592"/>
      <c r="R973" s="592"/>
      <c r="S973" s="592"/>
      <c r="T973" s="592"/>
      <c r="U973" s="12"/>
      <c r="V973" s="12"/>
      <c r="W973" s="12"/>
      <c r="X973" s="12"/>
      <c r="Y973" s="12"/>
      <c r="Z973" s="12"/>
      <c r="AA973" s="12"/>
      <c r="AB973" s="12"/>
      <c r="AC973" s="12"/>
    </row>
    <row r="974" spans="1:29" ht="12.75" customHeight="1">
      <c r="A974" s="12"/>
      <c r="B974" s="12"/>
      <c r="C974" s="12"/>
      <c r="D974" s="12"/>
      <c r="E974" s="12"/>
      <c r="F974" s="12"/>
      <c r="G974" s="12"/>
      <c r="H974" s="592"/>
      <c r="I974" s="592"/>
      <c r="J974" s="592"/>
      <c r="K974" s="592"/>
      <c r="L974" s="592"/>
      <c r="M974" s="592"/>
      <c r="N974" s="592"/>
      <c r="O974" s="592"/>
      <c r="P974" s="592"/>
      <c r="Q974" s="592"/>
      <c r="R974" s="592"/>
      <c r="S974" s="592"/>
      <c r="T974" s="592"/>
      <c r="U974" s="12"/>
      <c r="V974" s="12"/>
      <c r="W974" s="12"/>
      <c r="X974" s="12"/>
      <c r="Y974" s="12"/>
      <c r="Z974" s="12"/>
      <c r="AA974" s="12"/>
      <c r="AB974" s="12"/>
      <c r="AC974" s="12"/>
    </row>
    <row r="975" spans="1:29" ht="12.75" customHeight="1">
      <c r="A975" s="12"/>
      <c r="B975" s="12"/>
      <c r="C975" s="12"/>
      <c r="D975" s="12"/>
      <c r="E975" s="12"/>
      <c r="F975" s="12"/>
      <c r="G975" s="12"/>
      <c r="H975" s="592"/>
      <c r="I975" s="592"/>
      <c r="J975" s="592"/>
      <c r="K975" s="592"/>
      <c r="L975" s="592"/>
      <c r="M975" s="592"/>
      <c r="N975" s="592"/>
      <c r="O975" s="592"/>
      <c r="P975" s="592"/>
      <c r="Q975" s="592"/>
      <c r="R975" s="592"/>
      <c r="S975" s="592"/>
      <c r="T975" s="592"/>
      <c r="U975" s="12"/>
      <c r="V975" s="12"/>
      <c r="W975" s="12"/>
      <c r="X975" s="12"/>
      <c r="Y975" s="12"/>
      <c r="Z975" s="12"/>
      <c r="AA975" s="12"/>
      <c r="AB975" s="12"/>
      <c r="AC975" s="12"/>
    </row>
    <row r="976" spans="1:29" ht="12.75" customHeight="1">
      <c r="A976" s="12"/>
      <c r="B976" s="12"/>
      <c r="C976" s="12"/>
      <c r="D976" s="12"/>
      <c r="E976" s="12"/>
      <c r="F976" s="12"/>
      <c r="G976" s="12"/>
      <c r="H976" s="592"/>
      <c r="I976" s="592"/>
      <c r="J976" s="592"/>
      <c r="K976" s="592"/>
      <c r="L976" s="592"/>
      <c r="M976" s="592"/>
      <c r="N976" s="592"/>
      <c r="O976" s="592"/>
      <c r="P976" s="592"/>
      <c r="Q976" s="592"/>
      <c r="R976" s="592"/>
      <c r="S976" s="592"/>
      <c r="T976" s="592"/>
      <c r="U976" s="12"/>
      <c r="V976" s="12"/>
      <c r="W976" s="12"/>
      <c r="X976" s="12"/>
      <c r="Y976" s="12"/>
      <c r="Z976" s="12"/>
      <c r="AA976" s="12"/>
      <c r="AB976" s="12"/>
      <c r="AC976" s="12"/>
    </row>
    <row r="977" spans="1:29" ht="12.75" customHeight="1">
      <c r="A977" s="12"/>
      <c r="B977" s="12"/>
      <c r="C977" s="12"/>
      <c r="D977" s="12"/>
      <c r="E977" s="12"/>
      <c r="F977" s="12"/>
      <c r="G977" s="12"/>
      <c r="H977" s="592"/>
      <c r="I977" s="592"/>
      <c r="J977" s="592"/>
      <c r="K977" s="592"/>
      <c r="L977" s="592"/>
      <c r="M977" s="592"/>
      <c r="N977" s="592"/>
      <c r="O977" s="592"/>
      <c r="P977" s="592"/>
      <c r="Q977" s="592"/>
      <c r="R977" s="592"/>
      <c r="S977" s="592"/>
      <c r="T977" s="592"/>
      <c r="U977" s="12"/>
      <c r="V977" s="12"/>
      <c r="W977" s="12"/>
      <c r="X977" s="12"/>
      <c r="Y977" s="12"/>
      <c r="Z977" s="12"/>
      <c r="AA977" s="12"/>
      <c r="AB977" s="12"/>
      <c r="AC977" s="12"/>
    </row>
    <row r="978" spans="1:29" ht="12.75" customHeight="1">
      <c r="A978" s="12"/>
      <c r="B978" s="12"/>
      <c r="C978" s="12"/>
      <c r="D978" s="12"/>
      <c r="E978" s="12"/>
      <c r="F978" s="12"/>
      <c r="G978" s="12"/>
      <c r="H978" s="592"/>
      <c r="I978" s="592"/>
      <c r="J978" s="592"/>
      <c r="K978" s="592"/>
      <c r="L978" s="592"/>
      <c r="M978" s="592"/>
      <c r="N978" s="592"/>
      <c r="O978" s="592"/>
      <c r="P978" s="592"/>
      <c r="Q978" s="592"/>
      <c r="R978" s="592"/>
      <c r="S978" s="592"/>
      <c r="T978" s="592"/>
      <c r="U978" s="12"/>
      <c r="V978" s="12"/>
      <c r="W978" s="12"/>
      <c r="X978" s="12"/>
      <c r="Y978" s="12"/>
      <c r="Z978" s="12"/>
      <c r="AA978" s="12"/>
      <c r="AB978" s="12"/>
      <c r="AC978" s="12"/>
    </row>
    <row r="979" spans="1:29" ht="12.75" customHeight="1">
      <c r="A979" s="12"/>
      <c r="B979" s="12"/>
      <c r="C979" s="12"/>
      <c r="D979" s="12"/>
      <c r="E979" s="12"/>
      <c r="F979" s="12"/>
      <c r="G979" s="12"/>
      <c r="H979" s="592"/>
      <c r="I979" s="592"/>
      <c r="J979" s="592"/>
      <c r="K979" s="592"/>
      <c r="L979" s="592"/>
      <c r="M979" s="592"/>
      <c r="N979" s="592"/>
      <c r="O979" s="592"/>
      <c r="P979" s="592"/>
      <c r="Q979" s="592"/>
      <c r="R979" s="592"/>
      <c r="S979" s="592"/>
      <c r="T979" s="592"/>
      <c r="U979" s="12"/>
      <c r="V979" s="12"/>
      <c r="W979" s="12"/>
      <c r="X979" s="12"/>
      <c r="Y979" s="12"/>
      <c r="Z979" s="12"/>
      <c r="AA979" s="12"/>
      <c r="AB979" s="12"/>
      <c r="AC979" s="12"/>
    </row>
    <row r="980" spans="1:29" ht="12.75" customHeight="1">
      <c r="A980" s="12"/>
      <c r="B980" s="12"/>
      <c r="C980" s="12"/>
      <c r="D980" s="12"/>
      <c r="E980" s="12"/>
      <c r="F980" s="12"/>
      <c r="G980" s="12"/>
      <c r="H980" s="592"/>
      <c r="I980" s="592"/>
      <c r="J980" s="592"/>
      <c r="K980" s="592"/>
      <c r="L980" s="592"/>
      <c r="M980" s="592"/>
      <c r="N980" s="592"/>
      <c r="O980" s="592"/>
      <c r="P980" s="592"/>
      <c r="Q980" s="592"/>
      <c r="R980" s="592"/>
      <c r="S980" s="592"/>
      <c r="T980" s="592"/>
      <c r="U980" s="12"/>
      <c r="V980" s="12"/>
      <c r="W980" s="12"/>
      <c r="X980" s="12"/>
      <c r="Y980" s="12"/>
      <c r="Z980" s="12"/>
      <c r="AA980" s="12"/>
      <c r="AB980" s="12"/>
      <c r="AC980" s="12"/>
    </row>
    <row r="981" spans="1:29" ht="12.75" customHeight="1">
      <c r="A981" s="12"/>
      <c r="B981" s="12"/>
      <c r="C981" s="12"/>
      <c r="D981" s="12"/>
      <c r="E981" s="12"/>
      <c r="F981" s="12"/>
      <c r="G981" s="12"/>
      <c r="H981" s="592"/>
      <c r="I981" s="592"/>
      <c r="J981" s="592"/>
      <c r="K981" s="592"/>
      <c r="L981" s="592"/>
      <c r="M981" s="592"/>
      <c r="N981" s="592"/>
      <c r="O981" s="592"/>
      <c r="P981" s="592"/>
      <c r="Q981" s="592"/>
      <c r="R981" s="592"/>
      <c r="S981" s="592"/>
      <c r="T981" s="592"/>
      <c r="U981" s="12"/>
      <c r="V981" s="12"/>
      <c r="W981" s="12"/>
      <c r="X981" s="12"/>
      <c r="Y981" s="12"/>
      <c r="Z981" s="12"/>
      <c r="AA981" s="12"/>
      <c r="AB981" s="12"/>
      <c r="AC981" s="12"/>
    </row>
    <row r="982" spans="1:29" ht="12.75" customHeight="1">
      <c r="A982" s="12"/>
      <c r="B982" s="12"/>
      <c r="C982" s="12"/>
      <c r="D982" s="12"/>
      <c r="E982" s="12"/>
      <c r="F982" s="12"/>
      <c r="G982" s="12"/>
      <c r="H982" s="592"/>
      <c r="I982" s="592"/>
      <c r="J982" s="592"/>
      <c r="K982" s="592"/>
      <c r="L982" s="592"/>
      <c r="M982" s="592"/>
      <c r="N982" s="592"/>
      <c r="O982" s="592"/>
      <c r="P982" s="592"/>
      <c r="Q982" s="592"/>
      <c r="R982" s="592"/>
      <c r="S982" s="592"/>
      <c r="T982" s="592"/>
      <c r="U982" s="12"/>
      <c r="V982" s="12"/>
      <c r="W982" s="12"/>
      <c r="X982" s="12"/>
      <c r="Y982" s="12"/>
      <c r="Z982" s="12"/>
      <c r="AA982" s="12"/>
      <c r="AB982" s="12"/>
      <c r="AC982" s="12"/>
    </row>
    <row r="983" spans="1:29" ht="12.75" customHeight="1">
      <c r="A983" s="12"/>
      <c r="B983" s="12"/>
      <c r="C983" s="12"/>
      <c r="D983" s="12"/>
      <c r="E983" s="12"/>
      <c r="F983" s="12"/>
      <c r="G983" s="12"/>
      <c r="H983" s="592"/>
      <c r="I983" s="592"/>
      <c r="J983" s="592"/>
      <c r="K983" s="592"/>
      <c r="L983" s="592"/>
      <c r="M983" s="592"/>
      <c r="N983" s="592"/>
      <c r="O983" s="592"/>
      <c r="P983" s="592"/>
      <c r="Q983" s="592"/>
      <c r="R983" s="592"/>
      <c r="S983" s="592"/>
      <c r="T983" s="592"/>
      <c r="U983" s="12"/>
      <c r="V983" s="12"/>
      <c r="W983" s="12"/>
      <c r="X983" s="12"/>
      <c r="Y983" s="12"/>
      <c r="Z983" s="12"/>
      <c r="AA983" s="12"/>
      <c r="AB983" s="12"/>
      <c r="AC983" s="12"/>
    </row>
    <row r="984" spans="1:29" ht="12.75" customHeight="1">
      <c r="A984" s="12"/>
      <c r="B984" s="12"/>
      <c r="C984" s="12"/>
      <c r="D984" s="12"/>
      <c r="E984" s="12"/>
      <c r="F984" s="12"/>
      <c r="G984" s="12"/>
      <c r="H984" s="592"/>
      <c r="I984" s="592"/>
      <c r="J984" s="592"/>
      <c r="K984" s="592"/>
      <c r="L984" s="592"/>
      <c r="M984" s="592"/>
      <c r="N984" s="592"/>
      <c r="O984" s="592"/>
      <c r="P984" s="592"/>
      <c r="Q984" s="592"/>
      <c r="R984" s="592"/>
      <c r="S984" s="592"/>
      <c r="T984" s="592"/>
      <c r="U984" s="12"/>
      <c r="V984" s="12"/>
      <c r="W984" s="12"/>
      <c r="X984" s="12"/>
      <c r="Y984" s="12"/>
      <c r="Z984" s="12"/>
      <c r="AA984" s="12"/>
      <c r="AB984" s="12"/>
      <c r="AC984" s="12"/>
    </row>
    <row r="985" spans="1:29" ht="12.75" customHeight="1">
      <c r="A985" s="12"/>
      <c r="B985" s="12"/>
      <c r="C985" s="12"/>
      <c r="D985" s="12"/>
      <c r="E985" s="12"/>
      <c r="F985" s="12"/>
      <c r="G985" s="12"/>
      <c r="H985" s="592"/>
      <c r="I985" s="592"/>
      <c r="J985" s="592"/>
      <c r="K985" s="592"/>
      <c r="L985" s="592"/>
      <c r="M985" s="592"/>
      <c r="N985" s="592"/>
      <c r="O985" s="592"/>
      <c r="P985" s="592"/>
      <c r="Q985" s="592"/>
      <c r="R985" s="592"/>
      <c r="S985" s="592"/>
      <c r="T985" s="592"/>
      <c r="U985" s="12"/>
      <c r="V985" s="12"/>
      <c r="W985" s="12"/>
      <c r="X985" s="12"/>
      <c r="Y985" s="12"/>
      <c r="Z985" s="12"/>
      <c r="AA985" s="12"/>
      <c r="AB985" s="12"/>
      <c r="AC985" s="12"/>
    </row>
    <row r="986" spans="1:29" ht="12.75" customHeight="1">
      <c r="A986" s="12"/>
      <c r="B986" s="12"/>
      <c r="C986" s="12"/>
      <c r="D986" s="12"/>
      <c r="E986" s="12"/>
      <c r="F986" s="12"/>
      <c r="G986" s="12"/>
      <c r="H986" s="592"/>
      <c r="I986" s="592"/>
      <c r="J986" s="592"/>
      <c r="K986" s="592"/>
      <c r="L986" s="592"/>
      <c r="M986" s="592"/>
      <c r="N986" s="592"/>
      <c r="O986" s="592"/>
      <c r="P986" s="592"/>
      <c r="Q986" s="592"/>
      <c r="R986" s="592"/>
      <c r="S986" s="592"/>
      <c r="T986" s="592"/>
      <c r="U986" s="12"/>
      <c r="V986" s="12"/>
      <c r="W986" s="12"/>
      <c r="X986" s="12"/>
      <c r="Y986" s="12"/>
      <c r="Z986" s="12"/>
      <c r="AA986" s="12"/>
      <c r="AB986" s="12"/>
      <c r="AC986" s="12"/>
    </row>
    <row r="987" spans="1:29" ht="12.75" customHeight="1">
      <c r="A987" s="12"/>
      <c r="B987" s="12"/>
      <c r="C987" s="12"/>
      <c r="D987" s="12"/>
      <c r="E987" s="12"/>
      <c r="F987" s="12"/>
      <c r="G987" s="12"/>
      <c r="H987" s="592"/>
      <c r="I987" s="592"/>
      <c r="J987" s="592"/>
      <c r="K987" s="592"/>
      <c r="L987" s="592"/>
      <c r="M987" s="592"/>
      <c r="N987" s="592"/>
      <c r="O987" s="592"/>
      <c r="P987" s="592"/>
      <c r="Q987" s="592"/>
      <c r="R987" s="592"/>
      <c r="S987" s="592"/>
      <c r="T987" s="592"/>
      <c r="U987" s="12"/>
      <c r="V987" s="12"/>
      <c r="W987" s="12"/>
      <c r="X987" s="12"/>
      <c r="Y987" s="12"/>
      <c r="Z987" s="12"/>
      <c r="AA987" s="12"/>
      <c r="AB987" s="12"/>
      <c r="AC987" s="12"/>
    </row>
    <row r="988" spans="1:29" ht="12.75" customHeight="1">
      <c r="A988" s="12"/>
      <c r="B988" s="12"/>
      <c r="C988" s="12"/>
      <c r="D988" s="12"/>
      <c r="E988" s="12"/>
      <c r="F988" s="12"/>
      <c r="G988" s="12"/>
      <c r="H988" s="592"/>
      <c r="I988" s="592"/>
      <c r="J988" s="592"/>
      <c r="K988" s="592"/>
      <c r="L988" s="592"/>
      <c r="M988" s="592"/>
      <c r="N988" s="592"/>
      <c r="O988" s="592"/>
      <c r="P988" s="592"/>
      <c r="Q988" s="592"/>
      <c r="R988" s="592"/>
      <c r="S988" s="592"/>
      <c r="T988" s="592"/>
      <c r="U988" s="12"/>
      <c r="V988" s="12"/>
      <c r="W988" s="12"/>
      <c r="X988" s="12"/>
      <c r="Y988" s="12"/>
      <c r="Z988" s="12"/>
      <c r="AA988" s="12"/>
      <c r="AB988" s="12"/>
      <c r="AC988" s="12"/>
    </row>
    <row r="989" spans="1:29" ht="12.75" customHeight="1">
      <c r="A989" s="12"/>
      <c r="B989" s="12"/>
      <c r="C989" s="12"/>
      <c r="D989" s="12"/>
      <c r="E989" s="12"/>
      <c r="F989" s="12"/>
      <c r="G989" s="12"/>
      <c r="H989" s="592"/>
      <c r="I989" s="592"/>
      <c r="J989" s="592"/>
      <c r="K989" s="592"/>
      <c r="L989" s="592"/>
      <c r="M989" s="592"/>
      <c r="N989" s="592"/>
      <c r="O989" s="592"/>
      <c r="P989" s="592"/>
      <c r="Q989" s="592"/>
      <c r="R989" s="592"/>
      <c r="S989" s="592"/>
      <c r="T989" s="592"/>
      <c r="U989" s="12"/>
      <c r="V989" s="12"/>
      <c r="W989" s="12"/>
      <c r="X989" s="12"/>
      <c r="Y989" s="12"/>
      <c r="Z989" s="12"/>
      <c r="AA989" s="12"/>
      <c r="AB989" s="12"/>
      <c r="AC989" s="12"/>
    </row>
    <row r="990" spans="1:29" ht="12.75" customHeight="1">
      <c r="A990" s="12"/>
      <c r="B990" s="12"/>
      <c r="C990" s="12"/>
      <c r="D990" s="12"/>
      <c r="E990" s="12"/>
      <c r="F990" s="12"/>
      <c r="G990" s="12"/>
      <c r="H990" s="592"/>
      <c r="I990" s="592"/>
      <c r="J990" s="592"/>
      <c r="K990" s="592"/>
      <c r="L990" s="592"/>
      <c r="M990" s="592"/>
      <c r="N990" s="592"/>
      <c r="O990" s="592"/>
      <c r="P990" s="592"/>
      <c r="Q990" s="592"/>
      <c r="R990" s="592"/>
      <c r="S990" s="592"/>
      <c r="T990" s="592"/>
      <c r="U990" s="12"/>
      <c r="V990" s="12"/>
      <c r="W990" s="12"/>
      <c r="X990" s="12"/>
      <c r="Y990" s="12"/>
      <c r="Z990" s="12"/>
      <c r="AA990" s="12"/>
      <c r="AB990" s="12"/>
      <c r="AC990" s="12"/>
    </row>
    <row r="991" spans="1:29" ht="12.75" customHeight="1">
      <c r="A991" s="12"/>
      <c r="B991" s="12"/>
      <c r="C991" s="12"/>
      <c r="D991" s="12"/>
      <c r="E991" s="12"/>
      <c r="F991" s="12"/>
      <c r="G991" s="12"/>
      <c r="H991" s="592"/>
      <c r="I991" s="592"/>
      <c r="J991" s="592"/>
      <c r="K991" s="592"/>
      <c r="L991" s="592"/>
      <c r="M991" s="592"/>
      <c r="N991" s="592"/>
      <c r="O991" s="592"/>
      <c r="P991" s="592"/>
      <c r="Q991" s="592"/>
      <c r="R991" s="592"/>
      <c r="S991" s="592"/>
      <c r="T991" s="592"/>
      <c r="U991" s="12"/>
      <c r="V991" s="12"/>
      <c r="W991" s="12"/>
      <c r="X991" s="12"/>
      <c r="Y991" s="12"/>
      <c r="Z991" s="12"/>
      <c r="AA991" s="12"/>
      <c r="AB991" s="12"/>
      <c r="AC991" s="12"/>
    </row>
    <row r="992" spans="1:29" ht="12.75" customHeight="1">
      <c r="A992" s="12"/>
      <c r="B992" s="12"/>
      <c r="C992" s="12"/>
      <c r="D992" s="12"/>
      <c r="E992" s="12"/>
      <c r="F992" s="12"/>
      <c r="G992" s="12"/>
      <c r="H992" s="592"/>
      <c r="I992" s="592"/>
      <c r="J992" s="592"/>
      <c r="K992" s="592"/>
      <c r="L992" s="592"/>
      <c r="M992" s="592"/>
      <c r="N992" s="592"/>
      <c r="O992" s="592"/>
      <c r="P992" s="592"/>
      <c r="Q992" s="592"/>
      <c r="R992" s="592"/>
      <c r="S992" s="592"/>
      <c r="T992" s="592"/>
      <c r="U992" s="12"/>
      <c r="V992" s="12"/>
      <c r="W992" s="12"/>
      <c r="X992" s="12"/>
      <c r="Y992" s="12"/>
      <c r="Z992" s="12"/>
      <c r="AA992" s="12"/>
      <c r="AB992" s="12"/>
      <c r="AC992" s="12"/>
    </row>
    <row r="993" spans="1:29" ht="12.75" customHeight="1">
      <c r="A993" s="12"/>
      <c r="B993" s="12"/>
      <c r="C993" s="12"/>
      <c r="D993" s="12"/>
      <c r="E993" s="12"/>
      <c r="F993" s="12"/>
      <c r="G993" s="12"/>
      <c r="H993" s="592"/>
      <c r="I993" s="592"/>
      <c r="J993" s="592"/>
      <c r="K993" s="592"/>
      <c r="L993" s="592"/>
      <c r="M993" s="592"/>
      <c r="N993" s="592"/>
      <c r="O993" s="592"/>
      <c r="P993" s="592"/>
      <c r="Q993" s="592"/>
      <c r="R993" s="592"/>
      <c r="S993" s="592"/>
      <c r="T993" s="592"/>
      <c r="U993" s="12"/>
      <c r="V993" s="12"/>
      <c r="W993" s="12"/>
      <c r="X993" s="12"/>
      <c r="Y993" s="12"/>
      <c r="Z993" s="12"/>
      <c r="AA993" s="12"/>
      <c r="AB993" s="12"/>
      <c r="AC993" s="12"/>
    </row>
    <row r="994" spans="1:29" ht="12.75" customHeight="1">
      <c r="A994" s="12"/>
      <c r="B994" s="12"/>
      <c r="C994" s="12"/>
      <c r="D994" s="12"/>
      <c r="E994" s="12"/>
      <c r="F994" s="12"/>
      <c r="G994" s="12"/>
      <c r="H994" s="592"/>
      <c r="I994" s="592"/>
      <c r="J994" s="592"/>
      <c r="K994" s="592"/>
      <c r="L994" s="592"/>
      <c r="M994" s="592"/>
      <c r="N994" s="592"/>
      <c r="O994" s="592"/>
      <c r="P994" s="592"/>
      <c r="Q994" s="592"/>
      <c r="R994" s="592"/>
      <c r="S994" s="592"/>
      <c r="T994" s="592"/>
      <c r="U994" s="12"/>
      <c r="V994" s="12"/>
      <c r="W994" s="12"/>
      <c r="X994" s="12"/>
      <c r="Y994" s="12"/>
      <c r="Z994" s="12"/>
      <c r="AA994" s="12"/>
      <c r="AB994" s="12"/>
      <c r="AC994" s="12"/>
    </row>
    <row r="995" spans="1:29" ht="12.75" customHeight="1">
      <c r="A995" s="12"/>
      <c r="B995" s="12"/>
      <c r="C995" s="12"/>
      <c r="D995" s="12"/>
      <c r="E995" s="12"/>
      <c r="F995" s="12"/>
      <c r="G995" s="12"/>
      <c r="H995" s="592"/>
      <c r="I995" s="592"/>
      <c r="J995" s="592"/>
      <c r="K995" s="592"/>
      <c r="L995" s="592"/>
      <c r="M995" s="592"/>
      <c r="N995" s="592"/>
      <c r="O995" s="592"/>
      <c r="P995" s="592"/>
      <c r="Q995" s="592"/>
      <c r="R995" s="592"/>
      <c r="S995" s="592"/>
      <c r="T995" s="592"/>
      <c r="U995" s="12"/>
      <c r="V995" s="12"/>
      <c r="W995" s="12"/>
      <c r="X995" s="12"/>
      <c r="Y995" s="12"/>
      <c r="Z995" s="12"/>
      <c r="AA995" s="12"/>
      <c r="AB995" s="12"/>
      <c r="AC995" s="12"/>
    </row>
    <row r="996" spans="1:29" ht="12.75" customHeight="1">
      <c r="A996" s="12"/>
      <c r="B996" s="12"/>
      <c r="C996" s="12"/>
      <c r="D996" s="12"/>
      <c r="E996" s="12"/>
      <c r="F996" s="12"/>
      <c r="G996" s="12"/>
      <c r="H996" s="592"/>
      <c r="I996" s="592"/>
      <c r="J996" s="592"/>
      <c r="K996" s="592"/>
      <c r="L996" s="592"/>
      <c r="M996" s="592"/>
      <c r="N996" s="592"/>
      <c r="O996" s="592"/>
      <c r="P996" s="592"/>
      <c r="Q996" s="592"/>
      <c r="R996" s="592"/>
      <c r="S996" s="592"/>
      <c r="T996" s="592"/>
      <c r="U996" s="12"/>
      <c r="V996" s="12"/>
      <c r="W996" s="12"/>
      <c r="X996" s="12"/>
      <c r="Y996" s="12"/>
      <c r="Z996" s="12"/>
      <c r="AA996" s="12"/>
      <c r="AB996" s="12"/>
      <c r="AC996" s="12"/>
    </row>
    <row r="997" spans="1:29" ht="12.75" customHeight="1">
      <c r="A997" s="12"/>
      <c r="B997" s="12"/>
      <c r="C997" s="12"/>
      <c r="D997" s="12"/>
      <c r="E997" s="12"/>
      <c r="F997" s="12"/>
      <c r="G997" s="12"/>
      <c r="H997" s="592"/>
      <c r="I997" s="592"/>
      <c r="J997" s="592"/>
      <c r="K997" s="592"/>
      <c r="L997" s="592"/>
      <c r="M997" s="592"/>
      <c r="N997" s="592"/>
      <c r="O997" s="592"/>
      <c r="P997" s="592"/>
      <c r="Q997" s="592"/>
      <c r="R997" s="592"/>
      <c r="S997" s="592"/>
      <c r="T997" s="592"/>
      <c r="U997" s="12"/>
      <c r="V997" s="12"/>
      <c r="W997" s="12"/>
      <c r="X997" s="12"/>
      <c r="Y997" s="12"/>
      <c r="Z997" s="12"/>
      <c r="AA997" s="12"/>
      <c r="AB997" s="12"/>
      <c r="AC997" s="12"/>
    </row>
    <row r="998" spans="1:29" ht="12.75" customHeight="1">
      <c r="A998" s="12"/>
      <c r="B998" s="12"/>
      <c r="C998" s="12"/>
      <c r="D998" s="12"/>
      <c r="E998" s="12"/>
      <c r="F998" s="12"/>
      <c r="G998" s="12"/>
      <c r="H998" s="592"/>
      <c r="I998" s="592"/>
      <c r="J998" s="592"/>
      <c r="K998" s="592"/>
      <c r="L998" s="592"/>
      <c r="M998" s="592"/>
      <c r="N998" s="592"/>
      <c r="O998" s="592"/>
      <c r="P998" s="592"/>
      <c r="Q998" s="592"/>
      <c r="R998" s="592"/>
      <c r="S998" s="592"/>
      <c r="T998" s="592"/>
      <c r="U998" s="12"/>
      <c r="V998" s="12"/>
      <c r="W998" s="12"/>
      <c r="X998" s="12"/>
      <c r="Y998" s="12"/>
      <c r="Z998" s="12"/>
      <c r="AA998" s="12"/>
      <c r="AB998" s="12"/>
      <c r="AC998" s="12"/>
    </row>
    <row r="999" spans="1:29" ht="12.75" customHeight="1">
      <c r="A999" s="12"/>
      <c r="B999" s="12"/>
      <c r="C999" s="12"/>
      <c r="D999" s="12"/>
      <c r="E999" s="12"/>
      <c r="F999" s="12"/>
      <c r="G999" s="12"/>
      <c r="H999" s="592"/>
      <c r="I999" s="592"/>
      <c r="J999" s="592"/>
      <c r="K999" s="592"/>
      <c r="L999" s="592"/>
      <c r="M999" s="592"/>
      <c r="N999" s="592"/>
      <c r="O999" s="592"/>
      <c r="P999" s="592"/>
      <c r="Q999" s="592"/>
      <c r="R999" s="592"/>
      <c r="S999" s="592"/>
      <c r="T999" s="592"/>
      <c r="U999" s="12"/>
      <c r="V999" s="12"/>
      <c r="W999" s="12"/>
      <c r="X999" s="12"/>
      <c r="Y999" s="12"/>
      <c r="Z999" s="12"/>
      <c r="AA999" s="12"/>
      <c r="AB999" s="12"/>
      <c r="AC999" s="12"/>
    </row>
    <row r="1000" spans="1:29" ht="12.75" customHeight="1">
      <c r="A1000" s="12"/>
      <c r="B1000" s="12"/>
      <c r="C1000" s="12"/>
      <c r="D1000" s="12"/>
      <c r="E1000" s="12"/>
      <c r="F1000" s="12"/>
      <c r="G1000" s="12"/>
      <c r="H1000" s="592"/>
      <c r="I1000" s="592"/>
      <c r="J1000" s="592"/>
      <c r="K1000" s="592"/>
      <c r="L1000" s="592"/>
      <c r="M1000" s="592"/>
      <c r="N1000" s="592"/>
      <c r="O1000" s="592"/>
      <c r="P1000" s="592"/>
      <c r="Q1000" s="592"/>
      <c r="R1000" s="592"/>
      <c r="S1000" s="592"/>
      <c r="T1000" s="592"/>
      <c r="U1000" s="12"/>
      <c r="V1000" s="12"/>
      <c r="W1000" s="12"/>
      <c r="X1000" s="12"/>
      <c r="Y1000" s="12"/>
      <c r="Z1000" s="12"/>
      <c r="AA1000" s="12"/>
      <c r="AB1000" s="12"/>
      <c r="AC1000" s="12"/>
    </row>
  </sheetData>
  <mergeCells count="1">
    <mergeCell ref="B8:G8"/>
  </mergeCells>
  <conditionalFormatting sqref="E13:E30">
    <cfRule type="cellIs" dxfId="124" priority="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3.5" customHeight="1">
      <c r="A1" s="7"/>
      <c r="B1" s="7"/>
      <c r="C1" s="8" t="str">
        <f ca="1">Company_Name&amp;" - "&amp;MID(CELL("filename",A1),FIND("]",CELL("filename",A1))+1,255)&amp;": "&amp;Case_Scenario&amp;" Case"</f>
        <v>NETFLIX INC - WACC: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c r="B3" s="12"/>
      <c r="C3" s="12"/>
      <c r="D3" s="12"/>
      <c r="E3" s="12"/>
      <c r="F3" s="12"/>
      <c r="G3" s="12"/>
      <c r="H3" s="12"/>
      <c r="I3" s="12"/>
      <c r="J3" s="12"/>
      <c r="K3" s="12"/>
      <c r="L3" s="12"/>
      <c r="M3" s="12"/>
      <c r="N3" s="12"/>
      <c r="O3" s="12"/>
      <c r="P3" s="12"/>
      <c r="Q3" s="12"/>
      <c r="R3" s="598"/>
      <c r="S3" s="12"/>
      <c r="T3" s="12"/>
      <c r="U3" s="12"/>
      <c r="V3" s="12"/>
      <c r="W3" s="12"/>
      <c r="X3" s="12"/>
      <c r="Y3" s="12"/>
      <c r="Z3" s="12"/>
    </row>
    <row r="4" spans="1:26" ht="13.5" customHeight="1">
      <c r="A4" s="13" t="s">
        <v>1</v>
      </c>
      <c r="B4" s="12"/>
      <c r="C4" s="14" t="s">
        <v>754</v>
      </c>
      <c r="D4" s="15"/>
      <c r="E4" s="15"/>
      <c r="F4" s="15"/>
      <c r="G4" s="16"/>
      <c r="H4" s="12"/>
      <c r="I4" s="12"/>
      <c r="J4" s="14" t="s">
        <v>755</v>
      </c>
      <c r="K4" s="15"/>
      <c r="L4" s="15"/>
      <c r="M4" s="56" t="s">
        <v>756</v>
      </c>
      <c r="N4" s="56" t="s">
        <v>757</v>
      </c>
      <c r="O4" s="57" t="s">
        <v>758</v>
      </c>
      <c r="P4" s="12"/>
      <c r="Q4" s="142"/>
      <c r="R4" s="213" t="s">
        <v>4</v>
      </c>
      <c r="S4" s="141"/>
      <c r="T4" s="12"/>
      <c r="U4" s="12"/>
      <c r="V4" s="12"/>
      <c r="W4" s="12"/>
      <c r="X4" s="12"/>
      <c r="Y4" s="12"/>
      <c r="Z4" s="12"/>
    </row>
    <row r="5" spans="1:26" ht="13.5" customHeight="1">
      <c r="A5" s="13"/>
      <c r="B5" s="12"/>
      <c r="C5" s="12"/>
      <c r="D5" s="12"/>
      <c r="E5" s="12"/>
      <c r="F5" s="12"/>
      <c r="G5" s="12"/>
      <c r="H5" s="12"/>
      <c r="I5" s="12"/>
      <c r="J5" s="12"/>
      <c r="K5" s="12"/>
      <c r="L5" s="12"/>
      <c r="M5" s="69"/>
      <c r="N5" s="69"/>
      <c r="O5" s="69"/>
      <c r="P5" s="12"/>
      <c r="Q5" s="142"/>
      <c r="R5" s="599" t="s">
        <v>6</v>
      </c>
      <c r="S5" s="12"/>
      <c r="T5" s="12"/>
      <c r="U5" s="12"/>
      <c r="V5" s="12"/>
      <c r="W5" s="12"/>
      <c r="X5" s="12"/>
      <c r="Y5" s="12"/>
      <c r="Z5" s="12"/>
    </row>
    <row r="6" spans="1:26" ht="13.5" customHeight="1">
      <c r="A6" s="13"/>
      <c r="B6" s="12"/>
      <c r="C6" s="12" t="s">
        <v>759</v>
      </c>
      <c r="D6" s="12"/>
      <c r="E6" s="12"/>
      <c r="F6" s="12"/>
      <c r="G6" s="600">
        <v>3.49E-2</v>
      </c>
      <c r="H6" s="12"/>
      <c r="I6" s="12"/>
      <c r="J6" s="12" t="s">
        <v>760</v>
      </c>
      <c r="K6" s="12"/>
      <c r="L6" s="12"/>
      <c r="M6" s="601">
        <f>Model!V139+Model!V140</f>
        <v>23311</v>
      </c>
      <c r="N6" s="497">
        <f>M6/$M$9</f>
        <v>0.12388314648205556</v>
      </c>
      <c r="O6" s="497">
        <f>Cost_of_Debt</f>
        <v>1.277020530796194E-2</v>
      </c>
      <c r="P6" s="12"/>
      <c r="Q6" s="12"/>
      <c r="R6" s="101"/>
      <c r="S6" s="12"/>
      <c r="T6" s="12"/>
      <c r="U6" s="12"/>
      <c r="V6" s="12"/>
      <c r="W6" s="12"/>
      <c r="X6" s="12"/>
      <c r="Y6" s="12"/>
      <c r="Z6" s="12"/>
    </row>
    <row r="7" spans="1:26" ht="13.5" customHeight="1">
      <c r="A7" s="13"/>
      <c r="B7" s="12"/>
      <c r="C7" s="12" t="s">
        <v>761</v>
      </c>
      <c r="D7" s="12"/>
      <c r="E7" s="12"/>
      <c r="F7" s="12"/>
      <c r="G7" s="600">
        <v>4.9000000000000002E-2</v>
      </c>
      <c r="H7" s="12"/>
      <c r="I7" s="12"/>
      <c r="J7" s="12" t="s">
        <v>762</v>
      </c>
      <c r="K7" s="12"/>
      <c r="L7" s="12"/>
      <c r="M7" s="494">
        <f>Diluted_Shares*Share_Price</f>
        <v>164858.26</v>
      </c>
      <c r="N7" s="602">
        <f>1-Weight_of_Debt-Weight_of_Preferred</f>
        <v>0.87611685351794444</v>
      </c>
      <c r="O7" s="497">
        <f>Cost_of_Equity</f>
        <v>9.9912710000000002E-2</v>
      </c>
      <c r="P7" s="12"/>
      <c r="Q7" s="12"/>
      <c r="R7" s="12"/>
      <c r="S7" s="12"/>
      <c r="T7" s="12"/>
      <c r="U7" s="12"/>
      <c r="V7" s="12"/>
      <c r="W7" s="12"/>
      <c r="X7" s="12"/>
      <c r="Y7" s="12"/>
      <c r="Z7" s="12"/>
    </row>
    <row r="8" spans="1:26" ht="13.5" customHeight="1">
      <c r="A8" s="13"/>
      <c r="B8" s="12"/>
      <c r="C8" s="12" t="s">
        <v>763</v>
      </c>
      <c r="D8" s="12"/>
      <c r="E8" s="12"/>
      <c r="F8" s="12"/>
      <c r="G8" s="600">
        <v>1.6899999999999998E-2</v>
      </c>
      <c r="H8" s="12"/>
      <c r="I8" s="12"/>
      <c r="J8" s="12" t="s">
        <v>764</v>
      </c>
      <c r="K8" s="12"/>
      <c r="L8" s="12"/>
      <c r="M8" s="603">
        <v>0</v>
      </c>
      <c r="N8" s="497">
        <f>M8/$M$9</f>
        <v>0</v>
      </c>
      <c r="O8" s="497">
        <f>Cost_of_Preferred</f>
        <v>0</v>
      </c>
      <c r="P8" s="12"/>
      <c r="Q8" s="12"/>
      <c r="R8" s="12"/>
      <c r="S8" s="12"/>
      <c r="T8" s="12"/>
      <c r="U8" s="12"/>
      <c r="V8" s="12"/>
      <c r="W8" s="12"/>
      <c r="X8" s="12"/>
      <c r="Y8" s="12"/>
      <c r="Z8" s="12"/>
    </row>
    <row r="9" spans="1:26" ht="13.5" customHeight="1">
      <c r="A9" s="13"/>
      <c r="B9" s="12"/>
      <c r="C9" s="12" t="s">
        <v>765</v>
      </c>
      <c r="D9" s="12"/>
      <c r="E9" s="12"/>
      <c r="F9" s="12"/>
      <c r="G9" s="122">
        <f>Tax_Rate</f>
        <v>0.2443665498247371</v>
      </c>
      <c r="H9" s="12"/>
      <c r="I9" s="12"/>
      <c r="J9" s="101" t="s">
        <v>766</v>
      </c>
      <c r="K9" s="101"/>
      <c r="L9" s="101"/>
      <c r="M9" s="604">
        <f t="shared" ref="M9:N9" si="0">SUM(M6:M8)</f>
        <v>188169.26</v>
      </c>
      <c r="N9" s="605">
        <f t="shared" si="0"/>
        <v>1</v>
      </c>
      <c r="O9" s="605">
        <f>SUMPRODUCT(N6:N8,O6:O8)</f>
        <v>8.9117222326423023E-2</v>
      </c>
      <c r="P9" s="12"/>
      <c r="Q9" s="12"/>
      <c r="R9" s="12"/>
      <c r="S9" s="12"/>
      <c r="T9" s="12"/>
      <c r="U9" s="12"/>
      <c r="V9" s="12"/>
      <c r="W9" s="12"/>
      <c r="X9" s="12"/>
      <c r="Y9" s="12"/>
      <c r="Z9" s="12"/>
    </row>
    <row r="10" spans="1:26" ht="13.5" customHeight="1">
      <c r="A10" s="13"/>
      <c r="B10" s="12"/>
      <c r="C10" s="12" t="s">
        <v>767</v>
      </c>
      <c r="D10" s="12"/>
      <c r="E10" s="12"/>
      <c r="F10" s="12"/>
      <c r="G10" s="600">
        <v>0</v>
      </c>
      <c r="H10" s="12"/>
      <c r="I10" s="12"/>
      <c r="J10" s="12"/>
      <c r="K10" s="12"/>
      <c r="L10" s="12"/>
      <c r="M10" s="12"/>
      <c r="N10" s="12"/>
      <c r="O10" s="12"/>
      <c r="P10" s="12"/>
      <c r="Q10" s="12"/>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12"/>
      <c r="D12" s="12"/>
      <c r="E12" s="12"/>
      <c r="F12" s="12"/>
      <c r="G12" s="606"/>
      <c r="H12" s="12"/>
      <c r="I12" s="12"/>
      <c r="J12" s="12"/>
      <c r="K12" s="12"/>
      <c r="L12" s="12"/>
      <c r="M12" s="12"/>
      <c r="N12" s="12"/>
      <c r="O12" s="12"/>
      <c r="P12" s="12"/>
      <c r="Q12" s="12"/>
      <c r="R12" s="12"/>
      <c r="S12" s="12"/>
      <c r="T12" s="12"/>
      <c r="U12" s="12"/>
      <c r="V12" s="12"/>
      <c r="W12" s="12"/>
      <c r="X12" s="12"/>
      <c r="Y12" s="12"/>
      <c r="Z12" s="12"/>
    </row>
    <row r="13" spans="1:26" ht="13.5" customHeight="1">
      <c r="A13" s="13" t="s">
        <v>1</v>
      </c>
      <c r="B13" s="12"/>
      <c r="C13" s="14" t="s">
        <v>768</v>
      </c>
      <c r="D13" s="15"/>
      <c r="E13" s="15"/>
      <c r="F13" s="15"/>
      <c r="G13" s="16"/>
      <c r="H13" s="12"/>
      <c r="I13" s="12"/>
      <c r="J13" s="607" t="s">
        <v>769</v>
      </c>
      <c r="K13" s="608"/>
      <c r="L13" s="608"/>
      <c r="M13" s="608"/>
      <c r="N13" s="608"/>
      <c r="O13" s="609">
        <f>SUMPRODUCT($N$6:$N$8,$O$6:$O$8)</f>
        <v>8.9117222326423023E-2</v>
      </c>
      <c r="P13" s="12"/>
      <c r="Q13" s="12"/>
      <c r="R13" s="12"/>
      <c r="S13" s="12"/>
      <c r="T13" s="12"/>
      <c r="U13" s="12"/>
      <c r="V13" s="12"/>
      <c r="W13" s="12"/>
      <c r="X13" s="12"/>
      <c r="Y13" s="12"/>
      <c r="Z13" s="12"/>
    </row>
    <row r="14" spans="1:26"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3"/>
      <c r="B15" s="12"/>
      <c r="C15" s="12" t="s">
        <v>763</v>
      </c>
      <c r="D15" s="12"/>
      <c r="E15" s="12"/>
      <c r="F15" s="12"/>
      <c r="G15" s="600">
        <f>G8</f>
        <v>1.6899999999999998E-2</v>
      </c>
      <c r="H15" s="12"/>
      <c r="I15" s="12"/>
      <c r="J15" s="12"/>
      <c r="K15" s="12"/>
      <c r="L15" s="12"/>
      <c r="M15" s="12"/>
      <c r="N15" s="12"/>
      <c r="O15" s="12"/>
      <c r="P15" s="12"/>
      <c r="Q15" s="12"/>
      <c r="R15" s="12"/>
      <c r="S15" s="12"/>
      <c r="T15" s="12"/>
      <c r="U15" s="12"/>
      <c r="V15" s="12"/>
      <c r="W15" s="12"/>
      <c r="X15" s="12"/>
      <c r="Y15" s="12"/>
      <c r="Z15" s="12"/>
    </row>
    <row r="16" spans="1:26" ht="13.5" customHeight="1">
      <c r="A16" s="13"/>
      <c r="B16" s="12"/>
      <c r="C16" s="12" t="s">
        <v>770</v>
      </c>
      <c r="D16" s="12"/>
      <c r="E16" s="12"/>
      <c r="F16" s="12"/>
      <c r="G16" s="122">
        <f>Tax_Rate</f>
        <v>0.2443665498247371</v>
      </c>
      <c r="H16" s="12"/>
      <c r="I16" s="12"/>
      <c r="J16" s="12"/>
      <c r="K16" s="12"/>
      <c r="L16" s="12"/>
      <c r="M16" s="12"/>
      <c r="N16" s="12"/>
      <c r="O16" s="12"/>
      <c r="P16" s="12"/>
      <c r="Q16" s="12"/>
      <c r="R16" s="12"/>
      <c r="S16" s="12"/>
      <c r="T16" s="12"/>
      <c r="U16" s="12"/>
      <c r="V16" s="12"/>
      <c r="W16" s="12"/>
      <c r="X16" s="12"/>
      <c r="Y16" s="12"/>
      <c r="Z16" s="12"/>
    </row>
    <row r="17" spans="1:26" ht="13.5" customHeight="1">
      <c r="A17" s="13"/>
      <c r="B17" s="12"/>
      <c r="C17" s="101" t="s">
        <v>771</v>
      </c>
      <c r="D17" s="101"/>
      <c r="E17" s="101"/>
      <c r="F17" s="101"/>
      <c r="G17" s="610">
        <f>G15*(1-G16)</f>
        <v>1.277020530796194E-2</v>
      </c>
      <c r="H17" s="12"/>
      <c r="I17" s="12"/>
      <c r="J17" s="12"/>
      <c r="K17" s="12"/>
      <c r="L17" s="12"/>
      <c r="M17" s="12"/>
      <c r="N17" s="12"/>
      <c r="O17" s="12"/>
      <c r="P17" s="12"/>
      <c r="Q17" s="12"/>
      <c r="R17" s="1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3" t="s">
        <v>1</v>
      </c>
      <c r="B20" s="12"/>
      <c r="C20" s="14" t="s">
        <v>772</v>
      </c>
      <c r="D20" s="15"/>
      <c r="E20" s="15"/>
      <c r="F20" s="15"/>
      <c r="G20" s="16"/>
      <c r="H20" s="12"/>
      <c r="I20" s="12"/>
      <c r="J20" s="14" t="s">
        <v>773</v>
      </c>
      <c r="K20" s="15"/>
      <c r="L20" s="15"/>
      <c r="M20" s="15"/>
      <c r="N20" s="15"/>
      <c r="O20" s="15"/>
      <c r="P20" s="16"/>
      <c r="Q20" s="611">
        <f>N26-Discount_Rate</f>
        <v>-2.4017932196848668E-4</v>
      </c>
      <c r="R20" s="12"/>
      <c r="S20" s="12"/>
      <c r="T20" s="12"/>
      <c r="U20" s="12"/>
      <c r="V20" s="12"/>
      <c r="W20" s="12"/>
      <c r="X20" s="12"/>
      <c r="Y20" s="12"/>
      <c r="Z20" s="12"/>
    </row>
    <row r="21" spans="1:26" ht="13.5" customHeight="1">
      <c r="A21" s="13"/>
      <c r="B21" s="12"/>
      <c r="C21" s="12"/>
      <c r="D21" s="12"/>
      <c r="E21" s="12"/>
      <c r="F21" s="12"/>
      <c r="G21" s="12"/>
      <c r="H21" s="12"/>
      <c r="I21" s="12"/>
      <c r="J21" s="40"/>
      <c r="K21" s="149"/>
      <c r="L21" s="69"/>
      <c r="M21" s="69"/>
      <c r="N21" s="69"/>
      <c r="O21" s="69"/>
      <c r="P21" s="69"/>
      <c r="Q21" s="12"/>
      <c r="R21" s="12"/>
      <c r="S21" s="12"/>
      <c r="T21" s="12"/>
      <c r="U21" s="12"/>
      <c r="V21" s="12"/>
      <c r="W21" s="12"/>
      <c r="X21" s="12"/>
      <c r="Y21" s="12"/>
      <c r="Z21" s="12"/>
    </row>
    <row r="22" spans="1:26" ht="13.5" customHeight="1">
      <c r="A22" s="13"/>
      <c r="B22" s="12"/>
      <c r="C22" s="12" t="str">
        <f t="shared" ref="C22:C23" si="1">C6</f>
        <v>Risk-Free Rate:</v>
      </c>
      <c r="D22" s="12"/>
      <c r="E22" s="12"/>
      <c r="F22" s="12"/>
      <c r="G22" s="600">
        <f>Risk_Free_Rate</f>
        <v>3.49E-2</v>
      </c>
      <c r="H22" s="12"/>
      <c r="I22" s="12"/>
      <c r="J22" s="535"/>
      <c r="K22" s="537"/>
      <c r="L22" s="915" t="s">
        <v>774</v>
      </c>
      <c r="M22" s="916"/>
      <c r="N22" s="916"/>
      <c r="O22" s="916"/>
      <c r="P22" s="916"/>
      <c r="Q22" s="12"/>
      <c r="R22" s="12"/>
      <c r="S22" s="12"/>
      <c r="T22" s="12"/>
      <c r="U22" s="12"/>
      <c r="V22" s="12"/>
      <c r="W22" s="12"/>
      <c r="X22" s="12"/>
      <c r="Y22" s="12"/>
      <c r="Z22" s="12"/>
    </row>
    <row r="23" spans="1:26" ht="14.25" customHeight="1">
      <c r="A23" s="13"/>
      <c r="B23" s="12"/>
      <c r="C23" s="12" t="str">
        <f t="shared" si="1"/>
        <v>Equity Risk Premium (ERP):</v>
      </c>
      <c r="D23" s="12"/>
      <c r="E23" s="12"/>
      <c r="F23" s="12"/>
      <c r="G23" s="600">
        <f>ERP</f>
        <v>4.9000000000000002E-2</v>
      </c>
      <c r="H23" s="12"/>
      <c r="I23" s="12"/>
      <c r="J23" s="12"/>
      <c r="K23" s="612">
        <f>Discount_Rate</f>
        <v>8.9117222326423023E-2</v>
      </c>
      <c r="L23" s="613">
        <f t="shared" ref="L23:M23" si="2">M23-$M$34</f>
        <v>6.8999999999999973E-3</v>
      </c>
      <c r="M23" s="613">
        <f t="shared" si="2"/>
        <v>1.1899999999999997E-2</v>
      </c>
      <c r="N23" s="614">
        <v>1.6899999999999998E-2</v>
      </c>
      <c r="O23" s="613">
        <f t="shared" ref="O23:P23" si="3">N23+$M$34</f>
        <v>2.1899999999999999E-2</v>
      </c>
      <c r="P23" s="613">
        <f t="shared" si="3"/>
        <v>2.69E-2</v>
      </c>
      <c r="Q23" s="12"/>
      <c r="R23" s="12"/>
      <c r="S23" s="12"/>
      <c r="T23" s="12"/>
      <c r="U23" s="12"/>
      <c r="V23" s="12"/>
      <c r="W23" s="12"/>
      <c r="X23" s="12"/>
      <c r="Y23" s="12"/>
      <c r="Z23" s="12"/>
    </row>
    <row r="24" spans="1:26" ht="14.25" customHeight="1">
      <c r="A24" s="13"/>
      <c r="B24" s="12"/>
      <c r="C24" s="100" t="s">
        <v>775</v>
      </c>
      <c r="D24" s="100"/>
      <c r="E24" s="100"/>
      <c r="F24" s="100"/>
      <c r="G24" s="615">
        <f>IF(J44="Comps Relevered Beta",G47,G49)</f>
        <v>1.3267899999999999</v>
      </c>
      <c r="H24" s="12"/>
      <c r="I24" s="12"/>
      <c r="J24" s="917" t="s">
        <v>776</v>
      </c>
      <c r="K24" s="616">
        <f t="shared" ref="K24:K25" si="4">K25-$M$37</f>
        <v>8.6229507131471678E-2</v>
      </c>
      <c r="L24" s="617">
        <v>9.1736915607411387E-2</v>
      </c>
      <c r="M24" s="618">
        <v>9.2055487597904898E-2</v>
      </c>
      <c r="N24" s="618">
        <v>9.2374059588398408E-2</v>
      </c>
      <c r="O24" s="618">
        <v>9.2692631578891918E-2</v>
      </c>
      <c r="P24" s="619">
        <v>9.3011203569385428E-2</v>
      </c>
      <c r="Q24" s="12"/>
      <c r="R24" s="12"/>
      <c r="S24" s="12"/>
      <c r="T24" s="12"/>
      <c r="U24" s="12"/>
      <c r="V24" s="12"/>
      <c r="W24" s="12"/>
      <c r="X24" s="12"/>
      <c r="Y24" s="12"/>
      <c r="Z24" s="12"/>
    </row>
    <row r="25" spans="1:26" ht="13.5" customHeight="1">
      <c r="A25" s="13"/>
      <c r="B25" s="12"/>
      <c r="C25" s="12" t="s">
        <v>772</v>
      </c>
      <c r="D25" s="12"/>
      <c r="E25" s="12"/>
      <c r="F25" s="12"/>
      <c r="G25" s="600">
        <f>G22+G24*G23</f>
        <v>9.9912710000000002E-2</v>
      </c>
      <c r="H25" s="12"/>
      <c r="I25" s="12"/>
      <c r="J25" s="918"/>
      <c r="K25" s="616">
        <f t="shared" si="4"/>
        <v>0.10622950713147168</v>
      </c>
      <c r="L25" s="620">
        <v>8.984062867163585E-2</v>
      </c>
      <c r="M25" s="621">
        <v>9.0233089984031151E-2</v>
      </c>
      <c r="N25" s="621">
        <v>9.0625551296426465E-2</v>
      </c>
      <c r="O25" s="621">
        <v>9.1018012608821766E-2</v>
      </c>
      <c r="P25" s="622">
        <v>9.1410473921217067E-2</v>
      </c>
      <c r="Q25" s="12"/>
      <c r="R25" s="12"/>
      <c r="S25" s="12"/>
      <c r="T25" s="12"/>
      <c r="U25" s="12"/>
      <c r="V25" s="12"/>
      <c r="W25" s="12"/>
      <c r="X25" s="12"/>
      <c r="Y25" s="12"/>
      <c r="Z25" s="12"/>
    </row>
    <row r="26" spans="1:26" ht="13.5" customHeight="1">
      <c r="A26" s="13"/>
      <c r="B26" s="12"/>
      <c r="C26" s="12"/>
      <c r="D26" s="12"/>
      <c r="E26" s="12"/>
      <c r="F26" s="12"/>
      <c r="G26" s="12"/>
      <c r="H26" s="12"/>
      <c r="I26" s="12"/>
      <c r="J26" s="918"/>
      <c r="K26" s="623">
        <v>0.12622950713147169</v>
      </c>
      <c r="L26" s="620">
        <v>8.794434173586034E-2</v>
      </c>
      <c r="M26" s="621">
        <v>8.8410692370157445E-2</v>
      </c>
      <c r="N26" s="621">
        <v>8.8877043004454537E-2</v>
      </c>
      <c r="O26" s="621">
        <v>8.9343393638751642E-2</v>
      </c>
      <c r="P26" s="622">
        <v>8.9809744273048733E-2</v>
      </c>
      <c r="Q26" s="12"/>
      <c r="R26" s="12"/>
      <c r="S26" s="12"/>
      <c r="T26" s="12"/>
      <c r="U26" s="12"/>
      <c r="V26" s="12"/>
      <c r="W26" s="12"/>
      <c r="X26" s="12"/>
      <c r="Y26" s="12"/>
      <c r="Z26" s="12"/>
    </row>
    <row r="27" spans="1:26" ht="13.5" customHeight="1">
      <c r="A27" s="13"/>
      <c r="B27" s="12"/>
      <c r="C27" s="12"/>
      <c r="D27" s="12"/>
      <c r="E27" s="12"/>
      <c r="F27" s="12"/>
      <c r="G27" s="12"/>
      <c r="H27" s="12"/>
      <c r="I27" s="12"/>
      <c r="J27" s="918"/>
      <c r="K27" s="616">
        <f t="shared" ref="K27:K28" si="5">K26+$M$37</f>
        <v>0.14622950713147168</v>
      </c>
      <c r="L27" s="620">
        <v>8.6048054800084817E-2</v>
      </c>
      <c r="M27" s="621">
        <v>8.6588294756283699E-2</v>
      </c>
      <c r="N27" s="621">
        <v>8.7128534712482594E-2</v>
      </c>
      <c r="O27" s="621">
        <v>8.7668774668681476E-2</v>
      </c>
      <c r="P27" s="622">
        <v>8.8209014624880372E-2</v>
      </c>
      <c r="Q27" s="12"/>
      <c r="R27" s="12"/>
      <c r="S27" s="12"/>
      <c r="T27" s="12"/>
      <c r="U27" s="12"/>
      <c r="V27" s="12"/>
      <c r="W27" s="12"/>
      <c r="X27" s="12"/>
      <c r="Y27" s="12"/>
      <c r="Z27" s="12"/>
    </row>
    <row r="28" spans="1:26" ht="13.5" customHeight="1">
      <c r="A28" s="13" t="s">
        <v>1</v>
      </c>
      <c r="B28" s="12"/>
      <c r="C28" s="14" t="str">
        <f>Company_Name&amp;" - Peer Group Unlevered Beta:"</f>
        <v>NETFLIX INC - Peer Group Unlevered Beta:</v>
      </c>
      <c r="D28" s="15"/>
      <c r="E28" s="15"/>
      <c r="F28" s="15"/>
      <c r="G28" s="16"/>
      <c r="H28" s="12"/>
      <c r="I28" s="12"/>
      <c r="J28" s="919"/>
      <c r="K28" s="616">
        <f t="shared" si="5"/>
        <v>0.16622950713147167</v>
      </c>
      <c r="L28" s="624">
        <v>8.4151767864309279E-2</v>
      </c>
      <c r="M28" s="625">
        <v>8.4765897142409966E-2</v>
      </c>
      <c r="N28" s="625">
        <v>8.5380026420510638E-2</v>
      </c>
      <c r="O28" s="625">
        <v>8.5994155698611324E-2</v>
      </c>
      <c r="P28" s="626">
        <v>8.6608284976712011E-2</v>
      </c>
      <c r="Q28" s="12"/>
      <c r="R28" s="12"/>
      <c r="S28" s="12"/>
      <c r="T28" s="12"/>
      <c r="U28" s="12"/>
      <c r="V28" s="12"/>
      <c r="W28" s="12"/>
      <c r="X28" s="12"/>
      <c r="Y28" s="12"/>
      <c r="Z28" s="12"/>
    </row>
    <row r="29" spans="1:26" ht="13.5" customHeight="1">
      <c r="A29" s="13"/>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3"/>
      <c r="B30" s="12"/>
      <c r="C30" s="12"/>
      <c r="D30" s="69" t="s">
        <v>777</v>
      </c>
      <c r="E30" s="69" t="s">
        <v>778</v>
      </c>
      <c r="F30" s="69" t="s">
        <v>779</v>
      </c>
      <c r="G30" s="69" t="s">
        <v>780</v>
      </c>
      <c r="H30" s="12"/>
      <c r="I30" s="12"/>
      <c r="J30" s="12"/>
      <c r="K30" s="12"/>
      <c r="L30" s="12"/>
      <c r="M30" s="12"/>
      <c r="N30" s="12"/>
      <c r="O30" s="12"/>
      <c r="P30" s="12"/>
      <c r="Q30" s="12"/>
      <c r="R30" s="12"/>
      <c r="S30" s="12"/>
      <c r="T30" s="12"/>
      <c r="U30" s="12"/>
      <c r="V30" s="12"/>
      <c r="W30" s="12"/>
      <c r="X30" s="12"/>
      <c r="Y30" s="12"/>
      <c r="Z30" s="12"/>
    </row>
    <row r="31" spans="1:26" ht="13.5" customHeight="1">
      <c r="A31" s="13"/>
      <c r="B31" s="12"/>
      <c r="C31" s="100" t="s">
        <v>517</v>
      </c>
      <c r="D31" s="160" t="s">
        <v>529</v>
      </c>
      <c r="E31" s="160" t="s">
        <v>534</v>
      </c>
      <c r="F31" s="160" t="s">
        <v>781</v>
      </c>
      <c r="G31" s="160" t="s">
        <v>529</v>
      </c>
      <c r="H31" s="12"/>
      <c r="I31" s="12"/>
      <c r="J31" s="874" t="s">
        <v>782</v>
      </c>
      <c r="K31" s="858"/>
      <c r="L31" s="858"/>
      <c r="M31" s="854"/>
      <c r="N31" s="12"/>
      <c r="O31" s="12"/>
      <c r="P31" s="12"/>
      <c r="Q31" s="12"/>
      <c r="R31" s="12"/>
      <c r="S31" s="12"/>
      <c r="T31" s="12"/>
      <c r="U31" s="12"/>
      <c r="V31" s="12"/>
      <c r="W31" s="12"/>
      <c r="X31" s="12"/>
      <c r="Y31" s="12"/>
      <c r="Z31" s="12"/>
    </row>
    <row r="32" spans="1:26" ht="13.5" customHeight="1">
      <c r="A32" s="13"/>
      <c r="B32" s="12"/>
      <c r="C32" s="12"/>
      <c r="D32" s="183"/>
      <c r="E32" s="627"/>
      <c r="F32" s="627"/>
      <c r="G32" s="628"/>
      <c r="H32" s="12"/>
      <c r="I32" s="12"/>
      <c r="J32" s="12"/>
      <c r="K32" s="12"/>
      <c r="L32" s="12"/>
      <c r="M32" s="12"/>
      <c r="N32" s="12"/>
      <c r="O32" s="12"/>
      <c r="P32" s="12"/>
      <c r="Q32" s="12"/>
      <c r="R32" s="12"/>
      <c r="S32" s="12"/>
      <c r="T32" s="12"/>
      <c r="U32" s="12"/>
      <c r="V32" s="12"/>
      <c r="W32" s="12"/>
      <c r="X32" s="12"/>
      <c r="Y32" s="12"/>
      <c r="Z32" s="12"/>
    </row>
    <row r="33" spans="1:26" ht="13.5" customHeight="1">
      <c r="A33" s="13"/>
      <c r="B33" s="12"/>
      <c r="C33" s="407" t="e">
        <f ca="1">Comparables!D12</f>
        <v>#NAME?</v>
      </c>
      <c r="D33" s="629">
        <f>Comparables!H30</f>
        <v>1.2027699999999999</v>
      </c>
      <c r="E33" s="630">
        <f>Comparables!O30</f>
        <v>1.8714390000000001</v>
      </c>
      <c r="F33" s="631">
        <f>Comparables!G30</f>
        <v>0.14428099999999999</v>
      </c>
      <c r="G33" s="632">
        <f t="shared" ref="G33:G37" si="6">IF(ISERROR(D33/(1+(1-F33)*E33)),"NA",(D33/(1+(1-F33)*E33)))</f>
        <v>0.46235028087576152</v>
      </c>
      <c r="H33" s="12"/>
      <c r="I33" s="12"/>
      <c r="J33" s="12" t="s">
        <v>783</v>
      </c>
      <c r="K33" s="12"/>
      <c r="L33" s="12"/>
      <c r="M33" s="633">
        <f>G8</f>
        <v>1.6899999999999998E-2</v>
      </c>
      <c r="N33" s="611">
        <f>M33-N23</f>
        <v>0</v>
      </c>
      <c r="O33" s="12"/>
      <c r="P33" s="12"/>
      <c r="Q33" s="12"/>
      <c r="R33" s="12"/>
      <c r="S33" s="12"/>
      <c r="T33" s="12"/>
      <c r="U33" s="12"/>
      <c r="V33" s="12"/>
      <c r="W33" s="12"/>
      <c r="X33" s="12"/>
      <c r="Y33" s="12"/>
      <c r="Z33" s="12"/>
    </row>
    <row r="34" spans="1:26" ht="13.5" customHeight="1">
      <c r="A34" s="13"/>
      <c r="B34" s="12"/>
      <c r="C34" s="407" t="e">
        <f ca="1">Comparables!D13</f>
        <v>#NAME?</v>
      </c>
      <c r="D34" s="629">
        <f>Comparables!H31</f>
        <v>1.29172</v>
      </c>
      <c r="E34" s="630">
        <f>Comparables!O31</f>
        <v>8.7121999999999991E-2</v>
      </c>
      <c r="F34" s="631">
        <f>Comparables!G31</f>
        <v>0.12157899999999999</v>
      </c>
      <c r="G34" s="632">
        <f t="shared" si="6"/>
        <v>1.1998924755868288</v>
      </c>
      <c r="H34" s="12"/>
      <c r="I34" s="12"/>
      <c r="J34" s="12" t="s">
        <v>784</v>
      </c>
      <c r="K34" s="12"/>
      <c r="L34" s="12"/>
      <c r="M34" s="634">
        <v>5.0000000000000001E-3</v>
      </c>
      <c r="N34" s="12"/>
      <c r="O34" s="12"/>
      <c r="P34" s="12"/>
      <c r="Q34" s="12"/>
      <c r="R34" s="12"/>
      <c r="S34" s="12"/>
      <c r="T34" s="12"/>
      <c r="U34" s="12"/>
      <c r="V34" s="12"/>
      <c r="W34" s="12"/>
      <c r="X34" s="12"/>
      <c r="Y34" s="12"/>
      <c r="Z34" s="12"/>
    </row>
    <row r="35" spans="1:26" ht="13.5" customHeight="1">
      <c r="A35" s="13"/>
      <c r="B35" s="12"/>
      <c r="C35" s="407" t="e">
        <f ca="1">Comparables!D14</f>
        <v>#NAME?</v>
      </c>
      <c r="D35" s="629">
        <f>Comparables!H32</f>
        <v>0.77607999999999999</v>
      </c>
      <c r="E35" s="630">
        <f>Comparables!O32</f>
        <v>0.57947099999999996</v>
      </c>
      <c r="F35" s="631">
        <f>Comparables!G32</f>
        <v>0.138266</v>
      </c>
      <c r="G35" s="632">
        <f t="shared" si="6"/>
        <v>0.51761101214576011</v>
      </c>
      <c r="H35" s="12"/>
      <c r="I35" s="12"/>
      <c r="J35" s="12"/>
      <c r="K35" s="12"/>
      <c r="L35" s="12"/>
      <c r="M35" s="69"/>
      <c r="N35" s="12"/>
      <c r="O35" s="12"/>
      <c r="P35" s="12"/>
      <c r="Q35" s="12"/>
      <c r="R35" s="12"/>
      <c r="S35" s="12"/>
      <c r="T35" s="12"/>
      <c r="U35" s="12"/>
      <c r="V35" s="12"/>
      <c r="W35" s="12"/>
      <c r="X35" s="12"/>
      <c r="Y35" s="12"/>
      <c r="Z35" s="12"/>
    </row>
    <row r="36" spans="1:26" ht="13.5" customHeight="1">
      <c r="A36" s="13"/>
      <c r="B36" s="12"/>
      <c r="C36" s="407" t="e">
        <f ca="1">Comparables!D15</f>
        <v>#NAME?</v>
      </c>
      <c r="D36" s="629">
        <f>Comparables!H33</f>
        <v>1.27315</v>
      </c>
      <c r="E36" s="630">
        <f>Comparables!O33</f>
        <v>0.85989599999999999</v>
      </c>
      <c r="F36" s="631">
        <f>Comparables!G33</f>
        <v>0.138266</v>
      </c>
      <c r="G36" s="632">
        <f t="shared" si="6"/>
        <v>0.73127444892653704</v>
      </c>
      <c r="H36" s="12"/>
      <c r="I36" s="12"/>
      <c r="J36" s="12" t="s">
        <v>785</v>
      </c>
      <c r="K36" s="12"/>
      <c r="L36" s="12"/>
      <c r="M36" s="635">
        <f>Weight_of_Debt</f>
        <v>0.12388314648205556</v>
      </c>
      <c r="N36" s="611">
        <f>M36-K26</f>
        <v>-2.3463606494161238E-3</v>
      </c>
      <c r="O36" s="12"/>
      <c r="P36" s="12"/>
      <c r="Q36" s="12"/>
      <c r="R36" s="12"/>
      <c r="S36" s="12"/>
      <c r="T36" s="12"/>
      <c r="U36" s="12"/>
      <c r="V36" s="12"/>
      <c r="W36" s="12"/>
      <c r="X36" s="12"/>
      <c r="Y36" s="12"/>
      <c r="Z36" s="12"/>
    </row>
    <row r="37" spans="1:26" ht="13.5" customHeight="1">
      <c r="A37" s="13"/>
      <c r="B37" s="12"/>
      <c r="C37" s="407" t="e">
        <f ca="1">Comparables!D16</f>
        <v>#NAME?</v>
      </c>
      <c r="D37" s="629">
        <f>Comparables!H34</f>
        <v>0.99924999999999997</v>
      </c>
      <c r="E37" s="630">
        <f>Comparables!O34</f>
        <v>0.12524199999999999</v>
      </c>
      <c r="F37" s="631">
        <f>Comparables!G34</f>
        <v>0.16249300000000003</v>
      </c>
      <c r="G37" s="632">
        <f t="shared" si="6"/>
        <v>0.90438781133032708</v>
      </c>
      <c r="H37" s="12"/>
      <c r="I37" s="12"/>
      <c r="J37" s="12" t="s">
        <v>786</v>
      </c>
      <c r="K37" s="12"/>
      <c r="L37" s="12"/>
      <c r="M37" s="634">
        <v>0.02</v>
      </c>
      <c r="N37" s="12"/>
      <c r="O37" s="12"/>
      <c r="P37" s="12"/>
      <c r="Q37" s="12"/>
      <c r="R37" s="12"/>
      <c r="S37" s="12"/>
      <c r="T37" s="12"/>
      <c r="U37" s="12"/>
      <c r="V37" s="12"/>
      <c r="W37" s="12"/>
      <c r="X37" s="12"/>
      <c r="Y37" s="12"/>
      <c r="Z37" s="12"/>
    </row>
    <row r="38" spans="1:26" ht="13.5" customHeight="1">
      <c r="A38" s="13"/>
      <c r="B38" s="12"/>
      <c r="C38" s="100"/>
      <c r="D38" s="636"/>
      <c r="E38" s="637"/>
      <c r="F38" s="638"/>
      <c r="G38" s="639"/>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t="s">
        <v>787</v>
      </c>
      <c r="D39" s="632">
        <f t="shared" ref="D39:G39" si="7">AVERAGE(D32:D38)</f>
        <v>1.1085939999999999</v>
      </c>
      <c r="E39" s="493">
        <f t="shared" si="7"/>
        <v>0.70463399999999998</v>
      </c>
      <c r="F39" s="497">
        <f t="shared" si="7"/>
        <v>0.14097699999999999</v>
      </c>
      <c r="G39" s="632">
        <f t="shared" si="7"/>
        <v>0.76310320577304291</v>
      </c>
      <c r="H39" s="12"/>
      <c r="I39" s="12"/>
      <c r="J39" s="12"/>
      <c r="K39" s="12"/>
      <c r="L39" s="12"/>
      <c r="M39" s="12"/>
      <c r="N39" s="12"/>
      <c r="O39" s="12"/>
      <c r="P39" s="12"/>
      <c r="Q39" s="12"/>
      <c r="R39" s="12"/>
      <c r="S39" s="12"/>
      <c r="T39" s="12"/>
      <c r="U39" s="12"/>
      <c r="V39" s="12"/>
      <c r="W39" s="12"/>
      <c r="X39" s="12"/>
      <c r="Y39" s="12"/>
      <c r="Z39" s="12"/>
    </row>
    <row r="40" spans="1:26" ht="13.5" customHeight="1">
      <c r="A40" s="13"/>
      <c r="B40" s="12"/>
      <c r="C40" s="12" t="s">
        <v>788</v>
      </c>
      <c r="D40" s="632">
        <f t="shared" ref="D40:G40" si="8">MEDIAN(D32:D38)</f>
        <v>1.2027699999999999</v>
      </c>
      <c r="E40" s="493">
        <f t="shared" si="8"/>
        <v>0.57947099999999996</v>
      </c>
      <c r="F40" s="497">
        <f t="shared" si="8"/>
        <v>0.138266</v>
      </c>
      <c r="G40" s="632">
        <f t="shared" si="8"/>
        <v>0.73127444892653704</v>
      </c>
      <c r="H40" s="12"/>
      <c r="I40" s="12"/>
      <c r="J40" s="12"/>
      <c r="K40" s="12"/>
      <c r="L40" s="12"/>
      <c r="M40" s="12"/>
      <c r="N40" s="12"/>
      <c r="O40" s="12"/>
      <c r="P40" s="12"/>
      <c r="Q40" s="12"/>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3" t="s">
        <v>1</v>
      </c>
      <c r="B43" s="12"/>
      <c r="C43" s="14" t="str">
        <f>Company_Name&amp;" - Relevered Beta"</f>
        <v>NETFLIX INC - Relevered Beta</v>
      </c>
      <c r="D43" s="15"/>
      <c r="E43" s="15"/>
      <c r="F43" s="15"/>
      <c r="G43" s="16"/>
      <c r="H43" s="12"/>
      <c r="I43" s="12"/>
      <c r="J43" s="881" t="s">
        <v>789</v>
      </c>
      <c r="K43" s="869"/>
      <c r="L43" s="12"/>
      <c r="M43" s="12"/>
      <c r="N43" s="12"/>
      <c r="O43" s="12"/>
      <c r="P43" s="12"/>
      <c r="Q43" s="12"/>
      <c r="R43" s="12"/>
      <c r="S43" s="12"/>
      <c r="T43" s="12"/>
      <c r="U43" s="12"/>
      <c r="V43" s="12"/>
      <c r="W43" s="12"/>
      <c r="X43" s="12"/>
      <c r="Y43" s="12"/>
      <c r="Z43" s="12"/>
    </row>
    <row r="44" spans="1:26" ht="13.5" customHeight="1">
      <c r="A44" s="13"/>
      <c r="B44" s="12"/>
      <c r="C44" s="12"/>
      <c r="D44" s="12"/>
      <c r="E44" s="12"/>
      <c r="F44" s="12"/>
      <c r="G44" s="12"/>
      <c r="H44" s="12"/>
      <c r="I44" s="12"/>
      <c r="J44" s="920" t="s">
        <v>790</v>
      </c>
      <c r="K44" s="854"/>
      <c r="L44" s="12"/>
      <c r="M44" s="12"/>
      <c r="N44" s="12"/>
      <c r="O44" s="12"/>
      <c r="P44" s="12"/>
      <c r="Q44" s="12"/>
      <c r="R44" s="12"/>
      <c r="S44" s="12"/>
      <c r="T44" s="12"/>
      <c r="U44" s="12"/>
      <c r="V44" s="12"/>
      <c r="W44" s="12"/>
      <c r="X44" s="12"/>
      <c r="Y44" s="12"/>
      <c r="Z44" s="12"/>
    </row>
    <row r="45" spans="1:26" ht="13.5" customHeight="1">
      <c r="A45" s="13"/>
      <c r="B45" s="12"/>
      <c r="C45" s="12"/>
      <c r="D45" s="69" t="s">
        <v>791</v>
      </c>
      <c r="E45" s="69" t="s">
        <v>792</v>
      </c>
      <c r="F45" s="69" t="s">
        <v>779</v>
      </c>
      <c r="G45" s="69" t="s">
        <v>793</v>
      </c>
      <c r="H45" s="12"/>
      <c r="I45" s="12"/>
      <c r="J45" s="12"/>
      <c r="K45" s="12"/>
      <c r="L45" s="12"/>
      <c r="M45" s="12"/>
      <c r="N45" s="12"/>
      <c r="O45" s="12"/>
      <c r="P45" s="12"/>
      <c r="Q45" s="12"/>
      <c r="R45" s="12"/>
      <c r="S45" s="12"/>
      <c r="T45" s="12"/>
      <c r="U45" s="12"/>
      <c r="V45" s="12"/>
      <c r="W45" s="12"/>
      <c r="X45" s="12"/>
      <c r="Y45" s="12"/>
      <c r="Z45" s="12"/>
    </row>
    <row r="46" spans="1:26" ht="13.5" customHeight="1">
      <c r="A46" s="13"/>
      <c r="B46" s="12"/>
      <c r="C46" s="12"/>
      <c r="D46" s="69" t="s">
        <v>529</v>
      </c>
      <c r="E46" s="69" t="s">
        <v>534</v>
      </c>
      <c r="F46" s="69" t="s">
        <v>781</v>
      </c>
      <c r="G46" s="69" t="s">
        <v>529</v>
      </c>
      <c r="H46" s="12"/>
      <c r="I46" s="12"/>
      <c r="J46" s="12"/>
      <c r="K46" s="12"/>
      <c r="L46" s="12"/>
      <c r="M46" s="12"/>
      <c r="N46" s="12"/>
      <c r="O46" s="12"/>
      <c r="P46" s="12"/>
      <c r="Q46" s="12"/>
      <c r="R46" s="12"/>
      <c r="S46" s="12"/>
      <c r="T46" s="12"/>
      <c r="U46" s="12"/>
      <c r="V46" s="12"/>
      <c r="W46" s="12"/>
      <c r="X46" s="12"/>
      <c r="Y46" s="12"/>
      <c r="Z46" s="12"/>
    </row>
    <row r="47" spans="1:26" ht="13.5" customHeight="1">
      <c r="A47" s="13"/>
      <c r="B47" s="12"/>
      <c r="C47" s="186" t="s">
        <v>794</v>
      </c>
      <c r="D47" s="641">
        <f>G39</f>
        <v>0.76310320577304291</v>
      </c>
      <c r="E47" s="642">
        <f>Comparables!O28</f>
        <v>18.240082999999998</v>
      </c>
      <c r="F47" s="643">
        <f>Tax_Rate</f>
        <v>0.2443665498247371</v>
      </c>
      <c r="G47" s="644">
        <f>IF(ISERROR(D47*(1+(1-F47)*E47)),"NA",(D47*(1+(1-F47)*E47)))</f>
        <v>11.280814927654548</v>
      </c>
      <c r="H47" s="12"/>
      <c r="I47" s="12"/>
      <c r="J47" s="12"/>
      <c r="K47" s="12"/>
      <c r="L47" s="12"/>
      <c r="M47" s="12"/>
      <c r="N47" s="12"/>
      <c r="O47" s="12"/>
      <c r="P47" s="12"/>
      <c r="Q47" s="12"/>
      <c r="R47" s="12"/>
      <c r="S47" s="12"/>
      <c r="T47" s="12"/>
      <c r="U47" s="12"/>
      <c r="V47" s="12"/>
      <c r="W47" s="12"/>
      <c r="X47" s="12"/>
      <c r="Y47" s="12"/>
      <c r="Z47" s="12"/>
    </row>
    <row r="48" spans="1:26" ht="13.5" customHeight="1">
      <c r="A48" s="13"/>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3"/>
      <c r="B49" s="12"/>
      <c r="C49" s="186" t="str">
        <f>Company_Name&amp;" Levered Beta"</f>
        <v>NETFLIX INC Levered Beta</v>
      </c>
      <c r="D49" s="645"/>
      <c r="E49" s="646"/>
      <c r="F49" s="646"/>
      <c r="G49" s="647">
        <f>Comparables!H28</f>
        <v>1.3267899999999999</v>
      </c>
      <c r="H49" s="12"/>
      <c r="I49" s="12"/>
      <c r="J49" s="12"/>
      <c r="K49" s="12"/>
      <c r="L49" s="12"/>
      <c r="M49" s="12"/>
      <c r="N49" s="12"/>
      <c r="O49" s="12"/>
      <c r="P49" s="12"/>
      <c r="Q49" s="12"/>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t="s">
        <v>1</v>
      </c>
      <c r="B51" s="12"/>
      <c r="C51" s="12"/>
      <c r="D51" s="12"/>
      <c r="E51" s="12"/>
      <c r="F51" s="12"/>
      <c r="G51" s="12"/>
      <c r="H51" s="12"/>
      <c r="I51" s="12"/>
      <c r="J51" s="12"/>
      <c r="K51" s="12"/>
      <c r="L51" s="12"/>
      <c r="M51" s="12"/>
      <c r="N51" s="12"/>
      <c r="O51" s="12"/>
      <c r="P51" s="12"/>
      <c r="Q51" s="12"/>
      <c r="R51" s="13" t="s">
        <v>1</v>
      </c>
      <c r="S51" s="12"/>
      <c r="T51" s="12"/>
      <c r="U51" s="12"/>
      <c r="V51" s="12"/>
      <c r="W51" s="12"/>
      <c r="X51" s="12"/>
      <c r="Y51" s="12"/>
      <c r="Z51" s="12"/>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3" priority="1">
      <formula>$R$5="Report"</formula>
    </cfRule>
  </conditionalFormatting>
  <conditionalFormatting sqref="E47 G49">
    <cfRule type="expression" dxfId="122" priority="2">
      <formula>$R$5="Report"</formula>
    </cfRule>
  </conditionalFormatting>
  <conditionalFormatting sqref="G6:G8 G10">
    <cfRule type="expression" dxfId="121" priority="3">
      <formula>$R$5="Working"</formula>
    </cfRule>
  </conditionalFormatting>
  <conditionalFormatting sqref="G6:G10">
    <cfRule type="expression" dxfId="120" priority="4">
      <formula>$R$5="Report"</formula>
    </cfRule>
  </conditionalFormatting>
  <conditionalFormatting sqref="G9">
    <cfRule type="expression" dxfId="119" priority="5">
      <formula>$R$5="Working"</formula>
    </cfRule>
  </conditionalFormatting>
  <conditionalFormatting sqref="M33:M34 M36:M37">
    <cfRule type="expression" dxfId="118" priority="6">
      <formula>$R$5="Report"</formula>
    </cfRule>
    <cfRule type="expression" dxfId="117" priority="7">
      <formula>$R$5="Working"</formula>
    </cfRule>
  </conditionalFormatting>
  <conditionalFormatting sqref="N33">
    <cfRule type="expression" dxfId="116" priority="8">
      <formula>$R$2="Report"</formula>
    </cfRule>
    <cfRule type="expression" dxfId="115" priority="9">
      <formula>N33&lt;&gt;0</formula>
    </cfRule>
    <cfRule type="expression" dxfId="114" priority="10">
      <formula>$AQ$2="Report"</formula>
    </cfRule>
  </conditionalFormatting>
  <conditionalFormatting sqref="N36">
    <cfRule type="expression" dxfId="113" priority="11">
      <formula>$R$2="Report"</formula>
    </cfRule>
    <cfRule type="expression" dxfId="112" priority="12">
      <formula>N36&lt;&gt;0</formula>
    </cfRule>
    <cfRule type="expression" dxfId="111" priority="13">
      <formula>$AQ$2="Report"</formula>
    </cfRule>
  </conditionalFormatting>
  <conditionalFormatting sqref="Q20">
    <cfRule type="expression" dxfId="110" priority="14">
      <formula>$R$2="Report"</formula>
    </cfRule>
    <cfRule type="expression" dxfId="109" priority="15">
      <formula>Q20&lt;&gt;0</formula>
    </cfRule>
    <cfRule type="expression" dxfId="108"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outlineLevelCol="1"/>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s>
  <sheetData>
    <row r="1" spans="1:28" ht="13.5" customHeight="1">
      <c r="A1" s="289"/>
      <c r="B1" s="7"/>
      <c r="C1" s="8" t="str">
        <f ca="1">Company_Name&amp;" - "&amp;MID(CELL("filename",A1),FIND("]",CELL("filename",A1))+1,255)&amp;": "&amp;Case_Scenario&amp;" Case"</f>
        <v>NETFLIX INC - Valuation: Base Case</v>
      </c>
      <c r="D1" s="7"/>
      <c r="E1" s="7"/>
      <c r="F1" s="7"/>
      <c r="G1" s="7"/>
      <c r="H1" s="7"/>
      <c r="I1" s="7"/>
      <c r="J1" s="7"/>
      <c r="K1" s="7"/>
      <c r="L1" s="7"/>
      <c r="M1" s="7"/>
      <c r="N1" s="7"/>
      <c r="O1" s="7"/>
      <c r="P1" s="7"/>
      <c r="Q1" s="7"/>
      <c r="R1" s="9" t="s">
        <v>4</v>
      </c>
      <c r="S1" s="7"/>
      <c r="T1" s="7"/>
      <c r="U1" s="7"/>
      <c r="V1" s="7"/>
      <c r="W1" s="7"/>
      <c r="X1" s="7"/>
      <c r="Y1" s="7"/>
      <c r="Z1" s="7"/>
      <c r="AA1" s="7"/>
      <c r="AB1" s="7"/>
    </row>
    <row r="2" spans="1:28" ht="13.5" customHeight="1">
      <c r="A2" s="290"/>
      <c r="B2" s="4"/>
      <c r="C2" s="10" t="str">
        <f>Cover!C2</f>
        <v>$ in Millions Except Per Share Data</v>
      </c>
      <c r="D2" s="4"/>
      <c r="E2" s="4"/>
      <c r="F2" s="4"/>
      <c r="G2" s="4"/>
      <c r="H2" s="4"/>
      <c r="I2" s="4"/>
      <c r="J2" s="4"/>
      <c r="K2" s="4"/>
      <c r="L2" s="4"/>
      <c r="M2" s="4"/>
      <c r="N2" s="4"/>
      <c r="O2" s="4"/>
      <c r="P2" s="4"/>
      <c r="Q2" s="4"/>
      <c r="R2" s="11" t="s">
        <v>6</v>
      </c>
      <c r="S2" s="4"/>
      <c r="T2" s="4"/>
      <c r="U2" s="4"/>
      <c r="V2" s="4"/>
      <c r="W2" s="4"/>
      <c r="X2" s="4"/>
      <c r="Y2" s="4"/>
      <c r="Z2" s="4"/>
      <c r="AA2" s="4"/>
      <c r="AB2" s="4"/>
    </row>
    <row r="3" spans="1:28" ht="13.5" customHeight="1">
      <c r="A3" s="5"/>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ht="13.5" customHeight="1">
      <c r="A4" s="211" t="s">
        <v>1</v>
      </c>
      <c r="B4" s="12"/>
      <c r="C4" s="882" t="s">
        <v>34</v>
      </c>
      <c r="D4" s="883"/>
      <c r="E4" s="883"/>
      <c r="F4" s="883"/>
      <c r="G4" s="883"/>
      <c r="H4" s="883"/>
      <c r="I4" s="883"/>
      <c r="J4" s="883"/>
      <c r="K4" s="883"/>
      <c r="L4" s="883"/>
      <c r="M4" s="883"/>
      <c r="N4" s="883"/>
      <c r="O4" s="883"/>
      <c r="P4" s="883"/>
      <c r="Q4" s="883"/>
      <c r="R4" s="883"/>
      <c r="S4" s="211" t="s">
        <v>1</v>
      </c>
      <c r="T4" s="12"/>
      <c r="U4" s="12"/>
      <c r="V4" s="648" t="s">
        <v>795</v>
      </c>
      <c r="W4" s="649" t="str">
        <f>IF(SUM(L9:L22)=100%,"Good", "Check")</f>
        <v>Good</v>
      </c>
      <c r="X4" s="12"/>
      <c r="Y4" s="12"/>
      <c r="Z4" s="12"/>
      <c r="AA4" s="12"/>
      <c r="AB4" s="12"/>
    </row>
    <row r="5" spans="1:28" ht="4.5" customHeight="1">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ht="14.25" customHeight="1">
      <c r="A6" s="12"/>
      <c r="B6" s="12"/>
      <c r="C6" s="640" t="s">
        <v>414</v>
      </c>
      <c r="D6" s="80" t="s">
        <v>796</v>
      </c>
      <c r="E6" s="80" t="s">
        <v>797</v>
      </c>
      <c r="F6" s="650" t="s">
        <v>798</v>
      </c>
      <c r="G6" s="651" t="s">
        <v>799</v>
      </c>
      <c r="H6" s="12"/>
      <c r="I6" s="12"/>
      <c r="J6" s="12"/>
      <c r="K6" s="12"/>
      <c r="L6" s="921" t="s">
        <v>800</v>
      </c>
      <c r="M6" s="922"/>
      <c r="N6" s="922"/>
      <c r="O6" s="922"/>
      <c r="P6" s="922"/>
      <c r="Q6" s="922"/>
      <c r="R6" s="898"/>
      <c r="S6" s="12"/>
      <c r="T6" s="12"/>
      <c r="U6" s="12"/>
      <c r="V6" s="12"/>
      <c r="W6" s="12"/>
      <c r="X6" s="12"/>
      <c r="Y6" s="12"/>
      <c r="Z6" s="12"/>
      <c r="AA6" s="12"/>
      <c r="AB6" s="12"/>
    </row>
    <row r="7" spans="1:28" ht="14.25" customHeight="1">
      <c r="A7" s="12"/>
      <c r="B7" s="12"/>
      <c r="C7" s="652">
        <f>Diluted_Shares</f>
        <v>707</v>
      </c>
      <c r="D7" s="653">
        <f>Share_Price</f>
        <v>233.18</v>
      </c>
      <c r="E7" s="654">
        <f>C7*D7</f>
        <v>164858.26</v>
      </c>
      <c r="F7" s="654">
        <f>Model!V140-Model!V120</f>
        <v>17056</v>
      </c>
      <c r="G7" s="654">
        <f>SUM(E7:F7)</f>
        <v>181914.26</v>
      </c>
      <c r="H7" s="12"/>
      <c r="I7" s="12"/>
      <c r="J7" s="12"/>
      <c r="K7" s="12"/>
      <c r="L7" s="640"/>
      <c r="M7" s="80" t="s">
        <v>801</v>
      </c>
      <c r="N7" s="80"/>
      <c r="O7" s="80"/>
      <c r="P7" s="80"/>
      <c r="Q7" s="80" t="s">
        <v>802</v>
      </c>
      <c r="R7" s="38" t="s">
        <v>803</v>
      </c>
      <c r="S7" s="12"/>
      <c r="T7" s="12"/>
      <c r="U7" s="12"/>
      <c r="V7" s="12"/>
      <c r="W7" s="12"/>
      <c r="X7" s="12"/>
      <c r="Y7" s="12"/>
      <c r="Z7" s="12"/>
      <c r="AA7" s="12"/>
      <c r="AB7" s="12"/>
    </row>
    <row r="8" spans="1:28" ht="14.25" customHeight="1">
      <c r="A8" s="12"/>
      <c r="B8" s="12"/>
      <c r="C8" s="12"/>
      <c r="D8" s="12"/>
      <c r="E8" s="12"/>
      <c r="F8" s="12"/>
      <c r="G8" s="12"/>
      <c r="H8" s="12"/>
      <c r="I8" s="12"/>
      <c r="J8" s="12"/>
      <c r="K8" s="12"/>
      <c r="L8" s="12"/>
      <c r="M8" s="210" t="s">
        <v>804</v>
      </c>
      <c r="N8" s="12"/>
      <c r="O8" s="12"/>
      <c r="P8" s="12"/>
      <c r="Q8" s="655"/>
      <c r="R8" s="157"/>
      <c r="S8" s="12"/>
      <c r="T8" s="12"/>
      <c r="U8" s="12"/>
      <c r="V8" s="12"/>
      <c r="W8" s="12"/>
      <c r="X8" s="12"/>
      <c r="Y8" s="12"/>
      <c r="Z8" s="12"/>
      <c r="AA8" s="12"/>
      <c r="AB8" s="12"/>
    </row>
    <row r="9" spans="1:28" ht="14.25" customHeight="1">
      <c r="A9" s="12"/>
      <c r="B9" s="656" t="str">
        <f>C9</f>
        <v>Primary Peer Group</v>
      </c>
      <c r="C9" s="921" t="str">
        <f>'Multiples Data'!L4</f>
        <v>Primary Peer Group</v>
      </c>
      <c r="D9" s="922"/>
      <c r="E9" s="922"/>
      <c r="F9" s="922"/>
      <c r="G9" s="922"/>
      <c r="H9" s="922"/>
      <c r="I9" s="922"/>
      <c r="J9" s="922"/>
      <c r="K9" s="12"/>
      <c r="L9" s="657">
        <v>0.5</v>
      </c>
      <c r="M9" s="89" t="s">
        <v>148</v>
      </c>
      <c r="N9" s="12"/>
      <c r="O9" s="12"/>
      <c r="P9" s="12"/>
      <c r="Q9" s="655" t="str">
        <f ca="1">$AB$76</f>
        <v/>
      </c>
      <c r="R9" s="157" t="str">
        <f ca="1">Q9/Share_Price-1</f>
        <v/>
      </c>
      <c r="S9" s="12"/>
      <c r="T9" s="12"/>
      <c r="U9" s="12"/>
      <c r="V9" s="12"/>
      <c r="W9" s="12"/>
      <c r="X9" s="12"/>
      <c r="Y9" s="12"/>
      <c r="Z9" s="12"/>
      <c r="AA9" s="12"/>
      <c r="AB9" s="12"/>
    </row>
    <row r="10" spans="1:28" ht="14.25" customHeight="1">
      <c r="A10" s="12"/>
      <c r="B10" s="656" t="str">
        <f>C14</f>
        <v>Defense Peer Group</v>
      </c>
      <c r="C10" s="320"/>
      <c r="D10" s="658" t="str">
        <f>Ticker</f>
        <v>NFLX</v>
      </c>
      <c r="E10" s="658" t="s">
        <v>152</v>
      </c>
      <c r="F10" s="659" t="str">
        <f>'Multiples Data'!M$6</f>
        <v>The Home Depot, Inc.</v>
      </c>
      <c r="G10" s="659" t="str">
        <f>'Multiples Data'!N$6</f>
        <v>Apple</v>
      </c>
      <c r="H10" s="659" t="str">
        <f>'Multiples Data'!O$6</f>
        <v>Microsoft</v>
      </c>
      <c r="I10" s="659" t="str">
        <f>'Multiples Data'!P$6</f>
        <v>Broadcom</v>
      </c>
      <c r="J10" s="659" t="str">
        <f>'Multiples Data'!Q$6</f>
        <v>Disney</v>
      </c>
      <c r="K10" s="12"/>
      <c r="L10" s="657">
        <v>0.5</v>
      </c>
      <c r="M10" s="89" t="s">
        <v>805</v>
      </c>
      <c r="N10" s="12"/>
      <c r="O10" s="12"/>
      <c r="P10" s="12"/>
      <c r="Q10" s="655" t="str">
        <f ca="1">$R$76</f>
        <v/>
      </c>
      <c r="R10" s="157" t="str">
        <f ca="1">Q10/Share_Price-1</f>
        <v/>
      </c>
      <c r="S10" s="12"/>
      <c r="T10" s="12"/>
      <c r="U10" s="12"/>
      <c r="V10" s="12"/>
      <c r="W10" s="12"/>
      <c r="X10" s="12"/>
      <c r="Y10" s="12"/>
      <c r="Z10" s="12"/>
      <c r="AA10" s="12"/>
      <c r="AB10" s="12"/>
    </row>
    <row r="11" spans="1:28" ht="14.25" customHeight="1">
      <c r="A11" s="12"/>
      <c r="B11" s="656" t="str">
        <f>C19</f>
        <v>Cap. Goods Peer Group</v>
      </c>
      <c r="C11" s="69" t="s">
        <v>138</v>
      </c>
      <c r="D11" s="660">
        <f>IF($D$24="LTM",'Multiples Data'!L$86,IF($D$24="NTM",'Multiples Data'!R$86,"N/A"))</f>
        <v>18.639800000000001</v>
      </c>
      <c r="E11" s="661">
        <f t="shared" ref="E11:E12" si="0">AVERAGE(F11:J11)</f>
        <v>22.233219999999996</v>
      </c>
      <c r="F11" s="662">
        <f>IF($D$24="LTM",'Multiples Data'!M$86,IF($D$24="NTM",'Multiples Data'!S$86,"N/A"))</f>
        <v>22.447299999999998</v>
      </c>
      <c r="G11" s="662">
        <f>IF($D$24="LTM",'Multiples Data'!N$86,IF($D$24="NTM",'Multiples Data'!T$86,"N/A"))</f>
        <v>22.1797</v>
      </c>
      <c r="H11" s="662">
        <f>IF($D$24="LTM",'Multiples Data'!O$86,IF($D$24="NTM",'Multiples Data'!U$86,"N/A"))</f>
        <v>22.1797</v>
      </c>
      <c r="I11" s="662">
        <f>IF($D$24="LTM",'Multiples Data'!P$86,IF($D$24="NTM",'Multiples Data'!V$86,"N/A"))</f>
        <v>22.1797</v>
      </c>
      <c r="J11" s="662">
        <f>IF($D$24="LTM",'Multiples Data'!Q$86,IF($D$24="NTM",'Multiples Data'!W$86,"N/A"))</f>
        <v>22.1797</v>
      </c>
      <c r="K11" s="12"/>
      <c r="L11" s="12"/>
      <c r="M11" s="210" t="s">
        <v>806</v>
      </c>
      <c r="N11" s="12"/>
      <c r="O11" s="12"/>
      <c r="P11" s="12"/>
      <c r="Q11" s="655"/>
      <c r="R11" s="157"/>
      <c r="S11" s="12"/>
      <c r="T11" s="12"/>
      <c r="U11" s="12"/>
      <c r="V11" s="12"/>
      <c r="W11" s="12"/>
      <c r="X11" s="12"/>
      <c r="Y11" s="12"/>
      <c r="Z11" s="12"/>
      <c r="AA11" s="12"/>
      <c r="AB11" s="12"/>
    </row>
    <row r="12" spans="1:28" ht="14.25" customHeight="1">
      <c r="A12" s="12"/>
      <c r="B12" s="656" t="str">
        <f>Company_Name</f>
        <v>NETFLIX INC</v>
      </c>
      <c r="C12" s="69" t="s">
        <v>140</v>
      </c>
      <c r="D12" s="663">
        <f>IF($D$24="LTM",'Multiples Data'!X$86,IF($D$24="NTM",'Multiples Data'!AD$86,"N/A"))</f>
        <v>12.4849</v>
      </c>
      <c r="E12" s="664">
        <f t="shared" si="0"/>
        <v>15.517159999999999</v>
      </c>
      <c r="F12" s="662">
        <f>IF($D$24="LTM",'Multiples Data'!Y$86,IF($D$24="NTM",'Multiples Data'!AE$86,"N/A"))</f>
        <v>15.5814</v>
      </c>
      <c r="G12" s="662">
        <f>IF($D$24="LTM",'Multiples Data'!Z$86,IF($D$24="NTM",'Multiples Data'!AF$86,"N/A"))</f>
        <v>15.501099999999999</v>
      </c>
      <c r="H12" s="662">
        <f>IF($D$24="LTM",'Multiples Data'!AA$86,IF($D$24="NTM",'Multiples Data'!AG$86,"N/A"))</f>
        <v>15.501099999999999</v>
      </c>
      <c r="I12" s="662">
        <f>IF($D$24="LTM",'Multiples Data'!AB$86,IF($D$24="NTM",'Multiples Data'!AH$86,"N/A"))</f>
        <v>15.501099999999999</v>
      </c>
      <c r="J12" s="662">
        <f>IF($D$24="LTM",'Multiples Data'!AC$86,IF($D$24="NTM",'Multiples Data'!AI$86,"N/A"))</f>
        <v>15.501099999999999</v>
      </c>
      <c r="K12" s="12"/>
      <c r="L12" s="657">
        <v>0</v>
      </c>
      <c r="M12" s="89" t="str">
        <f>$G$144&amp;" P/E"</f>
        <v>NTM P/E</v>
      </c>
      <c r="N12" s="12"/>
      <c r="O12" s="12"/>
      <c r="P12" s="12"/>
      <c r="Q12" s="655" t="str">
        <f ca="1">$F$126</f>
        <v/>
      </c>
      <c r="R12" s="157" t="str">
        <f ca="1">Q12/Share_Price-1</f>
        <v/>
      </c>
      <c r="S12" s="12"/>
      <c r="T12" s="12"/>
      <c r="U12" s="12"/>
      <c r="V12" s="12"/>
      <c r="W12" s="12"/>
      <c r="X12" s="12"/>
      <c r="Y12" s="12"/>
      <c r="Z12" s="12"/>
      <c r="AA12" s="12"/>
      <c r="AB12" s="12"/>
    </row>
    <row r="13" spans="1:28" ht="14.25" customHeight="1">
      <c r="A13" s="12"/>
      <c r="B13" s="12"/>
      <c r="C13" s="12"/>
      <c r="D13" s="12"/>
      <c r="E13" s="12"/>
      <c r="F13" s="12"/>
      <c r="G13" s="12"/>
      <c r="H13" s="12"/>
      <c r="I13" s="12"/>
      <c r="J13" s="12"/>
      <c r="K13" s="12"/>
      <c r="L13" s="657">
        <v>0</v>
      </c>
      <c r="M13" s="89" t="str">
        <f>$G$144&amp;" P/E Spread to Comps"</f>
        <v>NTM P/E Spread to Comps</v>
      </c>
      <c r="N13" s="12"/>
      <c r="O13" s="12"/>
      <c r="P13" s="12"/>
      <c r="Q13" s="655" t="str">
        <f ca="1">$J$126</f>
        <v/>
      </c>
      <c r="R13" s="157" t="str">
        <f ca="1">Q13/Share_Price-1</f>
        <v/>
      </c>
      <c r="S13" s="12"/>
      <c r="T13" s="12"/>
      <c r="U13" s="12"/>
      <c r="V13" s="12"/>
      <c r="W13" s="12"/>
      <c r="X13" s="12"/>
      <c r="Y13" s="12"/>
      <c r="Z13" s="12"/>
      <c r="AA13" s="12"/>
      <c r="AB13" s="12"/>
    </row>
    <row r="14" spans="1:28" ht="14.25" customHeight="1">
      <c r="A14" s="12"/>
      <c r="B14" s="12"/>
      <c r="C14" s="921" t="str">
        <f>'Multiples Data'!AL4</f>
        <v>Defense Peer Group</v>
      </c>
      <c r="D14" s="922"/>
      <c r="E14" s="922"/>
      <c r="F14" s="922"/>
      <c r="G14" s="922"/>
      <c r="H14" s="922"/>
      <c r="I14" s="922"/>
      <c r="J14" s="898"/>
      <c r="K14" s="12"/>
      <c r="L14" s="657">
        <v>0</v>
      </c>
      <c r="M14" s="89" t="str">
        <f>$G$144&amp;" EV/EBITDA"</f>
        <v>NTM EV/EBITDA</v>
      </c>
      <c r="N14" s="12"/>
      <c r="O14" s="12"/>
      <c r="P14" s="12"/>
      <c r="Q14" s="655" t="str">
        <f ca="1">$N$137</f>
        <v/>
      </c>
      <c r="R14" s="157" t="str">
        <f ca="1">Q14/Share_Price-1</f>
        <v/>
      </c>
      <c r="S14" s="12"/>
      <c r="T14" s="12"/>
      <c r="U14" s="12"/>
      <c r="V14" s="12"/>
      <c r="W14" s="12"/>
      <c r="X14" s="12"/>
      <c r="Y14" s="12"/>
      <c r="Z14" s="12"/>
      <c r="AA14" s="12"/>
      <c r="AB14" s="12"/>
    </row>
    <row r="15" spans="1:28" ht="14.25" customHeight="1">
      <c r="A15" s="12"/>
      <c r="B15" s="12"/>
      <c r="C15" s="320"/>
      <c r="D15" s="658" t="str">
        <f>Ticker</f>
        <v>NFLX</v>
      </c>
      <c r="E15" s="658" t="s">
        <v>152</v>
      </c>
      <c r="F15" s="659" t="str">
        <f>'Multiples Data'!AM$6</f>
        <v>Raytheon</v>
      </c>
      <c r="G15" s="658" t="str">
        <f>'Multiples Data'!AN$6</f>
        <v>Boeing</v>
      </c>
      <c r="H15" s="658" t="str">
        <f>'Multiples Data'!AO$6</f>
        <v>Huntington Ingalls</v>
      </c>
      <c r="I15" s="658" t="str">
        <f>'Multiples Data'!AP$6</f>
        <v>Lockheed Martin</v>
      </c>
      <c r="J15" s="665" t="str">
        <f>'Multiples Data'!AQ$6</f>
        <v>Northrop Grumman</v>
      </c>
      <c r="K15" s="12"/>
      <c r="L15" s="657">
        <v>0</v>
      </c>
      <c r="M15" s="89" t="str">
        <f>$G$144&amp;" EV/EBITDA Spread to Comps"</f>
        <v>NTM EV/EBITDA Spread to Comps</v>
      </c>
      <c r="N15" s="12"/>
      <c r="O15" s="12"/>
      <c r="P15" s="12"/>
      <c r="Q15" s="655" t="str">
        <f ca="1">$R$137</f>
        <v/>
      </c>
      <c r="R15" s="157" t="str">
        <f ca="1">Q15/Share_Price-1</f>
        <v/>
      </c>
      <c r="S15" s="12"/>
      <c r="T15" s="12"/>
      <c r="U15" s="12"/>
      <c r="V15" s="12"/>
      <c r="W15" s="12"/>
      <c r="X15" s="12"/>
      <c r="Y15" s="12"/>
      <c r="Z15" s="12"/>
      <c r="AA15" s="12"/>
      <c r="AB15" s="12"/>
    </row>
    <row r="16" spans="1:28" ht="14.25" customHeight="1">
      <c r="A16" s="12"/>
      <c r="B16" s="12"/>
      <c r="C16" s="69" t="s">
        <v>138</v>
      </c>
      <c r="D16" s="660">
        <f>D$11</f>
        <v>18.639800000000001</v>
      </c>
      <c r="E16" s="661">
        <f t="shared" ref="E16:E17" si="1">AVERAGE(F16:J16)</f>
        <v>16.207046180263621</v>
      </c>
      <c r="F16" s="662">
        <f>IF($D$24="LTM",'Multiples Data'!AM$86,IF($D$24="NTM",'Multiples Data'!AS$86,"N/A"))</f>
        <v>18.0372200865908</v>
      </c>
      <c r="G16" s="662">
        <f>IF($D$24="LTM",'Multiples Data'!AN$86,IF($D$24="NTM",'Multiples Data'!AT$86,"N/A"))</f>
        <v>18.548904045644001</v>
      </c>
      <c r="H16" s="662">
        <f>IF($D$24="LTM",'Multiples Data'!AO$86,IF($D$24="NTM",'Multiples Data'!AU$86,"N/A"))</f>
        <v>17.3009847075473</v>
      </c>
      <c r="I16" s="662">
        <f>IF($D$24="LTM",'Multiples Data'!AP$86,IF($D$24="NTM",'Multiples Data'!AV$86,"N/A"))</f>
        <v>15.0214839738927</v>
      </c>
      <c r="J16" s="662">
        <f>IF($D$24="LTM",'Multiples Data'!AQ$86,IF($D$24="NTM",'Multiples Data'!AW$86,"N/A"))</f>
        <v>12.1266380876433</v>
      </c>
      <c r="K16" s="12"/>
      <c r="L16" s="12"/>
      <c r="M16" s="210" t="s">
        <v>807</v>
      </c>
      <c r="N16" s="12"/>
      <c r="O16" s="12"/>
      <c r="P16" s="12"/>
      <c r="Q16" s="655"/>
      <c r="R16" s="157"/>
      <c r="S16" s="12"/>
      <c r="T16" s="12"/>
      <c r="U16" s="12"/>
      <c r="V16" s="12"/>
      <c r="W16" s="12"/>
      <c r="X16" s="12"/>
      <c r="Y16" s="12"/>
      <c r="Z16" s="12"/>
      <c r="AA16" s="12"/>
      <c r="AB16" s="12"/>
    </row>
    <row r="17" spans="1:28" ht="14.25" customHeight="1">
      <c r="A17" s="12"/>
      <c r="B17" s="12"/>
      <c r="C17" s="69" t="s">
        <v>140</v>
      </c>
      <c r="D17" s="663">
        <f>D$12</f>
        <v>12.4849</v>
      </c>
      <c r="E17" s="664">
        <f t="shared" si="1"/>
        <v>12.189450395723323</v>
      </c>
      <c r="F17" s="662">
        <f>IF($D$24="LTM",'Multiples Data'!AY$86,IF($D$24="NTM",'Multiples Data'!BE$86,"N/A"))</f>
        <v>12.783834567162399</v>
      </c>
      <c r="G17" s="662">
        <f>IF($D$24="LTM",'Multiples Data'!AZ$86,IF($D$24="NTM",'Multiples Data'!BF$86,"N/A"))</f>
        <v>15.506245752162901</v>
      </c>
      <c r="H17" s="662">
        <f>IF($D$24="LTM",'Multiples Data'!BA$86,IF($D$24="NTM",'Multiples Data'!BG$86,"N/A"))</f>
        <v>11.493190886357301</v>
      </c>
      <c r="I17" s="662">
        <f>IF($D$24="LTM",'Multiples Data'!BB$86,IF($D$24="NTM",'Multiples Data'!BH$86,"N/A"))</f>
        <v>12.2156576237082</v>
      </c>
      <c r="J17" s="662">
        <f>IF($D$24="LTM",'Multiples Data'!BC$86,IF($D$24="NTM",'Multiples Data'!BI$86,"N/A"))</f>
        <v>8.9483231492258302</v>
      </c>
      <c r="K17" s="12"/>
      <c r="L17" s="657">
        <v>0</v>
      </c>
      <c r="M17" s="89" t="str">
        <f>$G$222&amp;" P/E"</f>
        <v>NTM P/E</v>
      </c>
      <c r="N17" s="12"/>
      <c r="O17" s="12"/>
      <c r="P17" s="12"/>
      <c r="Q17" s="655" t="str">
        <f ca="1">$F$204</f>
        <v/>
      </c>
      <c r="R17" s="157" t="str">
        <f ca="1">Q17/Share_Price-1</f>
        <v/>
      </c>
      <c r="S17" s="12"/>
      <c r="T17" s="12"/>
      <c r="U17" s="12"/>
      <c r="V17" s="12"/>
      <c r="W17" s="12"/>
      <c r="X17" s="12"/>
      <c r="Y17" s="12"/>
      <c r="Z17" s="12"/>
      <c r="AA17" s="12"/>
      <c r="AB17" s="12"/>
    </row>
    <row r="18" spans="1:28" ht="14.25" customHeight="1">
      <c r="A18" s="12"/>
      <c r="B18" s="12"/>
      <c r="C18" s="12"/>
      <c r="D18" s="12"/>
      <c r="E18" s="12"/>
      <c r="F18" s="12"/>
      <c r="G18" s="12"/>
      <c r="H18" s="12"/>
      <c r="I18" s="12"/>
      <c r="J18" s="12"/>
      <c r="K18" s="12"/>
      <c r="L18" s="657">
        <v>0</v>
      </c>
      <c r="M18" s="89" t="str">
        <f>$G$222&amp;" P/E Spread to Comps"</f>
        <v>NTM P/E Spread to Comps</v>
      </c>
      <c r="N18" s="12"/>
      <c r="O18" s="12"/>
      <c r="P18" s="12"/>
      <c r="Q18" s="655" t="str">
        <f ca="1">$J$204</f>
        <v/>
      </c>
      <c r="R18" s="157" t="str">
        <f ca="1">Q18/Share_Price-1</f>
        <v/>
      </c>
      <c r="S18" s="12"/>
      <c r="T18" s="12"/>
      <c r="U18" s="12"/>
      <c r="V18" s="12"/>
      <c r="W18" s="12"/>
      <c r="X18" s="12"/>
      <c r="Y18" s="12"/>
      <c r="Z18" s="12"/>
      <c r="AA18" s="12"/>
      <c r="AB18" s="12"/>
    </row>
    <row r="19" spans="1:28" ht="14.25" customHeight="1">
      <c r="A19" s="12"/>
      <c r="B19" s="12"/>
      <c r="C19" s="921" t="str">
        <f>'Multiples Data'!BL4</f>
        <v>Cap. Goods Peer Group</v>
      </c>
      <c r="D19" s="922"/>
      <c r="E19" s="922"/>
      <c r="F19" s="922"/>
      <c r="G19" s="922"/>
      <c r="H19" s="922"/>
      <c r="I19" s="922"/>
      <c r="J19" s="898"/>
      <c r="K19" s="12"/>
      <c r="L19" s="657">
        <v>0</v>
      </c>
      <c r="M19" s="89" t="str">
        <f>$G$222&amp;" EV/EBITDA"</f>
        <v>NTM EV/EBITDA</v>
      </c>
      <c r="N19" s="12"/>
      <c r="O19" s="12"/>
      <c r="P19" s="12"/>
      <c r="Q19" s="655" t="str">
        <f ca="1">$N$215</f>
        <v/>
      </c>
      <c r="R19" s="157" t="str">
        <f ca="1">Q19/Share_Price-1</f>
        <v/>
      </c>
      <c r="S19" s="12"/>
      <c r="T19" s="12"/>
      <c r="U19" s="12"/>
      <c r="V19" s="12"/>
      <c r="W19" s="12"/>
      <c r="X19" s="12"/>
      <c r="Y19" s="12"/>
      <c r="Z19" s="12"/>
      <c r="AA19" s="12"/>
      <c r="AB19" s="12"/>
    </row>
    <row r="20" spans="1:28" ht="14.25" customHeight="1">
      <c r="A20" s="12"/>
      <c r="B20" s="12"/>
      <c r="C20" s="320"/>
      <c r="D20" s="658" t="str">
        <f>Ticker</f>
        <v>NFLX</v>
      </c>
      <c r="E20" s="658" t="s">
        <v>152</v>
      </c>
      <c r="F20" s="659" t="str">
        <f>'Multiples Data'!BM$6</f>
        <v>3M Company</v>
      </c>
      <c r="G20" s="658" t="str">
        <f>'Multiples Data'!BN$6</f>
        <v>General Electric</v>
      </c>
      <c r="H20" s="658" t="str">
        <f>'Multiples Data'!BO$6</f>
        <v>Honeywell</v>
      </c>
      <c r="I20" s="658" t="str">
        <f>'Multiples Data'!BP$6</f>
        <v>Roper Technologies</v>
      </c>
      <c r="J20" s="665" t="str">
        <f>'Multiples Data'!BQ$6</f>
        <v>Emerson Electric</v>
      </c>
      <c r="K20" s="12"/>
      <c r="L20" s="657">
        <v>0</v>
      </c>
      <c r="M20" s="89" t="str">
        <f>$G$222&amp;" EV/EBITDA Spread to Comps"</f>
        <v>NTM EV/EBITDA Spread to Comps</v>
      </c>
      <c r="N20" s="12"/>
      <c r="O20" s="12"/>
      <c r="P20" s="12"/>
      <c r="Q20" s="655" t="str">
        <f ca="1">$R$215</f>
        <v/>
      </c>
      <c r="R20" s="157" t="str">
        <f ca="1">Q20/Share_Price-1</f>
        <v/>
      </c>
      <c r="S20" s="12"/>
      <c r="T20" s="12"/>
      <c r="U20" s="12"/>
      <c r="V20" s="12"/>
      <c r="W20" s="12"/>
      <c r="X20" s="12"/>
      <c r="Y20" s="12"/>
      <c r="Z20" s="12"/>
      <c r="AA20" s="12"/>
      <c r="AB20" s="12"/>
    </row>
    <row r="21" spans="1:28" ht="14.25" customHeight="1">
      <c r="A21" s="12"/>
      <c r="B21" s="12"/>
      <c r="C21" s="69" t="s">
        <v>138</v>
      </c>
      <c r="D21" s="660">
        <f>D$11</f>
        <v>18.639800000000001</v>
      </c>
      <c r="E21" s="661">
        <f t="shared" ref="E21:E22" si="2">AVERAGE(F21:J21)</f>
        <v>16.16874562323472</v>
      </c>
      <c r="F21" s="662">
        <f>IF($D$24="LTM",'Multiples Data'!BM$86,IF($D$24="NTM",'Multiples Data'!BS$86,"N/A"))</f>
        <v>11.098891938738801</v>
      </c>
      <c r="G21" s="662">
        <f>IF($D$24="LTM",'Multiples Data'!BN$86,IF($D$24="NTM",'Multiples Data'!BT$86,"N/A"))</f>
        <v>17.1678038497184</v>
      </c>
      <c r="H21" s="662">
        <f>IF($D$24="LTM",'Multiples Data'!BO$86,IF($D$24="NTM",'Multiples Data'!BU$86,"N/A"))</f>
        <v>15.3184158666614</v>
      </c>
      <c r="I21" s="662">
        <f>IF($D$24="LTM",'Multiples Data'!BP$86,IF($D$24="NTM",'Multiples Data'!BV$86,"N/A"))</f>
        <v>20.233709024707899</v>
      </c>
      <c r="J21" s="662">
        <f>IF($D$24="LTM",'Multiples Data'!BQ$86,IF($D$24="NTM",'Multiples Data'!BW$86,"N/A"))</f>
        <v>17.0249074363471</v>
      </c>
      <c r="K21" s="12"/>
      <c r="L21" s="12"/>
      <c r="M21" s="210" t="s">
        <v>808</v>
      </c>
      <c r="N21" s="12"/>
      <c r="O21" s="12"/>
      <c r="P21" s="12"/>
      <c r="Q21" s="655"/>
      <c r="R21" s="157"/>
      <c r="S21" s="12"/>
      <c r="T21" s="12"/>
      <c r="U21" s="12"/>
      <c r="V21" s="12"/>
      <c r="W21" s="12"/>
      <c r="X21" s="12"/>
      <c r="Y21" s="12"/>
      <c r="Z21" s="12"/>
      <c r="AA21" s="12"/>
      <c r="AB21" s="12"/>
    </row>
    <row r="22" spans="1:28" ht="14.25" customHeight="1">
      <c r="A22" s="12"/>
      <c r="B22" s="12"/>
      <c r="C22" s="69" t="s">
        <v>140</v>
      </c>
      <c r="D22" s="663">
        <f>D$12</f>
        <v>12.4849</v>
      </c>
      <c r="E22" s="664">
        <f t="shared" si="2"/>
        <v>11.620890184734099</v>
      </c>
      <c r="F22" s="662">
        <f>IF($D$24="LTM",'Multiples Data'!BY$86,IF($D$24="NTM",'Multiples Data'!CE$86,"N/A"))</f>
        <v>6.6876218938895002</v>
      </c>
      <c r="G22" s="662">
        <f>IF($D$24="LTM",'Multiples Data'!BZ$86,IF($D$24="NTM",'Multiples Data'!CF$86,"N/A"))</f>
        <v>13.011960831629301</v>
      </c>
      <c r="H22" s="662">
        <f>IF($D$24="LTM",'Multiples Data'!CA$86,IF($D$24="NTM",'Multiples Data'!CG$86,"N/A"))</f>
        <v>12.452113855824701</v>
      </c>
      <c r="I22" s="662">
        <f>IF($D$24="LTM",'Multiples Data'!CB$86,IF($D$24="NTM",'Multiples Data'!CH$86,"N/A"))</f>
        <v>14.1638045774507</v>
      </c>
      <c r="J22" s="662">
        <f>IF($D$24="LTM",'Multiples Data'!CC$86,IF($D$24="NTM",'Multiples Data'!CI$86,"N/A"))</f>
        <v>11.7889497648763</v>
      </c>
      <c r="K22" s="12"/>
      <c r="L22" s="657">
        <v>0</v>
      </c>
      <c r="M22" s="666" t="str">
        <f>D24&amp;" EV/EBITDA"</f>
        <v>NTM EV/EBITDA</v>
      </c>
      <c r="N22" s="100"/>
      <c r="O22" s="100"/>
      <c r="P22" s="100"/>
      <c r="Q22" s="667">
        <f>$R$284</f>
        <v>302.63064007992477</v>
      </c>
      <c r="R22" s="668">
        <f>Q22/Share_Price-1</f>
        <v>0.29784132464158497</v>
      </c>
      <c r="S22" s="12"/>
      <c r="T22" s="12"/>
      <c r="U22" s="12"/>
      <c r="V22" s="12"/>
      <c r="W22" s="12"/>
      <c r="X22" s="12"/>
      <c r="Y22" s="12"/>
      <c r="Z22" s="12"/>
      <c r="AA22" s="12"/>
      <c r="AB22" s="12"/>
    </row>
    <row r="23" spans="1:28" ht="14.25" customHeight="1">
      <c r="A23" s="12"/>
      <c r="B23" s="12"/>
      <c r="C23" s="69"/>
      <c r="D23" s="662"/>
      <c r="E23" s="662"/>
      <c r="F23" s="662"/>
      <c r="G23" s="662"/>
      <c r="H23" s="662"/>
      <c r="I23" s="662"/>
      <c r="J23" s="662"/>
      <c r="K23" s="12"/>
      <c r="L23" s="157"/>
      <c r="M23" s="12" t="s">
        <v>809</v>
      </c>
      <c r="N23" s="12"/>
      <c r="O23" s="12"/>
      <c r="P23" s="12"/>
      <c r="Q23" s="655" t="str">
        <f ca="1">AVERAGE(Q9:Q22)</f>
        <v/>
      </c>
      <c r="R23" s="157" t="str">
        <f ca="1">Q23/Share_Price-1</f>
        <v/>
      </c>
      <c r="S23" s="12"/>
      <c r="T23" s="12"/>
      <c r="U23" s="12"/>
      <c r="V23" s="12"/>
      <c r="W23" s="12"/>
      <c r="X23" s="12"/>
      <c r="Y23" s="12"/>
      <c r="Z23" s="12"/>
      <c r="AA23" s="12"/>
      <c r="AB23" s="12"/>
    </row>
    <row r="24" spans="1:28" ht="14.25" customHeight="1">
      <c r="A24" s="12"/>
      <c r="B24" s="12"/>
      <c r="C24" s="12" t="s">
        <v>810</v>
      </c>
      <c r="D24" s="214" t="s">
        <v>811</v>
      </c>
      <c r="E24" s="12"/>
      <c r="F24" s="12"/>
      <c r="G24" s="12"/>
      <c r="H24" s="662"/>
      <c r="I24" s="662"/>
      <c r="J24" s="662"/>
      <c r="K24" s="12"/>
      <c r="L24" s="249"/>
      <c r="M24" s="12" t="s">
        <v>812</v>
      </c>
      <c r="N24" s="12"/>
      <c r="O24" s="669"/>
      <c r="P24" s="12"/>
      <c r="Q24" s="655" t="str">
        <f ca="1">SUMPRODUCT(L9:L22,Q9:Q22)</f>
        <v/>
      </c>
      <c r="R24" s="157" t="str">
        <f ca="1">Q24/Share_Price-1</f>
        <v/>
      </c>
      <c r="S24" s="12"/>
      <c r="T24" s="12"/>
      <c r="U24" s="12"/>
      <c r="V24" s="12"/>
      <c r="W24" s="12"/>
      <c r="X24" s="12"/>
      <c r="Y24" s="12"/>
      <c r="Z24" s="12"/>
      <c r="AA24" s="12"/>
      <c r="AB24" s="12"/>
    </row>
    <row r="25" spans="1:28" ht="14.25" customHeight="1">
      <c r="A25" s="12"/>
      <c r="B25" s="12"/>
      <c r="C25" s="12"/>
      <c r="E25" s="12"/>
      <c r="F25" s="12"/>
      <c r="G25" s="12"/>
      <c r="H25" s="662"/>
      <c r="I25" s="662"/>
      <c r="J25" s="662"/>
      <c r="K25" s="12"/>
      <c r="L25" s="249"/>
      <c r="M25" s="12"/>
      <c r="N25" s="12"/>
      <c r="O25" s="669"/>
      <c r="P25" s="12"/>
      <c r="Q25" s="655"/>
      <c r="R25" s="157"/>
      <c r="S25" s="12"/>
      <c r="T25" s="12"/>
      <c r="U25" s="12"/>
      <c r="V25" s="12"/>
      <c r="W25" s="12"/>
      <c r="X25" s="12"/>
      <c r="Y25" s="12"/>
      <c r="Z25" s="12"/>
      <c r="AA25" s="12"/>
      <c r="AB25" s="12"/>
    </row>
    <row r="26" spans="1:28" ht="13.5" hidden="1" customHeight="1" outlineLevel="1" collapsed="1">
      <c r="A26" s="12"/>
      <c r="B26" s="12"/>
      <c r="C26" s="12"/>
      <c r="D26" s="12"/>
      <c r="E26" s="12"/>
      <c r="F26" s="12"/>
      <c r="G26" s="12"/>
      <c r="H26" s="12"/>
      <c r="I26" s="12"/>
      <c r="J26" s="12"/>
      <c r="K26" s="12"/>
      <c r="L26" s="12"/>
      <c r="M26" s="12"/>
      <c r="N26" s="670">
        <v>1</v>
      </c>
      <c r="O26" s="670">
        <f t="shared" ref="O26:R26" si="3">N26+1</f>
        <v>2</v>
      </c>
      <c r="P26" s="670">
        <f t="shared" si="3"/>
        <v>3</v>
      </c>
      <c r="Q26" s="670">
        <f t="shared" si="3"/>
        <v>4</v>
      </c>
      <c r="R26" s="670">
        <f t="shared" si="3"/>
        <v>5</v>
      </c>
      <c r="S26" s="12"/>
      <c r="T26" s="12"/>
      <c r="U26" s="12"/>
      <c r="V26" s="12"/>
      <c r="W26" s="12"/>
      <c r="X26" s="12"/>
      <c r="Y26" s="12"/>
      <c r="Z26" s="12"/>
      <c r="AA26" s="12"/>
      <c r="AB26" s="12"/>
    </row>
    <row r="27" spans="1:28" ht="6.75" customHeight="1">
      <c r="A27" s="12"/>
      <c r="B27" s="12"/>
      <c r="C27" s="12"/>
      <c r="D27" s="12"/>
      <c r="E27" s="12"/>
      <c r="F27" s="12"/>
      <c r="G27" s="12"/>
      <c r="H27" s="12"/>
      <c r="I27" s="12"/>
      <c r="J27" s="40">
        <f t="shared" ref="J27:M27" si="4">LEN(J28)</f>
        <v>4</v>
      </c>
      <c r="K27" s="40">
        <f t="shared" si="4"/>
        <v>4</v>
      </c>
      <c r="L27" s="40">
        <f t="shared" si="4"/>
        <v>5</v>
      </c>
      <c r="M27" s="40">
        <f t="shared" si="4"/>
        <v>5</v>
      </c>
      <c r="N27" s="670"/>
      <c r="O27" s="670"/>
      <c r="P27" s="670"/>
      <c r="Q27" s="670"/>
      <c r="R27" s="670"/>
      <c r="S27" s="12"/>
      <c r="T27" s="12"/>
      <c r="U27" s="12"/>
      <c r="V27" s="12"/>
      <c r="W27" s="12"/>
      <c r="X27" s="12"/>
      <c r="Y27" s="12"/>
      <c r="Z27" s="12"/>
      <c r="AA27" s="12"/>
      <c r="AB27" s="12"/>
    </row>
    <row r="28" spans="1:28" ht="13.5" customHeight="1">
      <c r="A28" s="211" t="s">
        <v>1</v>
      </c>
      <c r="B28" s="12"/>
      <c r="C28" s="296" t="s">
        <v>813</v>
      </c>
      <c r="D28" s="319"/>
      <c r="E28" s="319"/>
      <c r="F28" s="319"/>
      <c r="G28" s="671">
        <f t="shared" ref="G28:I28" si="5">G29</f>
        <v>2023</v>
      </c>
      <c r="H28" s="671">
        <f t="shared" si="5"/>
        <v>2024</v>
      </c>
      <c r="I28" s="671">
        <f t="shared" si="5"/>
        <v>2025</v>
      </c>
      <c r="J28" s="672" t="str">
        <f>IF(Last_FQR="4Q","1Q"&amp;RIGHT(J29,2)&amp;"e","1Q"&amp;RIGHT(J29,2))</f>
        <v>1Q26</v>
      </c>
      <c r="K28" s="147" t="str">
        <f>IF(Last_FQR="4Q","2Q"&amp;RIGHT(K29,2)&amp;"e",IF(Last_FQR="1Q","2Q"&amp;RIGHT(K29,2)&amp;"e","2Q"&amp;RIGHT(K29,2)))</f>
        <v>2Q26</v>
      </c>
      <c r="L28" s="147" t="str">
        <f>IF(Last_FQR="4Q","3Q"&amp;RIGHT(L29,2)&amp;"e",IF(Last_FQR="1Q","3Q"&amp;RIGHT(L29,2)&amp;"e",IF(Last_FQR="2Q","3Q"&amp;RIGHT(L29,2)&amp;"e","3Q"&amp;RIGHT(L29,2))))</f>
        <v>3Q26e</v>
      </c>
      <c r="M28" s="673" t="str">
        <f>"4Q"&amp;RIGHT(M29,2)&amp;"e"</f>
        <v>4Q26e</v>
      </c>
      <c r="N28" s="147" t="str">
        <f t="shared" ref="N28:R28" si="6">N29&amp;"e"</f>
        <v>2026e</v>
      </c>
      <c r="O28" s="147" t="str">
        <f t="shared" si="6"/>
        <v>2027e</v>
      </c>
      <c r="P28" s="147" t="str">
        <f t="shared" si="6"/>
        <v>2028e</v>
      </c>
      <c r="Q28" s="147" t="str">
        <f t="shared" si="6"/>
        <v>2029e</v>
      </c>
      <c r="R28" s="298" t="str">
        <f t="shared" si="6"/>
        <v>2030e</v>
      </c>
      <c r="S28" s="149" t="s">
        <v>1</v>
      </c>
      <c r="T28" s="12"/>
      <c r="U28" s="12"/>
      <c r="V28" s="12"/>
      <c r="W28" s="12"/>
      <c r="X28" s="12"/>
      <c r="Y28" s="12"/>
      <c r="Z28" s="12"/>
      <c r="AA28" s="12"/>
      <c r="AB28" s="12"/>
    </row>
    <row r="29" spans="1:28" ht="13.5" customHeight="1">
      <c r="A29" s="674"/>
      <c r="B29" s="675"/>
      <c r="C29" s="676"/>
      <c r="D29" s="677"/>
      <c r="E29" s="677"/>
      <c r="F29" s="677"/>
      <c r="G29" s="678">
        <f t="shared" ref="G29:H29" si="7">H29-1</f>
        <v>2023</v>
      </c>
      <c r="H29" s="678">
        <f t="shared" si="7"/>
        <v>2024</v>
      </c>
      <c r="I29" s="678">
        <f>YEAR(Last_FYE)</f>
        <v>2025</v>
      </c>
      <c r="J29" s="678">
        <f>I29+1</f>
        <v>2026</v>
      </c>
      <c r="K29" s="678">
        <f t="shared" ref="K29:N29" si="8">J29</f>
        <v>2026</v>
      </c>
      <c r="L29" s="678">
        <f t="shared" si="8"/>
        <v>2026</v>
      </c>
      <c r="M29" s="678">
        <f t="shared" si="8"/>
        <v>2026</v>
      </c>
      <c r="N29" s="678">
        <f t="shared" si="8"/>
        <v>2026</v>
      </c>
      <c r="O29" s="678">
        <f t="shared" ref="O29:R29" si="9">N29+1</f>
        <v>2027</v>
      </c>
      <c r="P29" s="678">
        <f t="shared" si="9"/>
        <v>2028</v>
      </c>
      <c r="Q29" s="678">
        <f t="shared" si="9"/>
        <v>2029</v>
      </c>
      <c r="R29" s="679">
        <f t="shared" si="9"/>
        <v>2030</v>
      </c>
      <c r="S29" s="674"/>
      <c r="T29" s="12"/>
      <c r="U29" s="12"/>
      <c r="V29" s="12"/>
      <c r="W29" s="12"/>
      <c r="X29" s="12"/>
      <c r="Y29" s="12"/>
      <c r="Z29" s="12"/>
      <c r="AA29" s="12"/>
      <c r="AB29" s="12"/>
    </row>
    <row r="30" spans="1:28" ht="4.5" customHeight="1">
      <c r="A30" s="12"/>
      <c r="B30" s="12"/>
      <c r="C30" s="12"/>
      <c r="D30" s="12"/>
      <c r="E30" s="12"/>
      <c r="F30" s="12"/>
      <c r="G30" s="12"/>
      <c r="H30" s="12"/>
      <c r="I30" s="12"/>
      <c r="J30" s="680"/>
      <c r="K30" s="681"/>
      <c r="L30" s="681"/>
      <c r="M30" s="682"/>
      <c r="N30" s="12"/>
      <c r="O30" s="12"/>
      <c r="P30" s="12"/>
      <c r="Q30" s="12"/>
      <c r="R30" s="12"/>
      <c r="S30" s="12"/>
      <c r="T30" s="12"/>
      <c r="U30" s="12"/>
      <c r="V30" s="12"/>
      <c r="W30" s="12"/>
      <c r="X30" s="12"/>
      <c r="Y30" s="12"/>
      <c r="Z30" s="12"/>
      <c r="AA30" s="12"/>
      <c r="AB30" s="12"/>
    </row>
    <row r="31" spans="1:28" ht="13.5" customHeight="1">
      <c r="A31" s="12"/>
      <c r="B31" s="12"/>
      <c r="C31" s="12" t="str">
        <f>Model!C28</f>
        <v>Revenue</v>
      </c>
      <c r="D31" s="12"/>
      <c r="E31" s="12"/>
      <c r="F31" s="12"/>
      <c r="G31" s="228">
        <f>Model!J28</f>
        <v>33723.297000000006</v>
      </c>
      <c r="H31" s="228">
        <f>Model!O28</f>
        <v>39000.966</v>
      </c>
      <c r="I31" s="228">
        <f>Model!T28</f>
        <v>45183.036</v>
      </c>
      <c r="J31" s="683">
        <f>Model!U28</f>
        <v>12249.757</v>
      </c>
      <c r="K31" s="684">
        <f>Model!V28</f>
        <v>27570</v>
      </c>
      <c r="L31" s="684">
        <f>Model!W28</f>
        <v>22918</v>
      </c>
      <c r="M31" s="685">
        <f>Model!X28</f>
        <v>21772.1</v>
      </c>
      <c r="N31" s="228">
        <f>Model!Y28</f>
        <v>84509.856999999989</v>
      </c>
      <c r="O31" s="228">
        <f>Model!AD28</f>
        <v>105236.82134671998</v>
      </c>
      <c r="P31" s="228">
        <f>Model!AE28</f>
        <v>107341.55777365438</v>
      </c>
      <c r="Q31" s="228">
        <f>Model!AF28</f>
        <v>109488.38892912747</v>
      </c>
      <c r="R31" s="228">
        <f>Model!AG28</f>
        <v>111678.15670771002</v>
      </c>
      <c r="S31" s="12"/>
      <c r="T31" s="12"/>
      <c r="U31" s="12"/>
      <c r="V31" s="12"/>
      <c r="W31" s="12"/>
      <c r="X31" s="12"/>
      <c r="Y31" s="12"/>
      <c r="Z31" s="12"/>
      <c r="AA31" s="12"/>
      <c r="AB31" s="12"/>
    </row>
    <row r="32" spans="1:28" ht="13.5" customHeight="1">
      <c r="A32" s="12"/>
      <c r="B32" s="12"/>
      <c r="C32" s="108" t="str">
        <f>Model!C61</f>
        <v>EBITDA</v>
      </c>
      <c r="D32" s="12"/>
      <c r="E32" s="12"/>
      <c r="F32" s="12"/>
      <c r="G32" s="275">
        <f>Model!J61</f>
        <v>-2709.4799999999968</v>
      </c>
      <c r="H32" s="275">
        <f>Model!O61</f>
        <v>10935.028</v>
      </c>
      <c r="I32" s="275">
        <f>Model!T61</f>
        <v>14481.862000000001</v>
      </c>
      <c r="J32" s="686">
        <f>Model!U61</f>
        <v>4055.5720000000001</v>
      </c>
      <c r="K32" s="687">
        <f>Model!V61</f>
        <v>4619</v>
      </c>
      <c r="L32" s="687">
        <f>Model!W61</f>
        <v>3207</v>
      </c>
      <c r="M32" s="688" t="str">
        <f ca="1">Model!X61</f>
        <v/>
      </c>
      <c r="N32" s="275" t="str">
        <f ca="1">Model!Y61</f>
        <v/>
      </c>
      <c r="O32" s="275" t="str">
        <f ca="1">Model!AD61</f>
        <v/>
      </c>
      <c r="P32" s="275" t="str">
        <f ca="1">Model!AE61</f>
        <v/>
      </c>
      <c r="Q32" s="275" t="str">
        <f ca="1">Model!AF61</f>
        <v/>
      </c>
      <c r="R32" s="275" t="str">
        <f ca="1">Model!AG61</f>
        <v/>
      </c>
      <c r="S32" s="12"/>
      <c r="T32" s="12"/>
      <c r="U32" s="12"/>
      <c r="V32" s="12"/>
      <c r="W32" s="12"/>
      <c r="X32" s="12"/>
      <c r="Y32" s="12"/>
      <c r="Z32" s="12"/>
      <c r="AA32" s="12"/>
      <c r="AB32" s="12"/>
    </row>
    <row r="33" spans="1:28" ht="13.5" customHeight="1">
      <c r="A33" s="12"/>
      <c r="B33" s="12"/>
      <c r="C33" s="12" t="str">
        <f>Model!C59</f>
        <v>EBIT</v>
      </c>
      <c r="D33" s="12"/>
      <c r="E33" s="12"/>
      <c r="F33" s="12"/>
      <c r="G33" s="275">
        <f>Model!J36</f>
        <v>-4912.9699999999975</v>
      </c>
      <c r="H33" s="275">
        <f>Model!O36</f>
        <v>10417.614000000001</v>
      </c>
      <c r="I33" s="275">
        <f>Model!T36</f>
        <v>13326.603000000001</v>
      </c>
      <c r="J33" s="686">
        <f>Model!U36</f>
        <v>3956.9970000000003</v>
      </c>
      <c r="K33" s="687">
        <f>Model!V36</f>
        <v>4210</v>
      </c>
      <c r="L33" s="687">
        <f>Model!W36</f>
        <v>2789</v>
      </c>
      <c r="M33" s="688">
        <f>Model!X36</f>
        <v>-2290.6765000000005</v>
      </c>
      <c r="N33" s="275">
        <f>Model!Y36</f>
        <v>8665.320499999998</v>
      </c>
      <c r="O33" s="275">
        <f>Model!AD36</f>
        <v>-10540.153639645196</v>
      </c>
      <c r="P33" s="275">
        <f>Model!AE36</f>
        <v>-9578.1135510311615</v>
      </c>
      <c r="Q33" s="275">
        <f>Model!AF36</f>
        <v>-9246.1514458587371</v>
      </c>
      <c r="R33" s="275">
        <f>Model!AG36</f>
        <v>-8671.5228813459289</v>
      </c>
      <c r="S33" s="12"/>
      <c r="T33" s="12"/>
      <c r="U33" s="12"/>
      <c r="V33" s="12"/>
      <c r="W33" s="12"/>
      <c r="X33" s="12"/>
      <c r="Y33" s="12"/>
      <c r="Z33" s="12"/>
      <c r="AA33" s="12"/>
      <c r="AB33" s="12"/>
    </row>
    <row r="34" spans="1:28" ht="13.5" customHeight="1">
      <c r="A34" s="12"/>
      <c r="B34" s="12"/>
      <c r="C34" s="108" t="str">
        <f>Model!C44</f>
        <v>Income Tax Benefit (Expense)</v>
      </c>
      <c r="D34" s="12"/>
      <c r="E34" s="12"/>
      <c r="F34" s="12"/>
      <c r="G34" s="360">
        <f>Model!J44</f>
        <v>-1078.4000000000001</v>
      </c>
      <c r="H34" s="360">
        <f>Model!O44</f>
        <v>-1557.6290000000006</v>
      </c>
      <c r="I34" s="360">
        <f>Model!T44</f>
        <v>-378.38799999999969</v>
      </c>
      <c r="J34" s="689">
        <f>Model!U44</f>
        <v>-1315.3720000000003</v>
      </c>
      <c r="K34" s="690">
        <f>Model!V44</f>
        <v>-976</v>
      </c>
      <c r="L34" s="690">
        <f>Model!W44</f>
        <v>-670</v>
      </c>
      <c r="M34" s="691" t="str">
        <f ca="1">Model!X44</f>
        <v/>
      </c>
      <c r="N34" s="360" t="str">
        <f ca="1">Model!Y44</f>
        <v/>
      </c>
      <c r="O34" s="360" t="str">
        <f ca="1">Model!AD44</f>
        <v/>
      </c>
      <c r="P34" s="360" t="str">
        <f ca="1">Model!AE44</f>
        <v/>
      </c>
      <c r="Q34" s="360" t="str">
        <f ca="1">Model!AF44</f>
        <v/>
      </c>
      <c r="R34" s="360" t="str">
        <f ca="1">Model!AG44</f>
        <v/>
      </c>
      <c r="S34" s="12"/>
      <c r="T34" s="12"/>
      <c r="U34" s="12"/>
      <c r="V34" s="12"/>
      <c r="W34" s="12"/>
      <c r="X34" s="12"/>
      <c r="Y34" s="12"/>
      <c r="Z34" s="12"/>
      <c r="AA34" s="12"/>
      <c r="AB34" s="12"/>
    </row>
    <row r="35" spans="1:28" ht="13.5" customHeight="1">
      <c r="A35" s="12"/>
      <c r="B35" s="12"/>
      <c r="C35" s="12" t="s">
        <v>814</v>
      </c>
      <c r="D35" s="12"/>
      <c r="E35" s="12"/>
      <c r="F35" s="12"/>
      <c r="G35" s="228">
        <f t="shared" ref="G35:R35" si="10">SUM(G33:G34)</f>
        <v>-5991.3699999999972</v>
      </c>
      <c r="H35" s="228">
        <f t="shared" si="10"/>
        <v>8859.9850000000006</v>
      </c>
      <c r="I35" s="228">
        <f t="shared" si="10"/>
        <v>12948.215000000002</v>
      </c>
      <c r="J35" s="683">
        <f t="shared" si="10"/>
        <v>2641.625</v>
      </c>
      <c r="K35" s="684">
        <f t="shared" si="10"/>
        <v>3234</v>
      </c>
      <c r="L35" s="684">
        <f t="shared" si="10"/>
        <v>2119</v>
      </c>
      <c r="M35" s="685" t="str">
        <f t="shared" ca="1" si="10"/>
        <v>#REF!</v>
      </c>
      <c r="N35" s="228" t="str">
        <f t="shared" ca="1" si="10"/>
        <v>#REF!</v>
      </c>
      <c r="O35" s="228" t="str">
        <f t="shared" ca="1" si="10"/>
        <v>#REF!</v>
      </c>
      <c r="P35" s="228" t="str">
        <f t="shared" ca="1" si="10"/>
        <v>#REF!</v>
      </c>
      <c r="Q35" s="228" t="str">
        <f t="shared" ca="1" si="10"/>
        <v>#REF!</v>
      </c>
      <c r="R35" s="228" t="str">
        <f t="shared" ca="1" si="10"/>
        <v>#REF!</v>
      </c>
      <c r="S35" s="12"/>
      <c r="T35" s="12"/>
      <c r="U35" s="12"/>
      <c r="V35" s="12"/>
      <c r="W35" s="12"/>
      <c r="X35" s="12"/>
      <c r="Y35" s="12"/>
      <c r="Z35" s="12"/>
      <c r="AA35" s="12"/>
      <c r="AB35" s="12"/>
    </row>
    <row r="36" spans="1:28" ht="13.5" customHeight="1">
      <c r="A36" s="12"/>
      <c r="B36" s="12"/>
      <c r="C36" s="249" t="s">
        <v>815</v>
      </c>
      <c r="D36" s="12"/>
      <c r="E36" s="12"/>
      <c r="F36" s="12"/>
      <c r="G36" s="228"/>
      <c r="H36" s="410">
        <f t="shared" ref="H36:I36" si="11">H35/G35-1</f>
        <v>-2.4787911612869853</v>
      </c>
      <c r="I36" s="410">
        <f t="shared" si="11"/>
        <v>0.46142628909642647</v>
      </c>
      <c r="J36" s="692"/>
      <c r="K36" s="693"/>
      <c r="L36" s="693"/>
      <c r="M36" s="694"/>
      <c r="N36" s="410" t="str">
        <f ca="1">N35/I35-1</f>
        <v/>
      </c>
      <c r="O36" s="410" t="str">
        <f t="shared" ref="O36:R36" ca="1" si="12">O35/N35-1</f>
        <v/>
      </c>
      <c r="P36" s="410" t="str">
        <f t="shared" ca="1" si="12"/>
        <v>#REF!</v>
      </c>
      <c r="Q36" s="410" t="str">
        <f t="shared" ca="1" si="12"/>
        <v>#REF!</v>
      </c>
      <c r="R36" s="410" t="str">
        <f t="shared" ca="1" si="12"/>
        <v>#REF!</v>
      </c>
      <c r="S36" s="12"/>
      <c r="T36" s="12"/>
      <c r="U36" s="12"/>
      <c r="V36" s="12"/>
      <c r="W36" s="12"/>
      <c r="X36" s="12"/>
      <c r="Y36" s="12"/>
      <c r="Z36" s="12"/>
      <c r="AA36" s="12"/>
      <c r="AB36" s="12"/>
    </row>
    <row r="37" spans="1:28" ht="13.5" customHeight="1">
      <c r="A37" s="12"/>
      <c r="B37" s="12"/>
      <c r="C37" s="12"/>
      <c r="D37" s="12"/>
      <c r="E37" s="12"/>
      <c r="F37" s="12"/>
      <c r="G37" s="12"/>
      <c r="H37" s="12"/>
      <c r="I37" s="12"/>
      <c r="J37" s="680"/>
      <c r="K37" s="681"/>
      <c r="L37" s="681"/>
      <c r="M37" s="682"/>
      <c r="N37" s="12"/>
      <c r="O37" s="12"/>
      <c r="P37" s="12"/>
      <c r="Q37" s="12"/>
      <c r="R37" s="12"/>
      <c r="S37" s="12"/>
      <c r="T37" s="12"/>
      <c r="U37" s="12"/>
      <c r="V37" s="12"/>
      <c r="W37" s="12"/>
      <c r="X37" s="12"/>
      <c r="Y37" s="12"/>
      <c r="Z37" s="12"/>
      <c r="AA37" s="12"/>
      <c r="AB37" s="12"/>
    </row>
    <row r="38" spans="1:28" ht="13.5" customHeight="1">
      <c r="A38" s="12"/>
      <c r="B38" s="12"/>
      <c r="C38" s="108" t="str">
        <f>Model!C76</f>
        <v>Depreciation &amp; Amortization</v>
      </c>
      <c r="D38" s="12"/>
      <c r="E38" s="12"/>
      <c r="F38" s="12"/>
      <c r="G38" s="275"/>
      <c r="H38" s="275"/>
      <c r="I38" s="275"/>
      <c r="J38" s="686">
        <f>-Model!U34</f>
        <v>98.575000000000003</v>
      </c>
      <c r="K38" s="687">
        <f>-Model!V34</f>
        <v>409</v>
      </c>
      <c r="L38" s="687">
        <f>-Model!W34</f>
        <v>425</v>
      </c>
      <c r="M38" s="688">
        <f>-Model!X34</f>
        <v>331.18750000000006</v>
      </c>
      <c r="N38" s="275">
        <f>-Model!Y34</f>
        <v>1263.7625</v>
      </c>
      <c r="O38" s="275">
        <f>-Model!AD34</f>
        <v>1354.8636280299929</v>
      </c>
      <c r="P38" s="275">
        <f>-Model!AE34</f>
        <v>1420.1551602334257</v>
      </c>
      <c r="Q38" s="275">
        <f>-Model!AF34</f>
        <v>1472.4758318906811</v>
      </c>
      <c r="R38" s="275">
        <f>-Model!AG34</f>
        <v>1524.1208520524956</v>
      </c>
      <c r="S38" s="12"/>
      <c r="T38" s="12"/>
      <c r="U38" s="12"/>
      <c r="V38" s="12"/>
      <c r="W38" s="12"/>
      <c r="X38" s="12"/>
      <c r="Y38" s="12"/>
      <c r="Z38" s="12"/>
      <c r="AA38" s="12"/>
      <c r="AB38" s="12"/>
    </row>
    <row r="39" spans="1:28" ht="13.5" customHeight="1">
      <c r="A39" s="12"/>
      <c r="B39" s="12"/>
      <c r="C39" s="108" t="str">
        <f>Model!C77</f>
        <v>Stock-Based Compensation</v>
      </c>
      <c r="D39" s="12"/>
      <c r="E39" s="12"/>
      <c r="F39" s="12"/>
      <c r="G39" s="275"/>
      <c r="H39" s="275"/>
      <c r="I39" s="275"/>
      <c r="J39" s="686">
        <f>Model!U246</f>
        <v>140.405</v>
      </c>
      <c r="K39" s="687">
        <f>Model!V246</f>
        <v>-25.405000000000001</v>
      </c>
      <c r="L39" s="687">
        <f>Model!W246</f>
        <v>54</v>
      </c>
      <c r="M39" s="688">
        <f>Model!X246</f>
        <v>51.3</v>
      </c>
      <c r="N39" s="275">
        <f>Model!Y246</f>
        <v>220.3</v>
      </c>
      <c r="O39" s="275">
        <f>Model!AD246</f>
        <v>247.96179216000002</v>
      </c>
      <c r="P39" s="275">
        <f>Model!AE246</f>
        <v>252.92102800319995</v>
      </c>
      <c r="Q39" s="275">
        <f>Model!AF246</f>
        <v>257.97944856326399</v>
      </c>
      <c r="R39" s="275">
        <f>Model!AG246</f>
        <v>263.13903753452922</v>
      </c>
      <c r="S39" s="12"/>
      <c r="T39" s="12"/>
      <c r="U39" s="12"/>
      <c r="V39" s="12"/>
      <c r="W39" s="12"/>
      <c r="X39" s="12"/>
      <c r="Y39" s="12"/>
      <c r="Z39" s="12"/>
      <c r="AA39" s="12"/>
      <c r="AB39" s="12"/>
    </row>
    <row r="40" spans="1:28" ht="13.5" customHeight="1">
      <c r="A40" s="12"/>
      <c r="B40" s="12"/>
      <c r="C40" s="108" t="str">
        <f>Model!C82</f>
        <v>Capital Expenditures</v>
      </c>
      <c r="D40" s="12"/>
      <c r="E40" s="12"/>
      <c r="F40" s="12"/>
      <c r="G40" s="275"/>
      <c r="H40" s="275"/>
      <c r="I40" s="275"/>
      <c r="J40" s="686">
        <f>-Model!U193</f>
        <v>-461</v>
      </c>
      <c r="K40" s="687">
        <f>-Model!V193</f>
        <v>-385</v>
      </c>
      <c r="L40" s="687">
        <f>-Model!W193</f>
        <v>-410</v>
      </c>
      <c r="M40" s="688">
        <f>-Model!X193</f>
        <v>-370.12569999999999</v>
      </c>
      <c r="N40" s="275">
        <f>-Model!Y193</f>
        <v>-1626.1257000000001</v>
      </c>
      <c r="O40" s="275">
        <f>-Model!AD193</f>
        <v>-2115.3026534942401</v>
      </c>
      <c r="P40" s="275">
        <f>-Model!AE193</f>
        <v>-2146.8311554730876</v>
      </c>
      <c r="Q40" s="275">
        <f>-Model!AF193</f>
        <v>-2189.7677785825495</v>
      </c>
      <c r="R40" s="275">
        <f>-Model!AG193</f>
        <v>-2345.2412908619103</v>
      </c>
      <c r="S40" s="12"/>
      <c r="T40" s="12"/>
      <c r="U40" s="12"/>
      <c r="V40" s="12"/>
      <c r="W40" s="12"/>
      <c r="X40" s="12"/>
      <c r="Y40" s="12"/>
      <c r="Z40" s="12"/>
      <c r="AA40" s="12"/>
      <c r="AB40" s="12"/>
    </row>
    <row r="41" spans="1:28" ht="13.5" customHeight="1">
      <c r="A41" s="12"/>
      <c r="B41" s="12"/>
      <c r="C41" s="108" t="str">
        <f>Drivers!C62</f>
        <v>Goodwill Impairment</v>
      </c>
      <c r="D41" s="12"/>
      <c r="E41" s="12"/>
      <c r="F41" s="12"/>
      <c r="G41" s="275"/>
      <c r="H41" s="275"/>
      <c r="I41" s="275"/>
      <c r="J41" s="686">
        <f>Model!U40</f>
        <v>0</v>
      </c>
      <c r="K41" s="687">
        <f>Model!V40</f>
        <v>0</v>
      </c>
      <c r="L41" s="687">
        <f>Model!W40</f>
        <v>0</v>
      </c>
      <c r="M41" s="688">
        <f>Model!X40</f>
        <v>0</v>
      </c>
      <c r="N41" s="275">
        <f>Model!Y40</f>
        <v>0</v>
      </c>
      <c r="O41" s="275">
        <f>Model!AD40</f>
        <v>0</v>
      </c>
      <c r="P41" s="275">
        <f>Model!AE40</f>
        <v>0</v>
      </c>
      <c r="Q41" s="275">
        <f>Model!AF40</f>
        <v>0</v>
      </c>
      <c r="R41" s="275">
        <f>Model!AG40</f>
        <v>0</v>
      </c>
      <c r="S41" s="12"/>
      <c r="T41" s="12"/>
      <c r="U41" s="12"/>
      <c r="V41" s="12"/>
      <c r="W41" s="12"/>
      <c r="X41" s="12"/>
      <c r="Y41" s="12"/>
      <c r="Z41" s="12"/>
      <c r="AA41" s="12"/>
      <c r="AB41" s="12"/>
    </row>
    <row r="42" spans="1:28" ht="13.5" customHeight="1">
      <c r="A42" s="12"/>
      <c r="B42" s="12"/>
      <c r="C42" s="108" t="str">
        <f>Model!C78</f>
        <v>(Increase)/Decrease in Working Capital</v>
      </c>
      <c r="D42" s="12"/>
      <c r="E42" s="12"/>
      <c r="F42" s="12"/>
      <c r="G42" s="275"/>
      <c r="H42" s="275"/>
      <c r="I42" s="275"/>
      <c r="J42" s="686">
        <f>Model!U110</f>
        <v>-2194.9309999999987</v>
      </c>
      <c r="K42" s="687">
        <f>Model!V110</f>
        <v>12176.319</v>
      </c>
      <c r="L42" s="687">
        <f>Model!W110</f>
        <v>-40</v>
      </c>
      <c r="M42" s="688">
        <f>Model!X110</f>
        <v>-1855.091793478261</v>
      </c>
      <c r="N42" s="275">
        <f>Model!Y110</f>
        <v>8086.2962065217398</v>
      </c>
      <c r="O42" s="275">
        <f>Model!AD110</f>
        <v>-851.21278459030327</v>
      </c>
      <c r="P42" s="275">
        <f>Model!AE110</f>
        <v>461.05132520968255</v>
      </c>
      <c r="Q42" s="275">
        <f>Model!AF110</f>
        <v>-142.92601939177257</v>
      </c>
      <c r="R42" s="275">
        <f>Model!AG110</f>
        <v>-136.42553228758334</v>
      </c>
      <c r="S42" s="12"/>
      <c r="T42" s="12"/>
      <c r="U42" s="12"/>
      <c r="V42" s="12"/>
      <c r="W42" s="12"/>
      <c r="X42" s="12"/>
      <c r="Y42" s="12"/>
      <c r="Z42" s="12"/>
      <c r="AA42" s="12"/>
      <c r="AB42" s="12"/>
    </row>
    <row r="43" spans="1:28" ht="13.5" customHeight="1">
      <c r="A43" s="12"/>
      <c r="B43" s="12"/>
      <c r="C43" s="108" t="str">
        <f>Model!C79</f>
        <v>(Increase)/Decrease in LT Items</v>
      </c>
      <c r="D43" s="12"/>
      <c r="E43" s="12"/>
      <c r="F43" s="12"/>
      <c r="G43" s="275"/>
      <c r="H43" s="275"/>
      <c r="I43" s="275"/>
      <c r="J43" s="686">
        <f>Model!U79</f>
        <v>0</v>
      </c>
      <c r="K43" s="687">
        <f>Model!V79</f>
        <v>0</v>
      </c>
      <c r="L43" s="687">
        <f>Model!W79</f>
        <v>0</v>
      </c>
      <c r="M43" s="688">
        <f>Model!X79</f>
        <v>-112.52000000000044</v>
      </c>
      <c r="N43" s="275">
        <f>Model!Y79</f>
        <v>-112.52000000000044</v>
      </c>
      <c r="O43" s="275">
        <f>Model!AD79</f>
        <v>-473.03859880320124</v>
      </c>
      <c r="P43" s="275">
        <f>Model!AE79</f>
        <v>-124.23117197606371</v>
      </c>
      <c r="Q43" s="275">
        <f>Model!AF79</f>
        <v>-126.71579541558549</v>
      </c>
      <c r="R43" s="275">
        <f>Model!AG79</f>
        <v>-129.25011132389682</v>
      </c>
      <c r="S43" s="12"/>
      <c r="T43" s="12"/>
      <c r="U43" s="12"/>
      <c r="V43" s="12"/>
      <c r="W43" s="12"/>
      <c r="X43" s="12"/>
      <c r="Y43" s="12"/>
      <c r="Z43" s="12"/>
      <c r="AA43" s="12"/>
      <c r="AB43" s="12"/>
    </row>
    <row r="44" spans="1:28" ht="13.5" customHeight="1">
      <c r="A44" s="12"/>
      <c r="B44" s="12"/>
      <c r="C44" s="12"/>
      <c r="D44" s="12"/>
      <c r="E44" s="12"/>
      <c r="F44" s="12"/>
      <c r="G44" s="12"/>
      <c r="H44" s="12"/>
      <c r="I44" s="12"/>
      <c r="J44" s="680"/>
      <c r="K44" s="681"/>
      <c r="L44" s="681"/>
      <c r="M44" s="682"/>
      <c r="N44" s="12"/>
      <c r="O44" s="12"/>
      <c r="P44" s="12"/>
      <c r="Q44" s="12"/>
      <c r="R44" s="12"/>
      <c r="S44" s="12"/>
      <c r="T44" s="12"/>
      <c r="U44" s="12"/>
      <c r="V44" s="12"/>
      <c r="W44" s="12"/>
      <c r="X44" s="12"/>
      <c r="Y44" s="12"/>
      <c r="Z44" s="12"/>
      <c r="AA44" s="12"/>
      <c r="AB44" s="12"/>
    </row>
    <row r="45" spans="1:28" ht="13.5" customHeight="1">
      <c r="A45" s="12"/>
      <c r="B45" s="332"/>
      <c r="C45" s="75" t="s">
        <v>816</v>
      </c>
      <c r="D45" s="75"/>
      <c r="E45" s="75"/>
      <c r="F45" s="75"/>
      <c r="G45" s="75"/>
      <c r="H45" s="75"/>
      <c r="I45" s="75"/>
      <c r="J45" s="695">
        <f t="shared" ref="J45:R45" si="13">SUM(J35:J43)</f>
        <v>224.67400000000134</v>
      </c>
      <c r="K45" s="696">
        <f t="shared" si="13"/>
        <v>15408.913999999999</v>
      </c>
      <c r="L45" s="696">
        <f t="shared" si="13"/>
        <v>2148</v>
      </c>
      <c r="M45" s="697" t="str">
        <f t="shared" ca="1" si="13"/>
        <v>#REF!</v>
      </c>
      <c r="N45" s="335" t="str">
        <f t="shared" ca="1" si="13"/>
        <v>#REF!</v>
      </c>
      <c r="O45" s="335" t="str">
        <f t="shared" ca="1" si="13"/>
        <v>#REF!</v>
      </c>
      <c r="P45" s="335" t="str">
        <f t="shared" ca="1" si="13"/>
        <v>#REF!</v>
      </c>
      <c r="Q45" s="335" t="str">
        <f t="shared" ca="1" si="13"/>
        <v>#REF!</v>
      </c>
      <c r="R45" s="353" t="str">
        <f t="shared" ca="1" si="13"/>
        <v>#REF!</v>
      </c>
      <c r="S45" s="12"/>
      <c r="T45" s="12"/>
      <c r="U45" s="12"/>
      <c r="V45" s="12"/>
      <c r="W45" s="12"/>
      <c r="X45" s="12"/>
      <c r="Y45" s="12"/>
      <c r="Z45" s="12"/>
      <c r="AA45" s="12"/>
      <c r="AB45" s="12"/>
    </row>
    <row r="46" spans="1:28" ht="13.5" customHeight="1">
      <c r="A46" s="12"/>
      <c r="B46" s="12"/>
      <c r="C46" s="249" t="s">
        <v>815</v>
      </c>
      <c r="D46" s="12"/>
      <c r="E46" s="12"/>
      <c r="F46" s="12"/>
      <c r="G46" s="12"/>
      <c r="H46" s="410"/>
      <c r="I46" s="410"/>
      <c r="J46" s="692"/>
      <c r="K46" s="693"/>
      <c r="L46" s="693"/>
      <c r="M46" s="694"/>
      <c r="N46" s="410"/>
      <c r="O46" s="410" t="str">
        <f t="shared" ref="O46:R46" ca="1" si="14">O45/N45-1</f>
        <v/>
      </c>
      <c r="P46" s="410" t="str">
        <f t="shared" ca="1" si="14"/>
        <v>#REF!</v>
      </c>
      <c r="Q46" s="410" t="str">
        <f t="shared" ca="1" si="14"/>
        <v>#REF!</v>
      </c>
      <c r="R46" s="410" t="str">
        <f t="shared" ca="1" si="14"/>
        <v>#REF!</v>
      </c>
      <c r="S46" s="12"/>
      <c r="T46" s="12"/>
      <c r="U46" s="12"/>
      <c r="V46" s="12"/>
      <c r="W46" s="12"/>
      <c r="X46" s="12"/>
      <c r="Y46" s="12"/>
      <c r="Z46" s="12"/>
      <c r="AA46" s="12"/>
      <c r="AB46" s="12"/>
    </row>
    <row r="47" spans="1:28" ht="13.5" customHeight="1">
      <c r="A47" s="12"/>
      <c r="B47" s="12"/>
      <c r="C47" s="12"/>
      <c r="D47" s="12"/>
      <c r="E47" s="12"/>
      <c r="F47" s="12"/>
      <c r="G47" s="12"/>
      <c r="H47" s="12"/>
      <c r="I47" s="12"/>
      <c r="J47" s="680"/>
      <c r="K47" s="681"/>
      <c r="L47" s="681"/>
      <c r="M47" s="682"/>
      <c r="N47" s="12"/>
      <c r="O47" s="12"/>
      <c r="P47" s="12"/>
      <c r="Q47" s="12"/>
      <c r="R47" s="12"/>
      <c r="S47" s="12"/>
      <c r="T47" s="12"/>
      <c r="U47" s="12"/>
      <c r="V47" s="12"/>
      <c r="W47" s="12"/>
      <c r="X47" s="12"/>
      <c r="Y47" s="12"/>
      <c r="Z47" s="12"/>
      <c r="AA47" s="12"/>
      <c r="AB47" s="12"/>
    </row>
    <row r="48" spans="1:28" ht="13.5" customHeight="1">
      <c r="A48" s="12"/>
      <c r="B48" s="332"/>
      <c r="C48" s="75" t="s">
        <v>817</v>
      </c>
      <c r="D48" s="75"/>
      <c r="E48" s="75"/>
      <c r="F48" s="75"/>
      <c r="G48" s="75"/>
      <c r="H48" s="75"/>
      <c r="I48" s="75"/>
      <c r="J48" s="695">
        <f t="shared" ref="J48:M48" si="15">IF(J27=4,0,J45)</f>
        <v>0</v>
      </c>
      <c r="K48" s="696">
        <f t="shared" si="15"/>
        <v>0</v>
      </c>
      <c r="L48" s="696">
        <f t="shared" si="15"/>
        <v>2148</v>
      </c>
      <c r="M48" s="697" t="str">
        <f t="shared" ca="1" si="15"/>
        <v>#REF!</v>
      </c>
      <c r="N48" s="335" t="str">
        <f ca="1">SUM(J48:M48)</f>
        <v/>
      </c>
      <c r="O48" s="335" t="str">
        <f t="shared" ref="O48:R48" ca="1" si="16">SUM(O35:O43)</f>
        <v/>
      </c>
      <c r="P48" s="335" t="str">
        <f t="shared" ca="1" si="16"/>
        <v>#REF!</v>
      </c>
      <c r="Q48" s="335" t="str">
        <f t="shared" ca="1" si="16"/>
        <v>#REF!</v>
      </c>
      <c r="R48" s="353" t="str">
        <f t="shared" ca="1" si="16"/>
        <v>#REF!</v>
      </c>
      <c r="S48" s="12"/>
      <c r="T48" s="12"/>
      <c r="U48" s="12"/>
      <c r="V48" s="12"/>
      <c r="W48" s="12"/>
      <c r="X48" s="12"/>
      <c r="Y48" s="12"/>
      <c r="Z48" s="12"/>
      <c r="AA48" s="12"/>
      <c r="AB48" s="12"/>
    </row>
    <row r="49" spans="1:28" ht="13.5" customHeight="1">
      <c r="A49" s="12"/>
      <c r="B49" s="12"/>
      <c r="C49" s="12"/>
      <c r="D49" s="12"/>
      <c r="E49" s="12"/>
      <c r="F49" s="12"/>
      <c r="G49" s="12"/>
      <c r="H49" s="12"/>
      <c r="I49" s="12"/>
      <c r="J49" s="680"/>
      <c r="K49" s="681"/>
      <c r="L49" s="681"/>
      <c r="M49" s="682"/>
      <c r="N49" s="12"/>
      <c r="O49" s="12"/>
      <c r="P49" s="12"/>
      <c r="Q49" s="12"/>
      <c r="R49" s="12"/>
      <c r="S49" s="12"/>
      <c r="T49" s="12"/>
      <c r="U49" s="12"/>
      <c r="V49" s="12"/>
      <c r="W49" s="12"/>
      <c r="X49" s="12"/>
      <c r="Y49" s="12"/>
      <c r="Z49" s="12"/>
      <c r="AA49" s="12"/>
      <c r="AB49" s="12"/>
    </row>
    <row r="50" spans="1:28" ht="13.5" customHeight="1">
      <c r="A50" s="12"/>
      <c r="B50" s="12"/>
      <c r="C50" s="249" t="s">
        <v>818</v>
      </c>
      <c r="D50" s="12"/>
      <c r="E50" s="12"/>
      <c r="F50" s="12"/>
      <c r="G50" s="12"/>
      <c r="H50" s="12"/>
      <c r="I50" s="12"/>
      <c r="J50" s="680"/>
      <c r="K50" s="681"/>
      <c r="L50" s="681"/>
      <c r="M50" s="682"/>
      <c r="N50" s="698">
        <f>YEARFRAC(Current_Date,Next_FYE)</f>
        <v>1.3277777777777777</v>
      </c>
      <c r="O50" s="698">
        <f t="shared" ref="O50:R50" si="17">N50+1</f>
        <v>2.3277777777777775</v>
      </c>
      <c r="P50" s="698">
        <f t="shared" si="17"/>
        <v>3.3277777777777775</v>
      </c>
      <c r="Q50" s="698">
        <f t="shared" si="17"/>
        <v>4.3277777777777775</v>
      </c>
      <c r="R50" s="698">
        <f t="shared" si="17"/>
        <v>5.3277777777777775</v>
      </c>
      <c r="S50" s="12"/>
      <c r="T50" s="12"/>
      <c r="U50" s="12"/>
      <c r="V50" s="12"/>
      <c r="W50" s="12"/>
      <c r="X50" s="12"/>
      <c r="Y50" s="12"/>
      <c r="Z50" s="12"/>
      <c r="AA50" s="12"/>
      <c r="AB50" s="12"/>
    </row>
    <row r="51" spans="1:28" ht="13.5" customHeight="1">
      <c r="A51" s="12"/>
      <c r="B51" s="12"/>
      <c r="C51" s="249" t="s">
        <v>819</v>
      </c>
      <c r="D51" s="12"/>
      <c r="E51" s="12"/>
      <c r="F51" s="12"/>
      <c r="G51" s="12"/>
      <c r="H51" s="12"/>
      <c r="I51" s="12"/>
      <c r="J51" s="680"/>
      <c r="K51" s="681"/>
      <c r="L51" s="681"/>
      <c r="M51" s="682"/>
      <c r="N51" s="698">
        <f>N50/2</f>
        <v>0.66388888888888886</v>
      </c>
      <c r="O51" s="698">
        <f t="shared" ref="O51:R51" si="18">O50-0.5</f>
        <v>1.8277777777777775</v>
      </c>
      <c r="P51" s="698">
        <f t="shared" si="18"/>
        <v>2.8277777777777775</v>
      </c>
      <c r="Q51" s="698">
        <f t="shared" si="18"/>
        <v>3.8277777777777775</v>
      </c>
      <c r="R51" s="698">
        <f t="shared" si="18"/>
        <v>4.8277777777777775</v>
      </c>
      <c r="S51" s="12"/>
      <c r="T51" s="12"/>
      <c r="U51" s="12"/>
      <c r="V51" s="12"/>
      <c r="W51" s="12"/>
      <c r="X51" s="12"/>
      <c r="Y51" s="12"/>
      <c r="Z51" s="12"/>
      <c r="AA51" s="12"/>
      <c r="AB51" s="12"/>
    </row>
    <row r="52" spans="1:28" ht="13.5" customHeight="1">
      <c r="A52" s="12"/>
      <c r="B52" s="12"/>
      <c r="C52" s="249" t="s">
        <v>820</v>
      </c>
      <c r="D52" s="12"/>
      <c r="E52" s="12"/>
      <c r="F52" s="12"/>
      <c r="G52" s="12"/>
      <c r="H52" s="12"/>
      <c r="I52" s="12"/>
      <c r="J52" s="680"/>
      <c r="K52" s="681"/>
      <c r="L52" s="681"/>
      <c r="M52" s="682"/>
      <c r="N52" s="698">
        <f t="shared" ref="N52:R52" si="19">IF($G$83="Yes",1/(1+$G$84)^N51,1/(1+$G$84)^N50)</f>
        <v>0.94490156431108974</v>
      </c>
      <c r="O52" s="698">
        <f t="shared" si="19"/>
        <v>0.85553114261153196</v>
      </c>
      <c r="P52" s="698">
        <f t="shared" si="19"/>
        <v>0.78552714535544998</v>
      </c>
      <c r="Q52" s="698">
        <f t="shared" si="19"/>
        <v>0.72125123839058802</v>
      </c>
      <c r="R52" s="698">
        <f t="shared" si="19"/>
        <v>0.6622347196474867</v>
      </c>
      <c r="S52" s="12"/>
      <c r="T52" s="12"/>
      <c r="U52" s="12"/>
      <c r="V52" s="12"/>
      <c r="W52" s="12"/>
      <c r="X52" s="12"/>
      <c r="Y52" s="12"/>
      <c r="Z52" s="12"/>
      <c r="AA52" s="12"/>
      <c r="AB52" s="12"/>
    </row>
    <row r="53" spans="1:28" ht="13.5" customHeight="1">
      <c r="A53" s="12"/>
      <c r="B53" s="12"/>
      <c r="C53" s="12"/>
      <c r="D53" s="12"/>
      <c r="E53" s="12"/>
      <c r="F53" s="12"/>
      <c r="G53" s="12"/>
      <c r="H53" s="12"/>
      <c r="I53" s="12"/>
      <c r="J53" s="680"/>
      <c r="K53" s="681"/>
      <c r="L53" s="681"/>
      <c r="M53" s="682"/>
      <c r="N53" s="12"/>
      <c r="O53" s="12"/>
      <c r="P53" s="12"/>
      <c r="Q53" s="12"/>
      <c r="R53" s="12"/>
      <c r="S53" s="12"/>
      <c r="T53" s="12"/>
      <c r="U53" s="12"/>
      <c r="V53" s="12"/>
      <c r="W53" s="12"/>
      <c r="X53" s="12"/>
      <c r="Y53" s="12"/>
      <c r="Z53" s="12"/>
      <c r="AA53" s="12"/>
      <c r="AB53" s="12"/>
    </row>
    <row r="54" spans="1:28" ht="13.5" customHeight="1">
      <c r="A54" s="12"/>
      <c r="B54" s="332"/>
      <c r="C54" s="75" t="s">
        <v>821</v>
      </c>
      <c r="D54" s="75"/>
      <c r="E54" s="75"/>
      <c r="F54" s="75"/>
      <c r="G54" s="75"/>
      <c r="H54" s="75"/>
      <c r="I54" s="75"/>
      <c r="J54" s="695"/>
      <c r="K54" s="696"/>
      <c r="L54" s="696"/>
      <c r="M54" s="697"/>
      <c r="N54" s="335" t="str">
        <f t="shared" ref="N54:R54" ca="1" si="20">N48*N52</f>
        <v/>
      </c>
      <c r="O54" s="335" t="str">
        <f t="shared" ca="1" si="20"/>
        <v>#REF!</v>
      </c>
      <c r="P54" s="335" t="str">
        <f t="shared" ca="1" si="20"/>
        <v>#REF!</v>
      </c>
      <c r="Q54" s="335" t="str">
        <f t="shared" ca="1" si="20"/>
        <v>#REF!</v>
      </c>
      <c r="R54" s="353" t="str">
        <f t="shared" ca="1" si="20"/>
        <v>#REF!</v>
      </c>
      <c r="S54" s="12"/>
      <c r="T54" s="12"/>
      <c r="U54" s="12"/>
      <c r="V54" s="12"/>
      <c r="W54" s="12"/>
      <c r="X54" s="12"/>
      <c r="Y54" s="12"/>
      <c r="Z54" s="12"/>
      <c r="AA54" s="12"/>
      <c r="AB54" s="12"/>
    </row>
    <row r="55" spans="1:28" ht="13.5" customHeight="1">
      <c r="A55" s="12"/>
      <c r="B55" s="12"/>
      <c r="C55" s="89" t="s">
        <v>249</v>
      </c>
      <c r="D55" s="12"/>
      <c r="E55" s="12"/>
      <c r="F55" s="12"/>
      <c r="G55" s="12"/>
      <c r="H55" s="12"/>
      <c r="I55" s="12"/>
      <c r="J55" s="680"/>
      <c r="K55" s="681"/>
      <c r="L55" s="681"/>
      <c r="M55" s="682"/>
      <c r="N55" s="12"/>
      <c r="O55" s="410" t="str">
        <f t="shared" ref="O55:R55" ca="1" si="21">O54/N54-1</f>
        <v/>
      </c>
      <c r="P55" s="410" t="str">
        <f t="shared" ca="1" si="21"/>
        <v>#REF!</v>
      </c>
      <c r="Q55" s="410" t="str">
        <f t="shared" ca="1" si="21"/>
        <v>#REF!</v>
      </c>
      <c r="R55" s="410" t="str">
        <f t="shared" ca="1" si="21"/>
        <v>#REF!</v>
      </c>
      <c r="S55" s="12"/>
      <c r="T55" s="12"/>
      <c r="U55" s="12"/>
      <c r="V55" s="12"/>
      <c r="W55" s="12"/>
      <c r="X55" s="12" t="s">
        <v>822</v>
      </c>
      <c r="Y55" s="12"/>
      <c r="Z55" s="12"/>
      <c r="AA55" s="12"/>
      <c r="AB55" s="12"/>
    </row>
    <row r="56" spans="1:28"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3.5" customHeight="1">
      <c r="A57" s="12"/>
      <c r="B57" s="12"/>
      <c r="C57" s="12"/>
      <c r="D57" s="12"/>
      <c r="E57" s="12"/>
      <c r="F57" s="12"/>
      <c r="G57" s="874" t="s">
        <v>823</v>
      </c>
      <c r="H57" s="858"/>
      <c r="I57" s="858"/>
      <c r="J57" s="858"/>
      <c r="K57" s="854"/>
      <c r="L57" s="12"/>
      <c r="M57" s="12"/>
      <c r="N57" s="874" t="s">
        <v>824</v>
      </c>
      <c r="O57" s="858"/>
      <c r="P57" s="858"/>
      <c r="Q57" s="858"/>
      <c r="R57" s="854"/>
      <c r="S57" s="12"/>
      <c r="T57" s="12"/>
      <c r="U57" s="12"/>
      <c r="V57" s="12"/>
      <c r="W57" s="12"/>
      <c r="X57" s="874" t="s">
        <v>823</v>
      </c>
      <c r="Y57" s="858"/>
      <c r="Z57" s="858"/>
      <c r="AA57" s="858"/>
      <c r="AB57" s="854"/>
    </row>
    <row r="58" spans="1:28" ht="4.5" customHeight="1">
      <c r="A58" s="12"/>
      <c r="B58" s="12"/>
      <c r="C58" s="12"/>
      <c r="D58" s="12"/>
      <c r="E58" s="12"/>
      <c r="F58" s="12"/>
      <c r="G58" s="143"/>
      <c r="H58" s="101"/>
      <c r="I58" s="101"/>
      <c r="J58" s="101"/>
      <c r="K58" s="229"/>
      <c r="L58" s="12"/>
      <c r="M58" s="12"/>
      <c r="N58" s="143"/>
      <c r="O58" s="101"/>
      <c r="P58" s="101"/>
      <c r="Q58" s="101"/>
      <c r="R58" s="229"/>
      <c r="S58" s="12"/>
      <c r="T58" s="12"/>
      <c r="U58" s="12"/>
      <c r="V58" s="12"/>
      <c r="W58" s="142"/>
      <c r="X58" s="101"/>
      <c r="Y58" s="101"/>
      <c r="Z58" s="101"/>
      <c r="AA58" s="101"/>
      <c r="AB58" s="229"/>
    </row>
    <row r="59" spans="1:28" ht="13.5" customHeight="1">
      <c r="A59" s="12"/>
      <c r="B59" s="12"/>
      <c r="C59" s="12"/>
      <c r="D59" s="12"/>
      <c r="E59" s="12"/>
      <c r="F59" s="142"/>
      <c r="G59" s="12" t="s">
        <v>825</v>
      </c>
      <c r="H59" s="12"/>
      <c r="I59" s="12"/>
      <c r="J59" s="12"/>
      <c r="K59" s="699" t="str">
        <f ca="1">R32</f>
        <v/>
      </c>
      <c r="L59" s="12"/>
      <c r="M59" s="12"/>
      <c r="N59" s="141" t="s">
        <v>826</v>
      </c>
      <c r="O59" s="12"/>
      <c r="P59" s="12"/>
      <c r="Q59" s="12"/>
      <c r="R59" s="700" t="str">
        <f ca="1">R48</f>
        <v/>
      </c>
      <c r="S59" s="12"/>
      <c r="T59" s="12"/>
      <c r="U59" s="12"/>
      <c r="V59" s="12"/>
      <c r="W59" s="142"/>
      <c r="X59" s="12" t="s">
        <v>825</v>
      </c>
      <c r="Y59" s="12"/>
      <c r="Z59" s="12"/>
      <c r="AA59" s="12"/>
      <c r="AB59" s="699" t="str">
        <f ca="1">R32</f>
        <v/>
      </c>
    </row>
    <row r="60" spans="1:28" ht="15" customHeight="1">
      <c r="A60" s="12"/>
      <c r="B60" s="12"/>
      <c r="C60" s="12"/>
      <c r="D60" s="12"/>
      <c r="E60" s="12"/>
      <c r="F60" s="142"/>
      <c r="G60" s="12" t="s">
        <v>827</v>
      </c>
      <c r="H60" s="12"/>
      <c r="I60" s="12"/>
      <c r="J60" s="12"/>
      <c r="K60" s="701">
        <f>IF(Case_Scenario="Bear",Valuation!J84,IF(Case_Scenario="Base",Valuation!J85,IF(Case_Scenario="Bull",Valuation!J86,"Error")))</f>
        <v>13</v>
      </c>
      <c r="L60" s="12"/>
      <c r="M60" s="12"/>
      <c r="N60" s="141" t="s">
        <v>828</v>
      </c>
      <c r="O60" s="12"/>
      <c r="P60" s="12"/>
      <c r="Q60" s="12"/>
      <c r="R60" s="702">
        <f>G86</f>
        <v>0.02</v>
      </c>
      <c r="S60" s="12"/>
      <c r="T60" s="12"/>
      <c r="U60" s="12"/>
      <c r="V60" s="12"/>
      <c r="W60" s="142"/>
      <c r="X60" s="12" t="s">
        <v>827</v>
      </c>
      <c r="Y60" s="12"/>
      <c r="Z60" s="12"/>
      <c r="AA60" s="12"/>
      <c r="AB60" s="701" t="e">
        <f ca="1">_xludf.IFS(Case_Scenario="Base",Valuation!J85,Case_Scenario="Bull",Valuation!J86,Case_Scenario="Bear",Valuation!J84)</f>
        <v>#NAME?</v>
      </c>
    </row>
    <row r="61" spans="1:28" ht="13.5" customHeight="1">
      <c r="A61" s="12"/>
      <c r="B61" s="12"/>
      <c r="C61" s="12"/>
      <c r="D61" s="12"/>
      <c r="E61" s="12"/>
      <c r="F61" s="142"/>
      <c r="G61" s="12" t="s">
        <v>829</v>
      </c>
      <c r="H61" s="12"/>
      <c r="I61" s="12"/>
      <c r="J61" s="12"/>
      <c r="K61" s="703" t="str">
        <f ca="1">K59*K60</f>
        <v/>
      </c>
      <c r="L61" s="12"/>
      <c r="M61" s="12"/>
      <c r="N61" s="141" t="s">
        <v>829</v>
      </c>
      <c r="O61" s="12"/>
      <c r="P61" s="12"/>
      <c r="Q61" s="12"/>
      <c r="R61" s="703" t="str">
        <f ca="1">(R59*(1+R60))/(Discount_Rate-R60)</f>
        <v/>
      </c>
      <c r="S61" s="12"/>
      <c r="T61" s="12"/>
      <c r="U61" s="12"/>
      <c r="V61" s="12"/>
      <c r="W61" s="142"/>
      <c r="X61" s="12" t="s">
        <v>829</v>
      </c>
      <c r="Y61" s="12"/>
      <c r="Z61" s="12"/>
      <c r="AA61" s="12"/>
      <c r="AB61" s="703" t="str">
        <f ca="1">AB59*AB60</f>
        <v/>
      </c>
    </row>
    <row r="62" spans="1:28" ht="13.5" customHeight="1">
      <c r="A62" s="12"/>
      <c r="B62" s="12"/>
      <c r="C62" s="12"/>
      <c r="D62" s="12"/>
      <c r="E62" s="12"/>
      <c r="F62" s="142"/>
      <c r="G62" s="12" t="s">
        <v>830</v>
      </c>
      <c r="H62" s="12"/>
      <c r="I62" s="12"/>
      <c r="J62" s="12"/>
      <c r="K62" s="703" t="str">
        <f ca="1">K61*R52</f>
        <v/>
      </c>
      <c r="L62" s="12"/>
      <c r="M62" s="12"/>
      <c r="N62" s="141" t="s">
        <v>830</v>
      </c>
      <c r="O62" s="12"/>
      <c r="P62" s="12"/>
      <c r="Q62" s="12"/>
      <c r="R62" s="703" t="str">
        <f ca="1">R61*R52</f>
        <v/>
      </c>
      <c r="S62" s="12"/>
      <c r="T62" s="12"/>
      <c r="U62" s="12"/>
      <c r="V62" s="12"/>
      <c r="W62" s="142"/>
      <c r="X62" s="12" t="s">
        <v>830</v>
      </c>
      <c r="Y62" s="12"/>
      <c r="Z62" s="12"/>
      <c r="AA62" s="12"/>
      <c r="AB62" s="703" t="str">
        <f ca="1">AB61*R52</f>
        <v/>
      </c>
    </row>
    <row r="63" spans="1:28" ht="13.5" customHeight="1">
      <c r="A63" s="12"/>
      <c r="B63" s="12"/>
      <c r="C63" s="12"/>
      <c r="D63" s="12"/>
      <c r="E63" s="12"/>
      <c r="F63" s="142"/>
      <c r="G63" s="12" t="s">
        <v>831</v>
      </c>
      <c r="H63" s="12"/>
      <c r="I63" s="12"/>
      <c r="J63" s="12"/>
      <c r="K63" s="703" t="str">
        <f ca="1">SUM(N54:R54)</f>
        <v/>
      </c>
      <c r="L63" s="12"/>
      <c r="M63" s="12"/>
      <c r="N63" s="141" t="s">
        <v>831</v>
      </c>
      <c r="O63" s="12"/>
      <c r="P63" s="12"/>
      <c r="Q63" s="12"/>
      <c r="R63" s="703" t="str">
        <f ca="1">SUM(N54:R54)</f>
        <v/>
      </c>
      <c r="S63" s="12"/>
      <c r="T63" s="12"/>
      <c r="U63" s="12"/>
      <c r="V63" s="12"/>
      <c r="W63" s="142"/>
      <c r="X63" s="12" t="s">
        <v>831</v>
      </c>
      <c r="Y63" s="12"/>
      <c r="Z63" s="12"/>
      <c r="AA63" s="12"/>
      <c r="AB63" s="703" t="str">
        <f ca="1">SUM(N54:R54)</f>
        <v/>
      </c>
    </row>
    <row r="64" spans="1:28" ht="13.5" customHeight="1">
      <c r="A64" s="12"/>
      <c r="B64" s="12"/>
      <c r="C64" s="12"/>
      <c r="D64" s="12"/>
      <c r="E64" s="12"/>
      <c r="F64" s="142"/>
      <c r="G64" s="12"/>
      <c r="H64" s="12"/>
      <c r="I64" s="12"/>
      <c r="J64" s="12"/>
      <c r="K64" s="142"/>
      <c r="L64" s="12"/>
      <c r="M64" s="12"/>
      <c r="N64" s="141"/>
      <c r="O64" s="12"/>
      <c r="P64" s="12"/>
      <c r="Q64" s="12"/>
      <c r="R64" s="142"/>
      <c r="S64" s="12"/>
      <c r="T64" s="12"/>
      <c r="U64" s="12"/>
      <c r="V64" s="12"/>
      <c r="W64" s="142"/>
      <c r="X64" s="12"/>
      <c r="Y64" s="12"/>
      <c r="Z64" s="12"/>
      <c r="AA64" s="12"/>
      <c r="AB64" s="142"/>
    </row>
    <row r="65" spans="1:28" ht="13.5" customHeight="1">
      <c r="A65" s="12"/>
      <c r="B65" s="12"/>
      <c r="C65" s="12"/>
      <c r="D65" s="12"/>
      <c r="E65" s="12"/>
      <c r="F65" s="142"/>
      <c r="G65" s="101" t="s">
        <v>13</v>
      </c>
      <c r="H65" s="101"/>
      <c r="I65" s="101"/>
      <c r="J65" s="101"/>
      <c r="K65" s="704" t="str">
        <f ca="1">K62+K63</f>
        <v/>
      </c>
      <c r="L65" s="12"/>
      <c r="M65" s="12"/>
      <c r="N65" s="143" t="s">
        <v>13</v>
      </c>
      <c r="O65" s="101"/>
      <c r="P65" s="101"/>
      <c r="Q65" s="101"/>
      <c r="R65" s="704" t="str">
        <f ca="1">R62+R63</f>
        <v/>
      </c>
      <c r="S65" s="12"/>
      <c r="T65" s="12"/>
      <c r="U65" s="12"/>
      <c r="V65" s="12"/>
      <c r="W65" s="142"/>
      <c r="X65" s="101" t="s">
        <v>13</v>
      </c>
      <c r="Y65" s="101"/>
      <c r="Z65" s="101"/>
      <c r="AA65" s="101"/>
      <c r="AB65" s="704" t="str">
        <f ca="1">AB62+AB63</f>
        <v/>
      </c>
    </row>
    <row r="66" spans="1:28" ht="13.5" customHeight="1">
      <c r="A66" s="12"/>
      <c r="B66" s="12"/>
      <c r="C66" s="12"/>
      <c r="D66" s="12"/>
      <c r="E66" s="12"/>
      <c r="F66" s="142"/>
      <c r="G66" s="12" t="s">
        <v>832</v>
      </c>
      <c r="H66" s="12"/>
      <c r="I66" s="12"/>
      <c r="J66" s="12"/>
      <c r="K66" s="705">
        <f>IF(Last_FQR="1Q",Model!$U$120,IF(Last_FQR="2Q",Model!$V$120,IF(Last_FQR="3Q",Model!$W$120,Model!$X$120)))</f>
        <v>6255</v>
      </c>
      <c r="L66" s="12"/>
      <c r="M66" s="12"/>
      <c r="N66" s="141" t="s">
        <v>832</v>
      </c>
      <c r="O66" s="12"/>
      <c r="P66" s="12"/>
      <c r="Q66" s="12"/>
      <c r="R66" s="703">
        <f t="shared" ref="R66:R71" si="22">K66</f>
        <v>6255</v>
      </c>
      <c r="S66" s="12"/>
      <c r="T66" s="12"/>
      <c r="U66" s="12"/>
      <c r="V66" s="12"/>
      <c r="W66" s="142"/>
      <c r="X66" s="12" t="s">
        <v>832</v>
      </c>
      <c r="Y66" s="12"/>
      <c r="Z66" s="12"/>
      <c r="AA66" s="12"/>
      <c r="AB66" s="705">
        <f>Model!$V$120</f>
        <v>6255</v>
      </c>
    </row>
    <row r="67" spans="1:28" ht="13.5" customHeight="1">
      <c r="A67" s="12"/>
      <c r="B67" s="12"/>
      <c r="C67" s="12"/>
      <c r="D67" s="12"/>
      <c r="E67" s="12"/>
      <c r="F67" s="142"/>
      <c r="G67" s="12" t="s">
        <v>833</v>
      </c>
      <c r="H67" s="12"/>
      <c r="I67" s="12"/>
      <c r="J67" s="12"/>
      <c r="K67" s="705">
        <f>WACC!$M$8</f>
        <v>0</v>
      </c>
      <c r="L67" s="12"/>
      <c r="M67" s="12"/>
      <c r="N67" s="141" t="s">
        <v>833</v>
      </c>
      <c r="O67" s="12"/>
      <c r="P67" s="12"/>
      <c r="Q67" s="12"/>
      <c r="R67" s="703">
        <f t="shared" si="22"/>
        <v>0</v>
      </c>
      <c r="S67" s="12"/>
      <c r="T67" s="12"/>
      <c r="U67" s="12"/>
      <c r="V67" s="12"/>
      <c r="W67" s="142"/>
      <c r="X67" s="12" t="s">
        <v>833</v>
      </c>
      <c r="Y67" s="12"/>
      <c r="Z67" s="12"/>
      <c r="AA67" s="12"/>
      <c r="AB67" s="705">
        <f>WACC!$M$8</f>
        <v>0</v>
      </c>
    </row>
    <row r="68" spans="1:28" ht="13.5" customHeight="1">
      <c r="A68" s="12"/>
      <c r="B68" s="12"/>
      <c r="C68" s="12"/>
      <c r="D68" s="12"/>
      <c r="E68" s="12"/>
      <c r="F68" s="142"/>
      <c r="G68" s="12" t="s">
        <v>834</v>
      </c>
      <c r="H68" s="12"/>
      <c r="I68" s="12"/>
      <c r="J68" s="12"/>
      <c r="K68" s="705">
        <f>-IF(Last_FQR="1Q",Model!$U$139+Model!$U$140,IF(Last_FQR="2Q",Model!$V$139+Model!$V$140,IF(Last_FQR="3Q",Model!$W$139+Model!$W$140,Model!$X$139+Model!$X$140)))</f>
        <v>-23311</v>
      </c>
      <c r="L68" s="12"/>
      <c r="M68" s="12"/>
      <c r="N68" s="141" t="s">
        <v>834</v>
      </c>
      <c r="O68" s="12"/>
      <c r="P68" s="12"/>
      <c r="Q68" s="12"/>
      <c r="R68" s="703">
        <f t="shared" si="22"/>
        <v>-23311</v>
      </c>
      <c r="S68" s="12"/>
      <c r="T68" s="12"/>
      <c r="U68" s="12"/>
      <c r="V68" s="12"/>
      <c r="W68" s="142"/>
      <c r="X68" s="12" t="s">
        <v>834</v>
      </c>
      <c r="Y68" s="12"/>
      <c r="Z68" s="12"/>
      <c r="AA68" s="12"/>
      <c r="AB68" s="705">
        <f>-(Model!$V$139+Model!$V$140)</f>
        <v>-23311</v>
      </c>
    </row>
    <row r="69" spans="1:28" ht="13.5" customHeight="1">
      <c r="A69" s="12"/>
      <c r="B69" s="12"/>
      <c r="C69" s="12"/>
      <c r="D69" s="12"/>
      <c r="E69" s="12"/>
      <c r="F69" s="142"/>
      <c r="G69" s="12" t="s">
        <v>835</v>
      </c>
      <c r="H69" s="12"/>
      <c r="I69" s="12"/>
      <c r="J69" s="12"/>
      <c r="K69" s="706">
        <v>0</v>
      </c>
      <c r="L69" s="12"/>
      <c r="M69" s="12"/>
      <c r="N69" s="141" t="s">
        <v>835</v>
      </c>
      <c r="O69" s="12"/>
      <c r="P69" s="12"/>
      <c r="Q69" s="12"/>
      <c r="R69" s="703">
        <f t="shared" si="22"/>
        <v>0</v>
      </c>
      <c r="S69" s="12"/>
      <c r="T69" s="12"/>
      <c r="U69" s="12"/>
      <c r="V69" s="12"/>
      <c r="W69" s="142"/>
      <c r="X69" s="12" t="s">
        <v>835</v>
      </c>
      <c r="Y69" s="12"/>
      <c r="Z69" s="12"/>
      <c r="AA69" s="12"/>
      <c r="AB69" s="706">
        <v>0</v>
      </c>
    </row>
    <row r="70" spans="1:28" ht="13.5" customHeight="1">
      <c r="A70" s="12"/>
      <c r="B70" s="12"/>
      <c r="C70" s="12"/>
      <c r="D70" s="12"/>
      <c r="E70" s="12"/>
      <c r="F70" s="142"/>
      <c r="G70" s="12" t="s">
        <v>836</v>
      </c>
      <c r="H70" s="12"/>
      <c r="I70" s="12"/>
      <c r="J70" s="12"/>
      <c r="K70" s="705">
        <f>-IF(Last_FQR="1Q",Model!$U$153,IF(Last_FQR="2Q",Model!$V$153,IF(Last_FQR="3Q",Model!$W$153,Model!$X$153)))</f>
        <v>0</v>
      </c>
      <c r="L70" s="12"/>
      <c r="M70" s="12"/>
      <c r="N70" s="141" t="s">
        <v>836</v>
      </c>
      <c r="O70" s="12"/>
      <c r="P70" s="12"/>
      <c r="Q70" s="12"/>
      <c r="R70" s="703">
        <f t="shared" si="22"/>
        <v>0</v>
      </c>
      <c r="S70" s="12"/>
      <c r="T70" s="12"/>
      <c r="U70" s="12"/>
      <c r="V70" s="12"/>
      <c r="W70" s="142"/>
      <c r="X70" s="12" t="s">
        <v>836</v>
      </c>
      <c r="Y70" s="12"/>
      <c r="Z70" s="12"/>
      <c r="AA70" s="12"/>
      <c r="AB70" s="705">
        <f>-Model!$V$153</f>
        <v>0</v>
      </c>
    </row>
    <row r="71" spans="1:28" ht="13.5" customHeight="1">
      <c r="A71" s="12"/>
      <c r="B71" s="12"/>
      <c r="C71" s="12"/>
      <c r="D71" s="12"/>
      <c r="E71" s="12"/>
      <c r="F71" s="142"/>
      <c r="G71" s="12" t="s">
        <v>837</v>
      </c>
      <c r="H71" s="12"/>
      <c r="I71" s="12"/>
      <c r="J71" s="12"/>
      <c r="K71" s="706">
        <v>0</v>
      </c>
      <c r="L71" s="12"/>
      <c r="M71" s="12"/>
      <c r="N71" s="141" t="s">
        <v>837</v>
      </c>
      <c r="O71" s="12"/>
      <c r="P71" s="12"/>
      <c r="Q71" s="12"/>
      <c r="R71" s="703">
        <f t="shared" si="22"/>
        <v>0</v>
      </c>
      <c r="S71" s="12"/>
      <c r="T71" s="12"/>
      <c r="U71" s="12"/>
      <c r="V71" s="12"/>
      <c r="W71" s="142"/>
      <c r="X71" s="12" t="s">
        <v>837</v>
      </c>
      <c r="Y71" s="12"/>
      <c r="Z71" s="12"/>
      <c r="AA71" s="12"/>
      <c r="AB71" s="706">
        <v>0</v>
      </c>
    </row>
    <row r="72" spans="1:28" ht="13.5" customHeight="1">
      <c r="A72" s="12"/>
      <c r="B72" s="12"/>
      <c r="C72" s="12"/>
      <c r="D72" s="12"/>
      <c r="E72" s="12"/>
      <c r="F72" s="142"/>
      <c r="G72" s="101" t="s">
        <v>16</v>
      </c>
      <c r="H72" s="101"/>
      <c r="I72" s="101"/>
      <c r="J72" s="101"/>
      <c r="K72" s="704" t="str">
        <f ca="1">SUM(K65:K71)</f>
        <v/>
      </c>
      <c r="L72" s="12"/>
      <c r="M72" s="12"/>
      <c r="N72" s="143" t="s">
        <v>16</v>
      </c>
      <c r="O72" s="101"/>
      <c r="P72" s="101"/>
      <c r="Q72" s="101"/>
      <c r="R72" s="704" t="str">
        <f ca="1">SUM(R65:R71)</f>
        <v/>
      </c>
      <c r="S72" s="12"/>
      <c r="T72" s="12"/>
      <c r="U72" s="12"/>
      <c r="V72" s="12"/>
      <c r="W72" s="142"/>
      <c r="X72" s="101" t="s">
        <v>16</v>
      </c>
      <c r="Y72" s="101"/>
      <c r="Z72" s="101"/>
      <c r="AA72" s="101"/>
      <c r="AB72" s="704" t="str">
        <f ca="1">SUM(AB65:AB71)</f>
        <v/>
      </c>
    </row>
    <row r="73" spans="1:28" ht="13.5" customHeight="1">
      <c r="A73" s="12"/>
      <c r="B73" s="12"/>
      <c r="C73" s="12"/>
      <c r="D73" s="12"/>
      <c r="E73" s="12"/>
      <c r="F73" s="142"/>
      <c r="G73" s="12"/>
      <c r="H73" s="12"/>
      <c r="I73" s="12"/>
      <c r="J73" s="12"/>
      <c r="K73" s="142"/>
      <c r="L73" s="12"/>
      <c r="M73" s="12"/>
      <c r="N73" s="141"/>
      <c r="O73" s="12"/>
      <c r="P73" s="12"/>
      <c r="Q73" s="12"/>
      <c r="R73" s="142"/>
      <c r="S73" s="12"/>
      <c r="T73" s="12"/>
      <c r="U73" s="12"/>
      <c r="V73" s="12"/>
      <c r="W73" s="142"/>
      <c r="X73" s="12"/>
      <c r="Y73" s="12"/>
      <c r="Z73" s="12"/>
      <c r="AA73" s="12"/>
      <c r="AB73" s="142"/>
    </row>
    <row r="74" spans="1:28" ht="13.5" customHeight="1">
      <c r="A74" s="12"/>
      <c r="B74" s="12"/>
      <c r="C74" s="12"/>
      <c r="D74" s="12"/>
      <c r="E74" s="12"/>
      <c r="F74" s="142"/>
      <c r="G74" s="12" t="s">
        <v>838</v>
      </c>
      <c r="H74" s="12"/>
      <c r="I74" s="12"/>
      <c r="J74" s="12"/>
      <c r="K74" s="707">
        <f>Diluted_Shares</f>
        <v>707</v>
      </c>
      <c r="L74" s="12"/>
      <c r="M74" s="12"/>
      <c r="N74" s="141" t="s">
        <v>838</v>
      </c>
      <c r="O74" s="12"/>
      <c r="P74" s="12"/>
      <c r="Q74" s="12"/>
      <c r="R74" s="708">
        <f>K74</f>
        <v>707</v>
      </c>
      <c r="S74" s="12"/>
      <c r="T74" s="12"/>
      <c r="U74" s="12"/>
      <c r="V74" s="12"/>
      <c r="W74" s="142"/>
      <c r="X74" s="12" t="s">
        <v>838</v>
      </c>
      <c r="Y74" s="12"/>
      <c r="Z74" s="12"/>
      <c r="AA74" s="12"/>
      <c r="AB74" s="707">
        <f>Diluted_Shares</f>
        <v>707</v>
      </c>
    </row>
    <row r="75" spans="1:28" ht="13.5" customHeight="1">
      <c r="A75" s="12"/>
      <c r="B75" s="12"/>
      <c r="C75" s="12"/>
      <c r="D75" s="12"/>
      <c r="E75" s="12"/>
      <c r="F75" s="12"/>
      <c r="G75" s="141"/>
      <c r="H75" s="12"/>
      <c r="I75" s="12"/>
      <c r="J75" s="12"/>
      <c r="K75" s="142"/>
      <c r="L75" s="12"/>
      <c r="M75" s="12"/>
      <c r="N75" s="141"/>
      <c r="O75" s="12"/>
      <c r="P75" s="12"/>
      <c r="Q75" s="12"/>
      <c r="R75" s="142"/>
      <c r="S75" s="12"/>
      <c r="T75" s="12"/>
      <c r="U75" s="12"/>
      <c r="V75" s="12"/>
      <c r="W75" s="142"/>
      <c r="X75" s="12"/>
      <c r="Y75" s="12"/>
      <c r="Z75" s="12"/>
      <c r="AA75" s="12"/>
      <c r="AB75" s="142"/>
    </row>
    <row r="76" spans="1:28" ht="13.5" customHeight="1">
      <c r="A76" s="12"/>
      <c r="B76" s="12"/>
      <c r="C76" s="12"/>
      <c r="D76" s="12"/>
      <c r="E76" s="12"/>
      <c r="F76" s="12"/>
      <c r="G76" s="143" t="s">
        <v>18</v>
      </c>
      <c r="H76" s="101"/>
      <c r="I76" s="101"/>
      <c r="J76" s="101"/>
      <c r="K76" s="709" t="str">
        <f ca="1">K72/K74</f>
        <v/>
      </c>
      <c r="L76" s="12"/>
      <c r="M76" s="12"/>
      <c r="N76" s="143" t="s">
        <v>18</v>
      </c>
      <c r="O76" s="101"/>
      <c r="P76" s="101"/>
      <c r="Q76" s="101"/>
      <c r="R76" s="709" t="str">
        <f ca="1">R72/R74</f>
        <v/>
      </c>
      <c r="S76" s="12"/>
      <c r="T76" s="12"/>
      <c r="U76" s="12"/>
      <c r="V76" s="12"/>
      <c r="W76" s="142"/>
      <c r="X76" s="101" t="s">
        <v>18</v>
      </c>
      <c r="Y76" s="101"/>
      <c r="Z76" s="101"/>
      <c r="AA76" s="101"/>
      <c r="AB76" s="709" t="str">
        <f ca="1">AB72/AB74</f>
        <v/>
      </c>
    </row>
    <row r="77" spans="1:28" ht="13.5" customHeight="1">
      <c r="A77" s="12"/>
      <c r="B77" s="12"/>
      <c r="C77" s="12"/>
      <c r="D77" s="12"/>
      <c r="E77" s="12"/>
      <c r="F77" s="12"/>
      <c r="G77" s="710" t="s">
        <v>15</v>
      </c>
      <c r="H77" s="100"/>
      <c r="I77" s="100"/>
      <c r="J77" s="100"/>
      <c r="K77" s="711" t="str">
        <f ca="1">K76/Share_Price-1</f>
        <v/>
      </c>
      <c r="L77" s="12"/>
      <c r="M77" s="12"/>
      <c r="N77" s="710" t="s">
        <v>15</v>
      </c>
      <c r="O77" s="100"/>
      <c r="P77" s="100"/>
      <c r="Q77" s="100"/>
      <c r="R77" s="711" t="str">
        <f ca="1">R76/Share_Price-1</f>
        <v/>
      </c>
      <c r="S77" s="12"/>
      <c r="T77" s="12"/>
      <c r="U77" s="12"/>
      <c r="V77" s="12"/>
      <c r="W77" s="12"/>
      <c r="X77" s="710" t="s">
        <v>15</v>
      </c>
      <c r="Y77" s="100"/>
      <c r="Z77" s="100"/>
      <c r="AA77" s="100"/>
      <c r="AB77" s="711" t="str">
        <f ca="1">AB76/Share_Price-1</f>
        <v/>
      </c>
    </row>
    <row r="78" spans="1:2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3.5" customHeight="1">
      <c r="A79" s="12"/>
      <c r="B79" s="12"/>
      <c r="C79" s="12"/>
      <c r="D79" s="12"/>
      <c r="E79" s="12"/>
      <c r="F79" s="12"/>
      <c r="G79" s="12" t="s">
        <v>839</v>
      </c>
      <c r="H79" s="12"/>
      <c r="I79" s="12"/>
      <c r="J79" s="12"/>
      <c r="K79" s="712" t="str">
        <f ca="1">R61/K59</f>
        <v/>
      </c>
      <c r="L79" s="12"/>
      <c r="M79" s="12"/>
      <c r="N79" s="12" t="s">
        <v>840</v>
      </c>
      <c r="O79" s="12"/>
      <c r="P79" s="12"/>
      <c r="Q79" s="12"/>
      <c r="R79" s="713" t="str">
        <f ca="1">(K61*Discount_Rate-R59)/(R59+K61)</f>
        <v/>
      </c>
      <c r="S79" s="12"/>
      <c r="T79" s="12"/>
      <c r="U79" s="12"/>
      <c r="V79" s="12"/>
      <c r="W79" s="12"/>
      <c r="X79" s="12" t="s">
        <v>839</v>
      </c>
      <c r="Y79" s="12"/>
      <c r="Z79" s="12"/>
      <c r="AA79" s="12"/>
      <c r="AB79" s="712" t="str">
        <f ca="1">R61/AB59</f>
        <v/>
      </c>
    </row>
    <row r="80" spans="1:28"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3.5" customHeight="1">
      <c r="A81" s="211" t="s">
        <v>1</v>
      </c>
      <c r="B81" s="12"/>
      <c r="C81" s="920" t="s">
        <v>46</v>
      </c>
      <c r="D81" s="858"/>
      <c r="E81" s="858"/>
      <c r="F81" s="858"/>
      <c r="G81" s="858"/>
      <c r="H81" s="858"/>
      <c r="I81" s="858"/>
      <c r="J81" s="858"/>
      <c r="K81" s="858"/>
      <c r="L81" s="858"/>
      <c r="M81" s="858"/>
      <c r="N81" s="858"/>
      <c r="O81" s="858"/>
      <c r="P81" s="858"/>
      <c r="Q81" s="858"/>
      <c r="R81" s="854"/>
      <c r="S81" s="211" t="s">
        <v>1</v>
      </c>
      <c r="T81" s="12"/>
      <c r="U81" s="12"/>
      <c r="V81" s="12"/>
      <c r="W81" s="12"/>
      <c r="X81" s="12"/>
      <c r="Y81" s="12"/>
      <c r="Z81" s="12"/>
      <c r="AA81" s="12"/>
      <c r="AB81" s="12"/>
    </row>
    <row r="82" spans="1:28" ht="4.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3.5" customHeight="1">
      <c r="A83" s="12"/>
      <c r="B83" s="12"/>
      <c r="C83" s="108" t="s">
        <v>819</v>
      </c>
      <c r="D83" s="12"/>
      <c r="E83" s="12"/>
      <c r="F83" s="12"/>
      <c r="G83" s="35" t="s">
        <v>841</v>
      </c>
      <c r="H83" s="12"/>
      <c r="I83" s="923" t="s">
        <v>148</v>
      </c>
      <c r="J83" s="924"/>
      <c r="K83" s="12"/>
      <c r="L83" s="12"/>
      <c r="M83" s="12"/>
      <c r="N83" s="12"/>
      <c r="O83" s="12"/>
      <c r="P83" s="12"/>
      <c r="Q83" s="12"/>
      <c r="R83" s="12"/>
      <c r="S83" s="12"/>
      <c r="T83" s="12"/>
      <c r="U83" s="12"/>
      <c r="V83" s="12"/>
      <c r="W83" s="12"/>
      <c r="X83" s="12"/>
      <c r="Y83" s="12"/>
      <c r="Z83" s="12"/>
      <c r="AA83" s="12"/>
      <c r="AB83" s="12"/>
    </row>
    <row r="84" spans="1:28" ht="13.5" customHeight="1">
      <c r="A84" s="12"/>
      <c r="B84" s="12"/>
      <c r="C84" s="12" t="s">
        <v>842</v>
      </c>
      <c r="D84" s="12"/>
      <c r="E84" s="12"/>
      <c r="F84" s="12"/>
      <c r="G84" s="714">
        <f>Discount_Rate</f>
        <v>8.9117222326423023E-2</v>
      </c>
      <c r="H84" s="12"/>
      <c r="I84" s="12" t="s">
        <v>843</v>
      </c>
      <c r="J84" s="715">
        <v>8.5</v>
      </c>
      <c r="K84" s="12"/>
      <c r="L84" s="12"/>
      <c r="M84" s="12"/>
      <c r="N84" s="12"/>
      <c r="O84" s="12"/>
      <c r="P84" s="12"/>
      <c r="Q84" s="12"/>
      <c r="R84" s="12"/>
      <c r="S84" s="12"/>
      <c r="T84" s="12"/>
      <c r="U84" s="12"/>
      <c r="V84" s="12"/>
      <c r="W84" s="12"/>
      <c r="X84" s="12"/>
      <c r="Y84" s="12"/>
      <c r="Z84" s="12"/>
      <c r="AA84" s="12"/>
      <c r="AB84" s="12"/>
    </row>
    <row r="85" spans="1:28" ht="13.5" customHeight="1">
      <c r="A85" s="12"/>
      <c r="B85" s="12"/>
      <c r="C85" s="12" t="s">
        <v>298</v>
      </c>
      <c r="D85" s="12"/>
      <c r="E85" s="12"/>
      <c r="F85" s="12"/>
      <c r="G85" s="716">
        <f>Tax_Rate</f>
        <v>0.2443665498247371</v>
      </c>
      <c r="H85" s="12"/>
      <c r="I85" s="12" t="s">
        <v>29</v>
      </c>
      <c r="J85" s="715">
        <v>13</v>
      </c>
      <c r="K85" s="12"/>
      <c r="L85" s="12"/>
      <c r="M85" s="12"/>
      <c r="N85" s="12"/>
      <c r="O85" s="12"/>
      <c r="P85" s="12"/>
      <c r="Q85" s="12"/>
      <c r="R85" s="12"/>
      <c r="S85" s="12"/>
      <c r="T85" s="12"/>
      <c r="U85" s="12"/>
      <c r="V85" s="12"/>
      <c r="W85" s="12"/>
      <c r="X85" s="12"/>
      <c r="Y85" s="12"/>
      <c r="Z85" s="12"/>
      <c r="AA85" s="12"/>
      <c r="AB85" s="12"/>
    </row>
    <row r="86" spans="1:28" ht="13.5" customHeight="1">
      <c r="A86" s="12"/>
      <c r="B86" s="12"/>
      <c r="C86" s="12" t="s">
        <v>805</v>
      </c>
      <c r="D86" s="12"/>
      <c r="E86" s="12"/>
      <c r="F86" s="12"/>
      <c r="G86" s="717">
        <v>0.02</v>
      </c>
      <c r="H86" s="12"/>
      <c r="I86" s="12" t="s">
        <v>844</v>
      </c>
      <c r="J86" s="715">
        <v>14.5</v>
      </c>
      <c r="K86" s="12"/>
      <c r="L86" s="12"/>
      <c r="M86" s="12"/>
      <c r="N86" s="12"/>
      <c r="O86" s="12"/>
      <c r="P86" s="12"/>
      <c r="Q86" s="12"/>
      <c r="R86" s="12"/>
      <c r="S86" s="12"/>
      <c r="T86" s="12"/>
      <c r="U86" s="12"/>
      <c r="V86" s="12"/>
      <c r="W86" s="12"/>
      <c r="X86" s="12"/>
      <c r="Y86" s="12"/>
      <c r="Z86" s="12"/>
      <c r="AA86" s="12"/>
      <c r="AB86" s="12"/>
    </row>
    <row r="87" spans="1:28" ht="13.5" customHeight="1">
      <c r="A87" s="12"/>
      <c r="B87" s="12"/>
      <c r="C87" s="12" t="s">
        <v>148</v>
      </c>
      <c r="D87" s="12"/>
      <c r="E87" s="12"/>
      <c r="F87" s="12"/>
      <c r="G87" s="715" t="e">
        <f ca="1">_xludf.IFS(Case_Scenario="Base",Valuation!J85,Case_Scenario="Bull",Valuation!J86,Case_Scenario="Bear",Valuation!J84)</f>
        <v>#NAME?</v>
      </c>
      <c r="H87" s="12"/>
      <c r="I87" s="12"/>
      <c r="J87" s="715"/>
      <c r="K87" s="12"/>
      <c r="L87" s="12"/>
      <c r="M87" s="12"/>
      <c r="N87" s="12"/>
      <c r="O87" s="12"/>
      <c r="P87" s="12"/>
      <c r="Q87" s="12"/>
      <c r="R87" s="12"/>
      <c r="S87" s="12"/>
      <c r="T87" s="12"/>
      <c r="U87" s="12"/>
      <c r="V87" s="12"/>
      <c r="W87" s="12"/>
      <c r="X87" s="12"/>
      <c r="Y87" s="12"/>
      <c r="Z87" s="12"/>
      <c r="AA87" s="12"/>
      <c r="AB87" s="12"/>
    </row>
    <row r="88" spans="1:2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4.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4.25" customHeight="1">
      <c r="A90" s="211" t="s">
        <v>1</v>
      </c>
      <c r="B90" s="12"/>
      <c r="C90" s="920" t="s">
        <v>845</v>
      </c>
      <c r="D90" s="858"/>
      <c r="E90" s="858"/>
      <c r="F90" s="858"/>
      <c r="G90" s="858"/>
      <c r="H90" s="858"/>
      <c r="I90" s="858"/>
      <c r="J90" s="858"/>
      <c r="K90" s="858"/>
      <c r="L90" s="858"/>
      <c r="M90" s="858"/>
      <c r="N90" s="858"/>
      <c r="O90" s="858"/>
      <c r="P90" s="858"/>
      <c r="Q90" s="858"/>
      <c r="R90" s="854"/>
      <c r="S90" s="211" t="s">
        <v>1</v>
      </c>
      <c r="T90" s="12"/>
      <c r="U90" s="12"/>
      <c r="V90" s="12"/>
      <c r="W90" s="12"/>
      <c r="X90" s="12"/>
      <c r="Y90" s="12"/>
      <c r="Z90" s="12"/>
      <c r="AA90" s="12"/>
      <c r="AB90" s="12"/>
    </row>
    <row r="91" spans="1:28" ht="4.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4.25" customHeight="1">
      <c r="A92" s="12"/>
      <c r="B92" s="12"/>
      <c r="C92" s="12" t="s">
        <v>846</v>
      </c>
      <c r="D92" s="12"/>
      <c r="E92" s="712">
        <f>J85</f>
        <v>13</v>
      </c>
      <c r="F92" s="611">
        <f>E92-H98</f>
        <v>0</v>
      </c>
      <c r="G92" s="12"/>
      <c r="H92" s="12" t="s">
        <v>847</v>
      </c>
      <c r="I92" s="12"/>
      <c r="J92" s="718">
        <f>G86</f>
        <v>0.02</v>
      </c>
      <c r="K92" s="611">
        <f>J92-H106</f>
        <v>0</v>
      </c>
      <c r="L92" s="12"/>
      <c r="M92" s="12" t="s">
        <v>848</v>
      </c>
      <c r="N92" s="12"/>
      <c r="O92" s="718">
        <f>G84</f>
        <v>8.9117222326423023E-2</v>
      </c>
      <c r="P92" s="611">
        <f>O92-E101</f>
        <v>2.4017932196848668E-4</v>
      </c>
      <c r="Q92" s="12"/>
      <c r="R92" s="12"/>
      <c r="S92" s="12"/>
      <c r="T92" s="12"/>
      <c r="U92" s="12"/>
      <c r="V92" s="12"/>
      <c r="W92" s="12"/>
      <c r="X92" s="12"/>
      <c r="Y92" s="12"/>
      <c r="Z92" s="12"/>
      <c r="AA92" s="12"/>
      <c r="AB92" s="12"/>
    </row>
    <row r="93" spans="1:28" ht="14.25" customHeight="1">
      <c r="A93" s="12"/>
      <c r="B93" s="12"/>
      <c r="C93" s="12" t="s">
        <v>849</v>
      </c>
      <c r="D93" s="12"/>
      <c r="E93" s="719">
        <v>1</v>
      </c>
      <c r="F93" s="12"/>
      <c r="G93" s="12"/>
      <c r="H93" s="12" t="s">
        <v>850</v>
      </c>
      <c r="I93" s="12"/>
      <c r="J93" s="720">
        <v>5.0000000000000001E-3</v>
      </c>
      <c r="K93" s="12"/>
      <c r="L93" s="12"/>
      <c r="M93" s="12" t="s">
        <v>851</v>
      </c>
      <c r="N93" s="12"/>
      <c r="O93" s="720">
        <v>5.0000000000000001E-3</v>
      </c>
      <c r="P93" s="12"/>
      <c r="Q93" s="12"/>
      <c r="R93" s="12"/>
      <c r="S93" s="12"/>
      <c r="T93" s="12"/>
      <c r="U93" s="12"/>
      <c r="V93" s="12"/>
      <c r="W93" s="12"/>
      <c r="X93" s="12"/>
      <c r="Y93" s="12"/>
      <c r="Z93" s="12"/>
      <c r="AA93" s="12"/>
      <c r="AB93" s="12"/>
    </row>
    <row r="94" spans="1:28" ht="14.25" customHeight="1">
      <c r="A94" s="12"/>
      <c r="B94" s="12"/>
      <c r="C94" s="12"/>
      <c r="D94" s="12"/>
      <c r="E94" s="35"/>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4.25" customHeight="1">
      <c r="A95" s="12"/>
      <c r="B95" s="12"/>
      <c r="C95" s="12"/>
      <c r="D95" s="925" t="s">
        <v>852</v>
      </c>
      <c r="E95" s="858"/>
      <c r="F95" s="858"/>
      <c r="G95" s="858"/>
      <c r="H95" s="858"/>
      <c r="I95" s="858"/>
      <c r="J95" s="854"/>
      <c r="K95" s="721"/>
      <c r="L95" s="925" t="s">
        <v>853</v>
      </c>
      <c r="M95" s="858"/>
      <c r="N95" s="858"/>
      <c r="O95" s="858"/>
      <c r="P95" s="858"/>
      <c r="Q95" s="858"/>
      <c r="R95" s="854"/>
      <c r="S95" s="12"/>
      <c r="T95" s="12"/>
      <c r="U95" s="12"/>
      <c r="V95" s="12"/>
      <c r="W95" s="12"/>
      <c r="X95" s="12"/>
      <c r="Y95" s="12"/>
      <c r="Z95" s="12"/>
      <c r="AA95" s="12"/>
      <c r="AB95" s="12"/>
    </row>
    <row r="96" spans="1:28" ht="14.25" customHeight="1">
      <c r="A96" s="12"/>
      <c r="B96" s="12"/>
      <c r="C96" s="12"/>
      <c r="D96" s="40"/>
      <c r="E96" s="149"/>
      <c r="F96" s="69"/>
      <c r="G96" s="69"/>
      <c r="H96" s="69"/>
      <c r="I96" s="69"/>
      <c r="J96" s="69"/>
      <c r="K96" s="721"/>
      <c r="L96" s="40"/>
      <c r="M96" s="149"/>
      <c r="N96" s="69"/>
      <c r="O96" s="69"/>
      <c r="P96" s="69"/>
      <c r="Q96" s="69"/>
      <c r="R96" s="69"/>
      <c r="S96" s="12"/>
      <c r="T96" s="12"/>
      <c r="U96" s="12"/>
      <c r="V96" s="12"/>
      <c r="W96" s="12"/>
      <c r="X96" s="12"/>
      <c r="Y96" s="12"/>
      <c r="Z96" s="12"/>
      <c r="AA96" s="12"/>
      <c r="AB96" s="12"/>
    </row>
    <row r="97" spans="1:28" ht="14.25" customHeight="1">
      <c r="A97" s="12"/>
      <c r="B97" s="12"/>
      <c r="C97" s="12"/>
      <c r="D97" s="535"/>
      <c r="E97" s="537"/>
      <c r="F97" s="915" t="s">
        <v>148</v>
      </c>
      <c r="G97" s="916"/>
      <c r="H97" s="916"/>
      <c r="I97" s="916"/>
      <c r="J97" s="916"/>
      <c r="K97" s="12"/>
      <c r="L97" s="535"/>
      <c r="M97" s="537"/>
      <c r="N97" s="915" t="s">
        <v>148</v>
      </c>
      <c r="O97" s="916"/>
      <c r="P97" s="916"/>
      <c r="Q97" s="916"/>
      <c r="R97" s="916"/>
      <c r="S97" s="12"/>
      <c r="T97" s="12"/>
      <c r="U97" s="12"/>
      <c r="V97" s="12"/>
      <c r="W97" s="12"/>
      <c r="X97" s="12"/>
      <c r="Y97" s="12"/>
      <c r="Z97" s="12"/>
      <c r="AA97" s="12"/>
      <c r="AB97" s="12"/>
    </row>
    <row r="98" spans="1:28" ht="14.25" customHeight="1">
      <c r="A98" s="12"/>
      <c r="B98" s="12"/>
      <c r="C98" s="12"/>
      <c r="D98" s="12"/>
      <c r="E98" s="722" t="str">
        <f ca="1">K76</f>
        <v/>
      </c>
      <c r="F98" s="723">
        <f t="shared" ref="F98:G98" si="23">G98-$E$93</f>
        <v>11</v>
      </c>
      <c r="G98" s="723">
        <f t="shared" si="23"/>
        <v>12</v>
      </c>
      <c r="H98" s="724">
        <v>13</v>
      </c>
      <c r="I98" s="723">
        <f t="shared" ref="I98:J98" si="24">H98+$E$93</f>
        <v>14</v>
      </c>
      <c r="J98" s="723">
        <f t="shared" si="24"/>
        <v>15</v>
      </c>
      <c r="K98" s="12"/>
      <c r="L98" s="12"/>
      <c r="M98" s="725">
        <f>$H$73</f>
        <v>0</v>
      </c>
      <c r="N98" s="723">
        <f t="shared" ref="N98:R98" si="25">F98</f>
        <v>11</v>
      </c>
      <c r="O98" s="723">
        <f t="shared" si="25"/>
        <v>12</v>
      </c>
      <c r="P98" s="723">
        <f t="shared" si="25"/>
        <v>13</v>
      </c>
      <c r="Q98" s="723">
        <f t="shared" si="25"/>
        <v>14</v>
      </c>
      <c r="R98" s="723">
        <f t="shared" si="25"/>
        <v>15</v>
      </c>
      <c r="S98" s="12"/>
      <c r="T98" s="12"/>
      <c r="U98" s="12"/>
      <c r="V98" s="12"/>
      <c r="W98" s="12"/>
      <c r="X98" s="12"/>
      <c r="Y98" s="12"/>
      <c r="Z98" s="12"/>
      <c r="AA98" s="12"/>
      <c r="AB98" s="12"/>
    </row>
    <row r="99" spans="1:28" ht="14.25" customHeight="1">
      <c r="A99" s="12"/>
      <c r="B99" s="12"/>
      <c r="C99" s="12"/>
      <c r="D99" s="917" t="s">
        <v>47</v>
      </c>
      <c r="E99" s="726">
        <f t="shared" ref="E99:E100" si="26">E100-$O$93</f>
        <v>7.8877043004454528E-2</v>
      </c>
      <c r="F99" s="727">
        <v>236.33583068885625</v>
      </c>
      <c r="G99" s="728">
        <v>255.22340234056509</v>
      </c>
      <c r="H99" s="728">
        <v>274.11097399227401</v>
      </c>
      <c r="I99" s="728">
        <v>292.99854564398288</v>
      </c>
      <c r="J99" s="729">
        <v>311.8861172956918</v>
      </c>
      <c r="K99" s="12"/>
      <c r="L99" s="917" t="s">
        <v>47</v>
      </c>
      <c r="M99" s="726">
        <f t="shared" ref="M99:M103" si="27">E99</f>
        <v>7.8877043004454528E-2</v>
      </c>
      <c r="N99" s="730">
        <f t="shared" ref="N99:R103" si="28">F99/Share_Price-1</f>
        <v>1.3533882360649452E-2</v>
      </c>
      <c r="O99" s="605">
        <f t="shared" si="28"/>
        <v>9.453384655873176E-2</v>
      </c>
      <c r="P99" s="605">
        <f t="shared" si="28"/>
        <v>0.17553381075681451</v>
      </c>
      <c r="Q99" s="605">
        <f t="shared" si="28"/>
        <v>0.25653377495489704</v>
      </c>
      <c r="R99" s="731">
        <f t="shared" si="28"/>
        <v>0.33753373915297957</v>
      </c>
      <c r="S99" s="12"/>
      <c r="T99" s="12"/>
      <c r="U99" s="12"/>
      <c r="V99" s="12"/>
      <c r="W99" s="12"/>
      <c r="X99" s="12"/>
      <c r="Y99" s="12"/>
      <c r="Z99" s="12"/>
      <c r="AA99" s="12"/>
      <c r="AB99" s="12"/>
    </row>
    <row r="100" spans="1:28" ht="14.25" customHeight="1">
      <c r="A100" s="12"/>
      <c r="B100" s="12"/>
      <c r="C100" s="12"/>
      <c r="D100" s="918"/>
      <c r="E100" s="726">
        <f t="shared" si="26"/>
        <v>8.3877043004454532E-2</v>
      </c>
      <c r="F100" s="732">
        <v>232.22019290427394</v>
      </c>
      <c r="G100" s="733">
        <v>250.78261834058881</v>
      </c>
      <c r="H100" s="733">
        <v>269.34504377690365</v>
      </c>
      <c r="I100" s="733">
        <v>287.90746921321852</v>
      </c>
      <c r="J100" s="734">
        <v>306.46989464953344</v>
      </c>
      <c r="K100" s="12"/>
      <c r="L100" s="918"/>
      <c r="M100" s="726">
        <f t="shared" si="27"/>
        <v>8.3877043004454532E-2</v>
      </c>
      <c r="N100" s="735">
        <f t="shared" si="28"/>
        <v>-4.116163889381852E-3</v>
      </c>
      <c r="O100" s="497">
        <f t="shared" si="28"/>
        <v>7.548940020837458E-2</v>
      </c>
      <c r="P100" s="497">
        <f t="shared" si="28"/>
        <v>0.15509496430613101</v>
      </c>
      <c r="Q100" s="497">
        <f t="shared" si="28"/>
        <v>0.23470052840388766</v>
      </c>
      <c r="R100" s="616">
        <f t="shared" si="28"/>
        <v>0.31430609250164432</v>
      </c>
      <c r="S100" s="12"/>
      <c r="T100" s="12"/>
      <c r="U100" s="12"/>
      <c r="V100" s="12"/>
      <c r="W100" s="12"/>
      <c r="X100" s="12"/>
      <c r="Y100" s="12"/>
      <c r="Z100" s="12"/>
      <c r="AA100" s="12"/>
      <c r="AB100" s="12"/>
    </row>
    <row r="101" spans="1:28" ht="14.25" customHeight="1">
      <c r="A101" s="12"/>
      <c r="B101" s="12"/>
      <c r="C101" s="12"/>
      <c r="D101" s="918"/>
      <c r="E101" s="736">
        <v>8.8877043004454537E-2</v>
      </c>
      <c r="F101" s="737">
        <v>228.19143454386773</v>
      </c>
      <c r="G101" s="733">
        <v>246.43576913961923</v>
      </c>
      <c r="H101" s="733">
        <v>264.68010373537061</v>
      </c>
      <c r="I101" s="733">
        <v>282.92443833112208</v>
      </c>
      <c r="J101" s="734">
        <v>301.16877292687354</v>
      </c>
      <c r="K101" s="12"/>
      <c r="L101" s="918"/>
      <c r="M101" s="726">
        <f t="shared" si="27"/>
        <v>8.8877043004454537E-2</v>
      </c>
      <c r="N101" s="735">
        <f t="shared" si="28"/>
        <v>-2.1393624908363829E-2</v>
      </c>
      <c r="O101" s="497">
        <f t="shared" si="28"/>
        <v>5.6847796293074904E-2</v>
      </c>
      <c r="P101" s="497">
        <f t="shared" si="28"/>
        <v>0.1350892174945133</v>
      </c>
      <c r="Q101" s="497">
        <f t="shared" si="28"/>
        <v>0.21333063869595192</v>
      </c>
      <c r="R101" s="616">
        <f t="shared" si="28"/>
        <v>0.29157205989739055</v>
      </c>
      <c r="S101" s="12"/>
      <c r="T101" s="12"/>
      <c r="U101" s="12"/>
      <c r="V101" s="12"/>
      <c r="W101" s="12"/>
      <c r="X101" s="12"/>
      <c r="Y101" s="12"/>
      <c r="Z101" s="12"/>
      <c r="AA101" s="12"/>
      <c r="AB101" s="12"/>
    </row>
    <row r="102" spans="1:28" ht="14.25" customHeight="1">
      <c r="A102" s="12"/>
      <c r="B102" s="12"/>
      <c r="C102" s="12"/>
      <c r="D102" s="918"/>
      <c r="E102" s="726">
        <f t="shared" ref="E102:E103" si="29">E101+$O$93</f>
        <v>9.3877043004454541E-2</v>
      </c>
      <c r="F102" s="732">
        <v>224.24731517247491</v>
      </c>
      <c r="G102" s="733">
        <v>242.1804298569011</v>
      </c>
      <c r="H102" s="733">
        <v>260.11354454132726</v>
      </c>
      <c r="I102" s="733">
        <v>278.04665922575344</v>
      </c>
      <c r="J102" s="734">
        <v>295.97977391017963</v>
      </c>
      <c r="K102" s="12"/>
      <c r="L102" s="918"/>
      <c r="M102" s="726">
        <f t="shared" si="27"/>
        <v>9.3877043004454541E-2</v>
      </c>
      <c r="N102" s="735">
        <f t="shared" si="28"/>
        <v>-3.8308108875225511E-2</v>
      </c>
      <c r="O102" s="497">
        <f t="shared" si="28"/>
        <v>3.8598635632992151E-2</v>
      </c>
      <c r="P102" s="497">
        <f t="shared" si="28"/>
        <v>0.11550538014120959</v>
      </c>
      <c r="Q102" s="497">
        <f t="shared" si="28"/>
        <v>0.19241212464942725</v>
      </c>
      <c r="R102" s="616">
        <f t="shared" si="28"/>
        <v>0.26931886915764491</v>
      </c>
      <c r="S102" s="12"/>
      <c r="T102" s="12"/>
      <c r="U102" s="12"/>
      <c r="V102" s="12"/>
      <c r="W102" s="12"/>
      <c r="X102" s="12"/>
      <c r="Y102" s="12"/>
      <c r="Z102" s="12"/>
      <c r="AA102" s="12"/>
      <c r="AB102" s="12"/>
    </row>
    <row r="103" spans="1:28" ht="14.25" customHeight="1">
      <c r="A103" s="12"/>
      <c r="B103" s="12"/>
      <c r="C103" s="12"/>
      <c r="D103" s="919"/>
      <c r="E103" s="726">
        <f t="shared" si="29"/>
        <v>9.8877043004454546E-2</v>
      </c>
      <c r="F103" s="738">
        <v>220.38566223253238</v>
      </c>
      <c r="G103" s="739">
        <v>238.01424912332109</v>
      </c>
      <c r="H103" s="739">
        <v>255.64283601410978</v>
      </c>
      <c r="I103" s="739">
        <v>273.27142290489849</v>
      </c>
      <c r="J103" s="740">
        <v>290.90000979568714</v>
      </c>
      <c r="K103" s="12"/>
      <c r="L103" s="919"/>
      <c r="M103" s="726">
        <f t="shared" si="27"/>
        <v>9.8877043004454546E-2</v>
      </c>
      <c r="N103" s="741">
        <f t="shared" si="28"/>
        <v>-5.4868932873606724E-2</v>
      </c>
      <c r="O103" s="613">
        <f t="shared" si="28"/>
        <v>2.0731834305348196E-2</v>
      </c>
      <c r="P103" s="613">
        <f t="shared" si="28"/>
        <v>9.6332601484302893E-2</v>
      </c>
      <c r="Q103" s="613">
        <f t="shared" si="28"/>
        <v>0.17193336866325781</v>
      </c>
      <c r="R103" s="742">
        <f t="shared" si="28"/>
        <v>0.24753413584221251</v>
      </c>
      <c r="S103" s="12"/>
      <c r="T103" s="12"/>
      <c r="U103" s="12"/>
      <c r="V103" s="12"/>
      <c r="W103" s="12"/>
      <c r="X103" s="12"/>
      <c r="Y103" s="12"/>
      <c r="Z103" s="12"/>
      <c r="AA103" s="12"/>
      <c r="AB103" s="12"/>
    </row>
    <row r="104" spans="1:28" ht="14.25" customHeight="1">
      <c r="A104" s="12"/>
      <c r="B104" s="12"/>
      <c r="C104" s="12"/>
      <c r="D104" s="12"/>
      <c r="E104" s="12"/>
      <c r="F104" s="12"/>
      <c r="G104" s="12"/>
      <c r="H104" s="12"/>
      <c r="I104" s="12"/>
      <c r="J104" s="12"/>
      <c r="K104" s="12"/>
      <c r="L104" s="12"/>
      <c r="M104" s="12"/>
      <c r="N104" s="69"/>
      <c r="O104" s="69"/>
      <c r="P104" s="69"/>
      <c r="Q104" s="69"/>
      <c r="R104" s="69"/>
      <c r="S104" s="12"/>
      <c r="T104" s="12"/>
      <c r="U104" s="12"/>
      <c r="V104" s="12"/>
      <c r="W104" s="12"/>
      <c r="X104" s="12"/>
      <c r="Y104" s="12"/>
      <c r="Z104" s="12"/>
      <c r="AA104" s="12"/>
      <c r="AB104" s="12"/>
    </row>
    <row r="105" spans="1:28" ht="14.25" customHeight="1">
      <c r="A105" s="12"/>
      <c r="B105" s="12"/>
      <c r="C105" s="12"/>
      <c r="D105" s="535"/>
      <c r="E105" s="537"/>
      <c r="F105" s="915" t="s">
        <v>854</v>
      </c>
      <c r="G105" s="916"/>
      <c r="H105" s="916"/>
      <c r="I105" s="916"/>
      <c r="J105" s="916"/>
      <c r="K105" s="12"/>
      <c r="L105" s="535"/>
      <c r="M105" s="537"/>
      <c r="N105" s="915" t="s">
        <v>854</v>
      </c>
      <c r="O105" s="916"/>
      <c r="P105" s="916"/>
      <c r="Q105" s="916"/>
      <c r="R105" s="916"/>
      <c r="S105" s="12"/>
      <c r="T105" s="12"/>
      <c r="U105" s="12"/>
      <c r="V105" s="12"/>
      <c r="W105" s="12"/>
      <c r="X105" s="12"/>
      <c r="Y105" s="12"/>
      <c r="Z105" s="12"/>
      <c r="AA105" s="12"/>
      <c r="AB105" s="12"/>
    </row>
    <row r="106" spans="1:28" ht="14.25" customHeight="1">
      <c r="A106" s="12"/>
      <c r="B106" s="12"/>
      <c r="C106" s="12"/>
      <c r="D106" s="12"/>
      <c r="E106" s="722" t="str">
        <f ca="1">$R$76</f>
        <v/>
      </c>
      <c r="F106" s="613">
        <f t="shared" ref="F106:G106" si="30">G106-$J$93</f>
        <v>9.9999999999999985E-3</v>
      </c>
      <c r="G106" s="613">
        <f t="shared" si="30"/>
        <v>1.4999999999999999E-2</v>
      </c>
      <c r="H106" s="743">
        <v>0.02</v>
      </c>
      <c r="I106" s="613">
        <f t="shared" ref="I106:J106" si="31">H106+$J$93</f>
        <v>2.5000000000000001E-2</v>
      </c>
      <c r="J106" s="613">
        <f t="shared" si="31"/>
        <v>3.0000000000000002E-2</v>
      </c>
      <c r="K106" s="12"/>
      <c r="L106" s="12"/>
      <c r="M106" s="725">
        <f>$O$73</f>
        <v>0</v>
      </c>
      <c r="N106" s="613">
        <f t="shared" ref="N106:R106" si="32">F106</f>
        <v>9.9999999999999985E-3</v>
      </c>
      <c r="O106" s="613">
        <f t="shared" si="32"/>
        <v>1.4999999999999999E-2</v>
      </c>
      <c r="P106" s="613">
        <f t="shared" si="32"/>
        <v>0.02</v>
      </c>
      <c r="Q106" s="613">
        <f t="shared" si="32"/>
        <v>2.5000000000000001E-2</v>
      </c>
      <c r="R106" s="613">
        <f t="shared" si="32"/>
        <v>3.0000000000000002E-2</v>
      </c>
      <c r="S106" s="12"/>
      <c r="T106" s="12"/>
      <c r="U106" s="12"/>
      <c r="V106" s="12"/>
      <c r="W106" s="12"/>
      <c r="X106" s="12"/>
      <c r="Y106" s="12"/>
      <c r="Z106" s="12"/>
      <c r="AA106" s="12"/>
      <c r="AB106" s="12"/>
    </row>
    <row r="107" spans="1:28" ht="14.25" customHeight="1">
      <c r="A107" s="12"/>
      <c r="B107" s="12"/>
      <c r="C107" s="12"/>
      <c r="D107" s="917" t="s">
        <v>47</v>
      </c>
      <c r="E107" s="726">
        <f t="shared" ref="E107:E108" si="33">E99</f>
        <v>7.8877043004454528E-2</v>
      </c>
      <c r="F107" s="727">
        <v>186.95744698844035</v>
      </c>
      <c r="G107" s="728">
        <v>198.5140915183207</v>
      </c>
      <c r="H107" s="737">
        <v>211.74860199972466</v>
      </c>
      <c r="I107" s="728">
        <v>227.05498523210753</v>
      </c>
      <c r="J107" s="729">
        <v>244.96108856782928</v>
      </c>
      <c r="K107" s="12"/>
      <c r="L107" s="917" t="s">
        <v>47</v>
      </c>
      <c r="M107" s="726">
        <f t="shared" ref="M107:M111" si="34">E107</f>
        <v>7.8877043004454528E-2</v>
      </c>
      <c r="N107" s="730">
        <f t="shared" ref="N107:R111" si="35">F107/Share_Price-1</f>
        <v>-0.19822691916785162</v>
      </c>
      <c r="O107" s="605">
        <f t="shared" si="35"/>
        <v>-0.14866587392434727</v>
      </c>
      <c r="P107" s="605">
        <f t="shared" si="35"/>
        <v>-9.1909246077173656E-2</v>
      </c>
      <c r="Q107" s="605">
        <f t="shared" si="35"/>
        <v>-2.6267324675754655E-2</v>
      </c>
      <c r="R107" s="731">
        <f t="shared" si="35"/>
        <v>5.052358078664243E-2</v>
      </c>
      <c r="S107" s="12"/>
      <c r="T107" s="12"/>
      <c r="U107" s="12"/>
      <c r="V107" s="12"/>
      <c r="W107" s="12"/>
      <c r="X107" s="12"/>
      <c r="Y107" s="12"/>
      <c r="Z107" s="12"/>
      <c r="AA107" s="12"/>
      <c r="AB107" s="12"/>
    </row>
    <row r="108" spans="1:28" ht="14.25" customHeight="1">
      <c r="A108" s="12"/>
      <c r="B108" s="12"/>
      <c r="C108" s="12"/>
      <c r="D108" s="918"/>
      <c r="E108" s="726">
        <f t="shared" si="33"/>
        <v>8.3877043004454532E-2</v>
      </c>
      <c r="F108" s="732">
        <v>183.69184937199219</v>
      </c>
      <c r="G108" s="733">
        <v>195.04954830416227</v>
      </c>
      <c r="H108" s="733">
        <v>208.05622902137139</v>
      </c>
      <c r="I108" s="733">
        <v>223.09911556550063</v>
      </c>
      <c r="J108" s="734">
        <v>240.69696848981826</v>
      </c>
      <c r="K108" s="12"/>
      <c r="L108" s="918"/>
      <c r="M108" s="726">
        <f t="shared" si="34"/>
        <v>8.3877043004454532E-2</v>
      </c>
      <c r="N108" s="735">
        <f t="shared" si="35"/>
        <v>-0.2122315405609736</v>
      </c>
      <c r="O108" s="497">
        <f t="shared" si="35"/>
        <v>-0.16352367997185746</v>
      </c>
      <c r="P108" s="497">
        <f t="shared" si="35"/>
        <v>-0.10774410746474228</v>
      </c>
      <c r="Q108" s="497">
        <f t="shared" si="35"/>
        <v>-4.3232200165105872E-2</v>
      </c>
      <c r="R108" s="616">
        <f t="shared" si="35"/>
        <v>3.2236763400884438E-2</v>
      </c>
      <c r="S108" s="12"/>
      <c r="T108" s="12"/>
      <c r="U108" s="12"/>
      <c r="V108" s="12"/>
      <c r="W108" s="12"/>
      <c r="X108" s="12"/>
      <c r="Y108" s="12"/>
      <c r="Z108" s="12"/>
      <c r="AA108" s="12"/>
      <c r="AB108" s="12"/>
    </row>
    <row r="109" spans="1:28" ht="14.25" customHeight="1">
      <c r="A109" s="12"/>
      <c r="B109" s="12"/>
      <c r="C109" s="12"/>
      <c r="D109" s="918"/>
      <c r="E109" s="744">
        <v>8.8877043004454537E-2</v>
      </c>
      <c r="F109" s="732">
        <v>180.49468608725613</v>
      </c>
      <c r="G109" s="733">
        <v>191.65775635882392</v>
      </c>
      <c r="H109" s="733">
        <v>204.44155100888241</v>
      </c>
      <c r="I109" s="733">
        <v>219.22665850136025</v>
      </c>
      <c r="J109" s="734">
        <v>236.52294976564528</v>
      </c>
      <c r="K109" s="12"/>
      <c r="L109" s="918"/>
      <c r="M109" s="726">
        <f t="shared" si="34"/>
        <v>8.8877043004454537E-2</v>
      </c>
      <c r="N109" s="735">
        <f t="shared" si="35"/>
        <v>-0.22594267910088295</v>
      </c>
      <c r="O109" s="497">
        <f t="shared" si="35"/>
        <v>-0.17806948984122173</v>
      </c>
      <c r="P109" s="497">
        <f t="shared" si="35"/>
        <v>-0.12324577146889781</v>
      </c>
      <c r="Q109" s="497">
        <f t="shared" si="35"/>
        <v>-5.9839358000856713E-2</v>
      </c>
      <c r="R109" s="616">
        <f t="shared" si="35"/>
        <v>1.4336348596128534E-2</v>
      </c>
      <c r="S109" s="12"/>
      <c r="T109" s="12"/>
      <c r="U109" s="12"/>
      <c r="V109" s="12"/>
      <c r="W109" s="12"/>
      <c r="X109" s="12"/>
      <c r="Y109" s="12"/>
      <c r="Z109" s="12"/>
      <c r="AA109" s="12"/>
      <c r="AB109" s="12"/>
    </row>
    <row r="110" spans="1:28" ht="14.25" customHeight="1">
      <c r="A110" s="12"/>
      <c r="B110" s="12"/>
      <c r="C110" s="12"/>
      <c r="D110" s="918"/>
      <c r="E110" s="726">
        <f t="shared" ref="E110:E111" si="36">E102</f>
        <v>9.3877043004454541E-2</v>
      </c>
      <c r="F110" s="732">
        <v>177.36419890109127</v>
      </c>
      <c r="G110" s="733">
        <v>188.33684459335734</v>
      </c>
      <c r="H110" s="733">
        <v>200.90256763238992</v>
      </c>
      <c r="I110" s="733">
        <v>215.43546423613432</v>
      </c>
      <c r="J110" s="734">
        <v>232.43670773064315</v>
      </c>
      <c r="K110" s="12"/>
      <c r="L110" s="918"/>
      <c r="M110" s="726">
        <f t="shared" si="34"/>
        <v>9.3877043004454541E-2</v>
      </c>
      <c r="N110" s="735">
        <f t="shared" si="35"/>
        <v>-0.23936787502748402</v>
      </c>
      <c r="O110" s="497">
        <f t="shared" si="35"/>
        <v>-0.1923113277581382</v>
      </c>
      <c r="P110" s="497">
        <f t="shared" si="35"/>
        <v>-0.13842281656921729</v>
      </c>
      <c r="Q110" s="497">
        <f t="shared" si="35"/>
        <v>-7.6098017685331865E-2</v>
      </c>
      <c r="R110" s="616">
        <f t="shared" si="35"/>
        <v>-3.1876330275188991E-3</v>
      </c>
      <c r="S110" s="12"/>
      <c r="T110" s="12"/>
      <c r="U110" s="12"/>
      <c r="V110" s="12"/>
      <c r="W110" s="12"/>
      <c r="X110" s="12"/>
      <c r="Y110" s="12"/>
      <c r="Z110" s="12"/>
      <c r="AA110" s="12"/>
      <c r="AB110" s="12"/>
    </row>
    <row r="111" spans="1:28" ht="14.25" customHeight="1">
      <c r="A111" s="12"/>
      <c r="B111" s="12"/>
      <c r="C111" s="12"/>
      <c r="D111" s="919"/>
      <c r="E111" s="726">
        <f t="shared" si="36"/>
        <v>9.8877043004454546E-2</v>
      </c>
      <c r="F111" s="738">
        <v>174.2986827286993</v>
      </c>
      <c r="G111" s="739">
        <v>185.08499851443031</v>
      </c>
      <c r="H111" s="739">
        <v>197.43733910541226</v>
      </c>
      <c r="I111" s="739">
        <v>211.7234480754534</v>
      </c>
      <c r="J111" s="740">
        <v>228.43598817060391</v>
      </c>
      <c r="K111" s="12"/>
      <c r="L111" s="919"/>
      <c r="M111" s="726">
        <f t="shared" si="34"/>
        <v>9.8877043004454546E-2</v>
      </c>
      <c r="N111" s="741">
        <f t="shared" si="35"/>
        <v>-0.25251444065228879</v>
      </c>
      <c r="O111" s="613">
        <f t="shared" si="35"/>
        <v>-0.20625697523616815</v>
      </c>
      <c r="P111" s="613">
        <f t="shared" si="35"/>
        <v>-0.15328356160300083</v>
      </c>
      <c r="Q111" s="613">
        <f t="shared" si="35"/>
        <v>-9.2017119498012723E-2</v>
      </c>
      <c r="R111" s="742">
        <f t="shared" si="35"/>
        <v>-2.0344848740870169E-2</v>
      </c>
      <c r="S111" s="12"/>
      <c r="T111" s="12"/>
      <c r="U111" s="12"/>
      <c r="V111" s="12"/>
      <c r="W111" s="12"/>
      <c r="X111" s="12"/>
      <c r="Y111" s="12"/>
      <c r="Z111" s="12"/>
      <c r="AA111" s="12"/>
      <c r="AB111" s="12"/>
    </row>
    <row r="112" spans="1:28" ht="4.5" customHeight="1">
      <c r="A112" s="12"/>
      <c r="B112" s="12"/>
      <c r="C112" s="12"/>
      <c r="D112" s="12"/>
      <c r="E112" s="12"/>
      <c r="F112" s="12"/>
      <c r="G112" s="12"/>
      <c r="H112" s="12"/>
      <c r="I112" s="12"/>
      <c r="J112" s="12"/>
      <c r="K112" s="12"/>
      <c r="L112" s="12"/>
      <c r="M112" s="12"/>
      <c r="N112" s="69"/>
      <c r="O112" s="69"/>
      <c r="P112" s="69"/>
      <c r="Q112" s="69"/>
      <c r="R112" s="69"/>
      <c r="S112" s="12"/>
      <c r="T112" s="12"/>
      <c r="U112" s="12"/>
      <c r="V112" s="12"/>
      <c r="W112" s="12"/>
      <c r="X112" s="12"/>
      <c r="Y112" s="12"/>
      <c r="Z112" s="12"/>
      <c r="AA112" s="12"/>
      <c r="AB112" s="12"/>
    </row>
    <row r="113" spans="1:28" ht="13.5" customHeight="1">
      <c r="A113" s="12"/>
      <c r="B113" s="12"/>
      <c r="C113" s="12"/>
      <c r="D113" s="12"/>
      <c r="E113" s="12"/>
      <c r="F113" s="12"/>
      <c r="G113" s="12"/>
      <c r="H113" s="12"/>
      <c r="I113" s="12"/>
      <c r="J113" s="12"/>
      <c r="K113" s="12"/>
      <c r="L113" s="12"/>
      <c r="M113" s="12"/>
      <c r="N113" s="69"/>
      <c r="O113" s="69"/>
      <c r="P113" s="69"/>
      <c r="Q113" s="69"/>
      <c r="R113" s="69"/>
      <c r="S113" s="12"/>
      <c r="T113" s="12"/>
      <c r="U113" s="12"/>
      <c r="V113" s="12"/>
      <c r="W113" s="12"/>
      <c r="X113" s="12"/>
      <c r="Y113" s="12"/>
      <c r="Z113" s="12"/>
      <c r="AA113" s="12"/>
      <c r="AB113" s="12"/>
    </row>
    <row r="114" spans="1:28" ht="13.5" customHeight="1">
      <c r="A114" s="211" t="s">
        <v>1</v>
      </c>
      <c r="B114" s="12"/>
      <c r="C114" s="882" t="s">
        <v>855</v>
      </c>
      <c r="D114" s="883"/>
      <c r="E114" s="883"/>
      <c r="F114" s="883"/>
      <c r="G114" s="883"/>
      <c r="H114" s="883"/>
      <c r="I114" s="883"/>
      <c r="J114" s="883"/>
      <c r="K114" s="883"/>
      <c r="L114" s="883"/>
      <c r="M114" s="883"/>
      <c r="N114" s="883"/>
      <c r="O114" s="883"/>
      <c r="P114" s="883"/>
      <c r="Q114" s="883"/>
      <c r="R114" s="883"/>
      <c r="S114" s="211" t="s">
        <v>1</v>
      </c>
      <c r="T114" s="12"/>
      <c r="U114" s="12"/>
      <c r="V114" s="12"/>
      <c r="W114" s="12"/>
      <c r="X114" s="12"/>
      <c r="Y114" s="12"/>
      <c r="Z114" s="12"/>
      <c r="AA114" s="12"/>
      <c r="AB114" s="12"/>
    </row>
    <row r="115" spans="1:28" ht="4.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3.5" customHeight="1">
      <c r="A116" s="12"/>
      <c r="B116" s="12"/>
      <c r="C116" s="12"/>
      <c r="D116" s="874" t="s">
        <v>856</v>
      </c>
      <c r="E116" s="858"/>
      <c r="F116" s="854"/>
      <c r="G116" s="12"/>
      <c r="H116" s="874" t="s">
        <v>857</v>
      </c>
      <c r="I116" s="858"/>
      <c r="J116" s="854"/>
      <c r="K116" s="12"/>
      <c r="L116" s="874" t="s">
        <v>140</v>
      </c>
      <c r="M116" s="858"/>
      <c r="N116" s="854"/>
      <c r="O116" s="142"/>
      <c r="P116" s="874" t="s">
        <v>858</v>
      </c>
      <c r="Q116" s="858"/>
      <c r="R116" s="854"/>
      <c r="S116" s="12"/>
      <c r="T116" s="12"/>
      <c r="U116" s="12"/>
      <c r="V116" s="12"/>
      <c r="W116" s="12"/>
      <c r="X116" s="12"/>
      <c r="Y116" s="12"/>
      <c r="Z116" s="12"/>
      <c r="AA116" s="12"/>
      <c r="AB116" s="12"/>
    </row>
    <row r="117" spans="1:28" ht="4.5" customHeight="1">
      <c r="A117" s="12"/>
      <c r="B117" s="12"/>
      <c r="C117" s="12"/>
      <c r="D117" s="143"/>
      <c r="E117" s="101"/>
      <c r="F117" s="229"/>
      <c r="G117" s="12"/>
      <c r="H117" s="143"/>
      <c r="I117" s="101"/>
      <c r="J117" s="229"/>
      <c r="K117" s="12"/>
      <c r="L117" s="143"/>
      <c r="M117" s="101"/>
      <c r="N117" s="229"/>
      <c r="O117" s="142"/>
      <c r="P117" s="143"/>
      <c r="Q117" s="101"/>
      <c r="R117" s="229"/>
      <c r="S117" s="12"/>
      <c r="T117" s="12"/>
      <c r="U117" s="12"/>
      <c r="V117" s="12"/>
      <c r="W117" s="12"/>
      <c r="X117" s="12"/>
      <c r="Y117" s="12"/>
      <c r="Z117" s="12"/>
      <c r="AA117" s="12"/>
      <c r="AB117" s="12"/>
    </row>
    <row r="118" spans="1:28" ht="13.5" customHeight="1">
      <c r="A118" s="12"/>
      <c r="B118" s="12"/>
      <c r="C118" s="12"/>
      <c r="D118" s="141" t="s">
        <v>859</v>
      </c>
      <c r="E118" s="12"/>
      <c r="F118" s="745">
        <f>$D$11</f>
        <v>18.639800000000001</v>
      </c>
      <c r="G118" s="12"/>
      <c r="H118" s="141" t="s">
        <v>860</v>
      </c>
      <c r="I118" s="12"/>
      <c r="J118" s="745">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2"/>
      <c r="L118" s="141" t="s">
        <v>859</v>
      </c>
      <c r="M118" s="12"/>
      <c r="N118" s="745">
        <f>$D$12</f>
        <v>12.4849</v>
      </c>
      <c r="O118" s="142"/>
      <c r="P118" s="141" t="s">
        <v>860</v>
      </c>
      <c r="Q118" s="12"/>
      <c r="R118" s="745">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2"/>
      <c r="T118" s="12"/>
      <c r="U118" s="12"/>
      <c r="V118" s="12"/>
      <c r="W118" s="12"/>
      <c r="X118" s="12"/>
      <c r="Y118" s="12"/>
      <c r="Z118" s="12"/>
      <c r="AA118" s="12"/>
      <c r="AB118" s="12"/>
    </row>
    <row r="119" spans="1:28" ht="13.5" customHeight="1">
      <c r="A119" s="12"/>
      <c r="B119" s="12"/>
      <c r="C119" s="12"/>
      <c r="D119" s="141" t="s">
        <v>861</v>
      </c>
      <c r="E119" s="12"/>
      <c r="F119" s="745">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2"/>
      <c r="H119" s="141" t="s">
        <v>862</v>
      </c>
      <c r="I119" s="12"/>
      <c r="J119" s="745">
        <f>IF(G143="1 Year",J144,IF(G143="2 Year",J145,IF(G143="3 Year",J146,IF(G143="5 Year",J147,"N/A"))))</f>
        <v>21.627641428571419</v>
      </c>
      <c r="K119" s="12"/>
      <c r="L119" s="141" t="s">
        <v>861</v>
      </c>
      <c r="M119" s="12"/>
      <c r="N119" s="745">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42"/>
      <c r="P119" s="141" t="s">
        <v>862</v>
      </c>
      <c r="Q119" s="12"/>
      <c r="R119" s="745">
        <f>IF(G143="1 Year",K144,IF(G143="2 Year",K145,IF(G143="3 Year",K146,IF(G143="5 Year",K147,"N/A"))))</f>
        <v>14.83389857142857</v>
      </c>
      <c r="S119" s="12"/>
      <c r="T119" s="12"/>
      <c r="U119" s="12"/>
      <c r="V119" s="12"/>
      <c r="W119" s="12"/>
      <c r="X119" s="12"/>
      <c r="Y119" s="12"/>
      <c r="Z119" s="12"/>
      <c r="AA119" s="12"/>
      <c r="AB119" s="12"/>
    </row>
    <row r="120" spans="1:28" ht="13.5" customHeight="1">
      <c r="A120" s="12"/>
      <c r="B120" s="12"/>
      <c r="C120" s="12"/>
      <c r="D120" s="253" t="s">
        <v>863</v>
      </c>
      <c r="E120" s="249"/>
      <c r="F120" s="746">
        <f>F118/F119-1</f>
        <v>-6.3380139569576555E-3</v>
      </c>
      <c r="G120" s="12"/>
      <c r="H120" s="253" t="s">
        <v>864</v>
      </c>
      <c r="I120" s="249"/>
      <c r="J120" s="747">
        <f>J118/J119-1</f>
        <v>-0.13265193899684824</v>
      </c>
      <c r="K120" s="12"/>
      <c r="L120" s="253" t="s">
        <v>863</v>
      </c>
      <c r="M120" s="249"/>
      <c r="N120" s="746">
        <f>N118/N119-1</f>
        <v>3.6214263033720329E-3</v>
      </c>
      <c r="O120" s="142"/>
      <c r="P120" s="141" t="s">
        <v>864</v>
      </c>
      <c r="Q120" s="12"/>
      <c r="R120" s="747">
        <f>R118/R119-1</f>
        <v>-0.1613903829732074</v>
      </c>
      <c r="S120" s="12"/>
      <c r="T120" s="12"/>
      <c r="U120" s="12"/>
      <c r="V120" s="12"/>
      <c r="W120" s="12"/>
      <c r="X120" s="12"/>
      <c r="Y120" s="12"/>
      <c r="Z120" s="12"/>
      <c r="AA120" s="12"/>
      <c r="AB120" s="12"/>
    </row>
    <row r="121" spans="1:28" ht="13.5" customHeight="1">
      <c r="A121" s="12"/>
      <c r="B121" s="12"/>
      <c r="C121" s="12"/>
      <c r="D121" s="253" t="s">
        <v>865</v>
      </c>
      <c r="E121" s="249"/>
      <c r="F121" s="748">
        <v>0</v>
      </c>
      <c r="G121" s="12"/>
      <c r="H121" s="141" t="s">
        <v>866</v>
      </c>
      <c r="I121" s="12"/>
      <c r="J121" s="745">
        <f>IF($G$145=$K$220,$E$11,IF($G$145=$M$220,$E$16,IF($G$145=$O$220,$E$21,"N/A")))</f>
        <v>22.233219999999996</v>
      </c>
      <c r="K121" s="12"/>
      <c r="L121" s="253" t="s">
        <v>865</v>
      </c>
      <c r="M121" s="249"/>
      <c r="N121" s="748">
        <v>0</v>
      </c>
      <c r="O121" s="142"/>
      <c r="P121" s="141" t="s">
        <v>866</v>
      </c>
      <c r="Q121" s="12"/>
      <c r="R121" s="745">
        <f>IF($G$145=$K$220,$E$12,IF($G$145=$M$220,$E$17,IF($G$145=$O$220,$E$22,"N/A")))</f>
        <v>15.517159999999999</v>
      </c>
      <c r="S121" s="12"/>
      <c r="T121" s="12"/>
      <c r="U121" s="12"/>
      <c r="V121" s="12"/>
      <c r="W121" s="12"/>
      <c r="X121" s="12"/>
      <c r="Y121" s="12"/>
      <c r="Z121" s="12"/>
      <c r="AA121" s="12"/>
      <c r="AB121" s="12"/>
    </row>
    <row r="122" spans="1:28" ht="13.5" customHeight="1">
      <c r="A122" s="12"/>
      <c r="B122" s="12"/>
      <c r="C122" s="12"/>
      <c r="D122" s="141"/>
      <c r="E122" s="12"/>
      <c r="F122" s="142"/>
      <c r="G122" s="12"/>
      <c r="H122" s="141"/>
      <c r="I122" s="12"/>
      <c r="J122" s="142"/>
      <c r="K122" s="12"/>
      <c r="L122" s="141"/>
      <c r="M122" s="12"/>
      <c r="N122" s="142"/>
      <c r="O122" s="142"/>
      <c r="P122" s="141"/>
      <c r="Q122" s="12"/>
      <c r="R122" s="142"/>
      <c r="S122" s="12"/>
      <c r="T122" s="12"/>
      <c r="U122" s="12"/>
      <c r="V122" s="12"/>
      <c r="W122" s="12"/>
      <c r="X122" s="12"/>
      <c r="Y122" s="12"/>
      <c r="Z122" s="12"/>
      <c r="AA122" s="12"/>
      <c r="AB122" s="12"/>
    </row>
    <row r="123" spans="1:28" ht="13.5" customHeight="1">
      <c r="A123" s="12"/>
      <c r="B123" s="12"/>
      <c r="C123" s="12"/>
      <c r="D123" s="141" t="s">
        <v>867</v>
      </c>
      <c r="E123" s="12"/>
      <c r="F123" s="745">
        <f>F119*(1+F121)</f>
        <v>18.758692857142854</v>
      </c>
      <c r="G123" s="12"/>
      <c r="H123" s="141" t="s">
        <v>867</v>
      </c>
      <c r="I123" s="12"/>
      <c r="J123" s="745">
        <f>J121*(1+J120)</f>
        <v>19.283940256856489</v>
      </c>
      <c r="K123" s="12"/>
      <c r="L123" s="141" t="s">
        <v>867</v>
      </c>
      <c r="M123" s="12"/>
      <c r="N123" s="745">
        <f>N119*(1+N121)</f>
        <v>12.439849999999998</v>
      </c>
      <c r="O123" s="142"/>
      <c r="P123" s="141" t="s">
        <v>867</v>
      </c>
      <c r="Q123" s="12"/>
      <c r="R123" s="745">
        <f>R121*(1+R120)</f>
        <v>13.012839604943464</v>
      </c>
      <c r="S123" s="12"/>
      <c r="T123" s="12"/>
      <c r="U123" s="12"/>
      <c r="V123" s="12"/>
      <c r="W123" s="12"/>
      <c r="X123" s="12"/>
      <c r="Y123" s="12"/>
      <c r="Z123" s="12"/>
      <c r="AA123" s="12"/>
      <c r="AB123" s="12"/>
    </row>
    <row r="124" spans="1:28" ht="13.5" customHeight="1">
      <c r="A124" s="12"/>
      <c r="B124" s="12"/>
      <c r="C124" s="12"/>
      <c r="D124" s="141" t="s">
        <v>868</v>
      </c>
      <c r="E124" s="12"/>
      <c r="F124" s="749" t="str">
        <f ca="1">NTM_EPS</f>
        <v/>
      </c>
      <c r="G124" s="12"/>
      <c r="H124" s="141" t="s">
        <v>868</v>
      </c>
      <c r="I124" s="12"/>
      <c r="J124" s="749" t="str">
        <f ca="1">F124</f>
        <v/>
      </c>
      <c r="K124" s="12"/>
      <c r="L124" s="750" t="s">
        <v>869</v>
      </c>
      <c r="M124" s="12"/>
      <c r="N124" s="751" t="str">
        <f ca="1">NTM_EBITDA</f>
        <v/>
      </c>
      <c r="O124" s="142"/>
      <c r="P124" s="141" t="s">
        <v>869</v>
      </c>
      <c r="Q124" s="12"/>
      <c r="R124" s="751" t="str">
        <f ca="1">NTM_EBITDA</f>
        <v/>
      </c>
      <c r="S124" s="12"/>
      <c r="T124" s="12"/>
      <c r="U124" s="12"/>
      <c r="V124" s="12"/>
      <c r="W124" s="12"/>
      <c r="X124" s="12"/>
      <c r="Y124" s="12"/>
      <c r="Z124" s="12"/>
      <c r="AA124" s="12"/>
      <c r="AB124" s="12"/>
    </row>
    <row r="125" spans="1:28" ht="13.5" customHeight="1">
      <c r="A125" s="12"/>
      <c r="B125" s="12"/>
      <c r="C125" s="12"/>
      <c r="D125" s="141"/>
      <c r="E125" s="12"/>
      <c r="F125" s="752"/>
      <c r="G125" s="12"/>
      <c r="H125" s="141"/>
      <c r="I125" s="12"/>
      <c r="J125" s="752"/>
      <c r="K125" s="12"/>
      <c r="L125" s="141" t="s">
        <v>870</v>
      </c>
      <c r="M125" s="12"/>
      <c r="N125" s="751" t="str">
        <f ca="1">N123*N124</f>
        <v/>
      </c>
      <c r="O125" s="142"/>
      <c r="P125" s="141" t="s">
        <v>870</v>
      </c>
      <c r="Q125" s="12"/>
      <c r="R125" s="751" t="str">
        <f ca="1">R123*R124</f>
        <v/>
      </c>
      <c r="S125" s="12"/>
      <c r="T125" s="12"/>
      <c r="U125" s="12"/>
      <c r="V125" s="12"/>
      <c r="W125" s="12"/>
      <c r="X125" s="12"/>
      <c r="Y125" s="12"/>
      <c r="Z125" s="12"/>
      <c r="AA125" s="12"/>
      <c r="AB125" s="12"/>
    </row>
    <row r="126" spans="1:28" ht="13.5" customHeight="1">
      <c r="A126" s="12"/>
      <c r="B126" s="12"/>
      <c r="C126" s="12"/>
      <c r="D126" s="141" t="s">
        <v>871</v>
      </c>
      <c r="E126" s="12"/>
      <c r="F126" s="751" t="str">
        <f ca="1">F123*F124</f>
        <v/>
      </c>
      <c r="G126" s="12"/>
      <c r="H126" s="141" t="s">
        <v>871</v>
      </c>
      <c r="I126" s="12"/>
      <c r="J126" s="751" t="str">
        <f ca="1">J123*J124</f>
        <v/>
      </c>
      <c r="K126" s="12"/>
      <c r="L126" s="141"/>
      <c r="M126" s="12"/>
      <c r="N126" s="142"/>
      <c r="O126" s="142"/>
      <c r="P126" s="141"/>
      <c r="Q126" s="12"/>
      <c r="R126" s="142"/>
      <c r="S126" s="12"/>
      <c r="T126" s="12"/>
      <c r="U126" s="12"/>
      <c r="V126" s="12"/>
      <c r="W126" s="12"/>
      <c r="X126" s="12"/>
      <c r="Y126" s="12"/>
      <c r="Z126" s="12"/>
      <c r="AA126" s="12"/>
      <c r="AB126" s="12"/>
    </row>
    <row r="127" spans="1:28" ht="13.5" customHeight="1">
      <c r="A127" s="12"/>
      <c r="B127" s="12"/>
      <c r="C127" s="12"/>
      <c r="D127" s="257" t="s">
        <v>872</v>
      </c>
      <c r="E127" s="100"/>
      <c r="F127" s="711" t="str">
        <f ca="1">F126/Share_Price-1</f>
        <v/>
      </c>
      <c r="G127" s="12"/>
      <c r="H127" s="257" t="s">
        <v>872</v>
      </c>
      <c r="I127" s="100"/>
      <c r="J127" s="711" t="str">
        <f ca="1">J126/Share_Price-1</f>
        <v/>
      </c>
      <c r="K127" s="12"/>
      <c r="L127" s="141" t="s">
        <v>873</v>
      </c>
      <c r="M127" s="12"/>
      <c r="N127" s="753">
        <f t="shared" ref="N127:N132" si="37">K66</f>
        <v>6255</v>
      </c>
      <c r="O127" s="142"/>
      <c r="P127" s="141" t="s">
        <v>873</v>
      </c>
      <c r="Q127" s="12"/>
      <c r="R127" s="703">
        <f t="shared" ref="R127:R132" si="38">N127</f>
        <v>6255</v>
      </c>
      <c r="S127" s="12"/>
      <c r="T127" s="12"/>
      <c r="U127" s="12"/>
      <c r="V127" s="12"/>
      <c r="W127" s="12"/>
      <c r="X127" s="12"/>
      <c r="Y127" s="12"/>
      <c r="Z127" s="12"/>
      <c r="AA127" s="12"/>
      <c r="AB127" s="12"/>
    </row>
    <row r="128" spans="1:28" ht="13.5" customHeight="1">
      <c r="A128" s="12"/>
      <c r="B128" s="12"/>
      <c r="C128" s="12"/>
      <c r="D128" s="12"/>
      <c r="E128" s="12"/>
      <c r="F128" s="12"/>
      <c r="G128" s="12"/>
      <c r="H128" s="12"/>
      <c r="I128" s="12"/>
      <c r="J128" s="12"/>
      <c r="K128" s="12"/>
      <c r="L128" s="141" t="s">
        <v>874</v>
      </c>
      <c r="M128" s="12"/>
      <c r="N128" s="753">
        <f t="shared" si="37"/>
        <v>0</v>
      </c>
      <c r="O128" s="142"/>
      <c r="P128" s="141" t="s">
        <v>874</v>
      </c>
      <c r="Q128" s="12"/>
      <c r="R128" s="703">
        <f t="shared" si="38"/>
        <v>0</v>
      </c>
      <c r="S128" s="12"/>
      <c r="T128" s="12"/>
      <c r="U128" s="12"/>
      <c r="V128" s="12"/>
      <c r="W128" s="12"/>
      <c r="X128" s="12"/>
      <c r="Y128" s="12"/>
      <c r="Z128" s="12"/>
      <c r="AA128" s="12"/>
      <c r="AB128" s="12"/>
    </row>
    <row r="129" spans="1:28" ht="13.5" customHeight="1">
      <c r="A129" s="12"/>
      <c r="B129" s="12"/>
      <c r="C129" s="12"/>
      <c r="D129" s="12"/>
      <c r="E129" s="12"/>
      <c r="F129" s="12"/>
      <c r="G129" s="12"/>
      <c r="H129" s="12"/>
      <c r="I129" s="12"/>
      <c r="J129" s="12"/>
      <c r="K129" s="12"/>
      <c r="L129" s="141" t="s">
        <v>875</v>
      </c>
      <c r="M129" s="12"/>
      <c r="N129" s="753">
        <f t="shared" si="37"/>
        <v>-23311</v>
      </c>
      <c r="O129" s="142"/>
      <c r="P129" s="141" t="s">
        <v>875</v>
      </c>
      <c r="Q129" s="12"/>
      <c r="R129" s="703">
        <f t="shared" si="38"/>
        <v>-23311</v>
      </c>
      <c r="S129" s="12"/>
      <c r="T129" s="12"/>
      <c r="U129" s="12"/>
      <c r="V129" s="12"/>
      <c r="W129" s="12"/>
      <c r="X129" s="12"/>
      <c r="Y129" s="12"/>
      <c r="Z129" s="12"/>
      <c r="AA129" s="12"/>
      <c r="AB129" s="12"/>
    </row>
    <row r="130" spans="1:28" ht="13.5" customHeight="1">
      <c r="A130" s="12"/>
      <c r="B130" s="12"/>
      <c r="C130" s="12"/>
      <c r="D130" s="12"/>
      <c r="E130" s="12"/>
      <c r="F130" s="12"/>
      <c r="G130" s="12"/>
      <c r="H130" s="12"/>
      <c r="I130" s="12"/>
      <c r="J130" s="12"/>
      <c r="K130" s="12"/>
      <c r="L130" s="141" t="s">
        <v>876</v>
      </c>
      <c r="M130" s="12"/>
      <c r="N130" s="753">
        <f t="shared" si="37"/>
        <v>0</v>
      </c>
      <c r="O130" s="142"/>
      <c r="P130" s="141" t="s">
        <v>876</v>
      </c>
      <c r="Q130" s="12"/>
      <c r="R130" s="703">
        <f t="shared" si="38"/>
        <v>0</v>
      </c>
      <c r="S130" s="12"/>
      <c r="T130" s="12"/>
      <c r="U130" s="12"/>
      <c r="V130" s="12"/>
      <c r="W130" s="12"/>
      <c r="X130" s="12"/>
      <c r="Y130" s="12"/>
      <c r="Z130" s="12"/>
      <c r="AA130" s="12"/>
      <c r="AB130" s="12"/>
    </row>
    <row r="131" spans="1:28" ht="13.5" customHeight="1">
      <c r="A131" s="12"/>
      <c r="B131" s="12"/>
      <c r="C131" s="12"/>
      <c r="D131" s="143" t="s">
        <v>868</v>
      </c>
      <c r="E131" s="101"/>
      <c r="F131" s="754" t="str">
        <f ca="1">IF(Last_FQR="3Q",SUM(Model!X56,Model!Z56:AB56),IF(Last_FQR="2Q",SUM(Model!W56:X56,Model!Z56:AA56),IF(Last_FQR="1Q",SUM(Model!V56:X56,Model!Z56),IF(Last_FQR="4Q",SUM(Model!U56:X56),"Error"))))</f>
        <v/>
      </c>
      <c r="G131" s="12"/>
      <c r="H131" s="12"/>
      <c r="I131" s="12"/>
      <c r="J131" s="12"/>
      <c r="K131" s="12"/>
      <c r="L131" s="141" t="s">
        <v>877</v>
      </c>
      <c r="M131" s="12"/>
      <c r="N131" s="753">
        <f t="shared" si="37"/>
        <v>0</v>
      </c>
      <c r="O131" s="142"/>
      <c r="P131" s="141" t="s">
        <v>877</v>
      </c>
      <c r="Q131" s="12"/>
      <c r="R131" s="703">
        <f t="shared" si="38"/>
        <v>0</v>
      </c>
      <c r="S131" s="12"/>
      <c r="T131" s="12"/>
      <c r="U131" s="12"/>
      <c r="V131" s="12"/>
      <c r="W131" s="12"/>
      <c r="X131" s="12"/>
      <c r="Y131" s="12"/>
      <c r="Z131" s="12"/>
      <c r="AA131" s="12"/>
      <c r="AB131" s="12"/>
    </row>
    <row r="132" spans="1:28" ht="13.5" customHeight="1">
      <c r="A132" s="12"/>
      <c r="B132" s="12"/>
      <c r="C132" s="12"/>
      <c r="D132" s="145" t="s">
        <v>869</v>
      </c>
      <c r="E132" s="100"/>
      <c r="F132" s="755" t="str">
        <f ca="1">IF(Last_FQR="3Q",SUM(Model!X61,Model!Z61:AB61),IF(Last_FQR="2Q",SUM(Model!W61:X61,Model!Z61:AA61),IF(Last_FQR="1Q",SUM(Model!V61:X61,Model!Z61),IF(Last_FQR="4Q",SUM(Model!U61:X61),"Error"))))</f>
        <v/>
      </c>
      <c r="G132" s="12"/>
      <c r="H132" s="12"/>
      <c r="I132" s="12"/>
      <c r="J132" s="12"/>
      <c r="K132" s="12"/>
      <c r="L132" s="141" t="s">
        <v>878</v>
      </c>
      <c r="M132" s="100"/>
      <c r="N132" s="756">
        <f t="shared" si="37"/>
        <v>0</v>
      </c>
      <c r="O132" s="142"/>
      <c r="P132" s="145" t="s">
        <v>878</v>
      </c>
      <c r="Q132" s="100"/>
      <c r="R132" s="756">
        <f t="shared" si="38"/>
        <v>0</v>
      </c>
      <c r="S132" s="12"/>
      <c r="T132" s="12"/>
      <c r="U132" s="12"/>
      <c r="V132" s="12"/>
      <c r="W132" s="12"/>
      <c r="X132" s="12"/>
      <c r="Y132" s="12"/>
      <c r="Z132" s="12"/>
      <c r="AA132" s="12"/>
      <c r="AB132" s="12"/>
    </row>
    <row r="133" spans="1:28" ht="13.5" customHeight="1">
      <c r="A133" s="12"/>
      <c r="B133" s="12"/>
      <c r="C133" s="12"/>
      <c r="D133" s="12"/>
      <c r="E133" s="12"/>
      <c r="F133" s="12"/>
      <c r="G133" s="12"/>
      <c r="H133" s="12"/>
      <c r="I133" s="12"/>
      <c r="J133" s="12"/>
      <c r="K133" s="12"/>
      <c r="L133" s="143"/>
      <c r="M133" s="12"/>
      <c r="N133" s="142"/>
      <c r="O133" s="142"/>
      <c r="P133" s="141"/>
      <c r="Q133" s="12"/>
      <c r="R133" s="142"/>
      <c r="S133" s="12"/>
      <c r="T133" s="12"/>
      <c r="U133" s="12"/>
      <c r="V133" s="12"/>
      <c r="W133" s="12"/>
      <c r="X133" s="12"/>
      <c r="Y133" s="12"/>
      <c r="Z133" s="12"/>
      <c r="AA133" s="12"/>
      <c r="AB133" s="12"/>
    </row>
    <row r="134" spans="1:28" ht="13.5" customHeight="1">
      <c r="A134" s="12"/>
      <c r="B134" s="12"/>
      <c r="C134" s="12"/>
      <c r="D134" s="12"/>
      <c r="E134" s="12"/>
      <c r="F134" s="12"/>
      <c r="G134" s="12"/>
      <c r="H134" s="12"/>
      <c r="I134" s="12"/>
      <c r="J134" s="12"/>
      <c r="K134" s="12"/>
      <c r="L134" s="141" t="s">
        <v>879</v>
      </c>
      <c r="M134" s="12"/>
      <c r="N134" s="751" t="str">
        <f ca="1">SUM(N125:N132)</f>
        <v/>
      </c>
      <c r="O134" s="142"/>
      <c r="P134" s="141" t="s">
        <v>879</v>
      </c>
      <c r="Q134" s="12"/>
      <c r="R134" s="751" t="str">
        <f ca="1">SUM(R125:R132)</f>
        <v/>
      </c>
      <c r="S134" s="12"/>
      <c r="T134" s="12"/>
      <c r="U134" s="12"/>
      <c r="V134" s="12"/>
      <c r="W134" s="12"/>
      <c r="X134" s="12"/>
      <c r="Y134" s="12"/>
      <c r="Z134" s="12"/>
      <c r="AA134" s="12"/>
      <c r="AB134" s="12"/>
    </row>
    <row r="135" spans="1:28" ht="13.5" customHeight="1">
      <c r="A135" s="12"/>
      <c r="B135" s="12"/>
      <c r="C135" s="12"/>
      <c r="D135" s="12"/>
      <c r="E135" s="12"/>
      <c r="F135" s="12"/>
      <c r="G135" s="12"/>
      <c r="H135" s="12"/>
      <c r="I135" s="12"/>
      <c r="J135" s="12"/>
      <c r="K135" s="12"/>
      <c r="L135" s="141" t="s">
        <v>414</v>
      </c>
      <c r="M135" s="12"/>
      <c r="N135" s="751">
        <f>Diluted_Shares</f>
        <v>707</v>
      </c>
      <c r="O135" s="142"/>
      <c r="P135" s="141" t="s">
        <v>414</v>
      </c>
      <c r="Q135" s="12"/>
      <c r="R135" s="751">
        <f>Diluted_Shares</f>
        <v>707</v>
      </c>
      <c r="S135" s="12"/>
      <c r="T135" s="12"/>
      <c r="U135" s="12"/>
      <c r="V135" s="12"/>
      <c r="W135" s="12"/>
      <c r="X135" s="12"/>
      <c r="Y135" s="12"/>
      <c r="Z135" s="12"/>
      <c r="AA135" s="12"/>
      <c r="AB135" s="12"/>
    </row>
    <row r="136" spans="1:28" ht="13.5" customHeight="1">
      <c r="A136" s="12"/>
      <c r="B136" s="12"/>
      <c r="C136" s="12"/>
      <c r="D136" s="12"/>
      <c r="E136" s="12"/>
      <c r="F136" s="12"/>
      <c r="G136" s="12"/>
      <c r="H136" s="12"/>
      <c r="I136" s="12"/>
      <c r="J136" s="12"/>
      <c r="K136" s="12"/>
      <c r="L136" s="141"/>
      <c r="M136" s="12"/>
      <c r="N136" s="142"/>
      <c r="O136" s="142"/>
      <c r="P136" s="141"/>
      <c r="Q136" s="12"/>
      <c r="R136" s="142"/>
      <c r="S136" s="12"/>
      <c r="T136" s="12"/>
      <c r="U136" s="12"/>
      <c r="V136" s="12"/>
      <c r="W136" s="12"/>
      <c r="X136" s="12"/>
      <c r="Y136" s="12"/>
      <c r="Z136" s="12"/>
      <c r="AA136" s="12"/>
      <c r="AB136" s="12"/>
    </row>
    <row r="137" spans="1:28" ht="13.5" customHeight="1">
      <c r="A137" s="12"/>
      <c r="B137" s="12"/>
      <c r="C137" s="12"/>
      <c r="D137" s="12"/>
      <c r="E137" s="12"/>
      <c r="F137" s="12"/>
      <c r="G137" s="12"/>
      <c r="H137" s="12"/>
      <c r="I137" s="12"/>
      <c r="J137" s="12"/>
      <c r="K137" s="12"/>
      <c r="L137" s="141" t="s">
        <v>871</v>
      </c>
      <c r="M137" s="12"/>
      <c r="N137" s="751" t="str">
        <f ca="1">N134/N135</f>
        <v/>
      </c>
      <c r="O137" s="142"/>
      <c r="P137" s="141" t="s">
        <v>871</v>
      </c>
      <c r="Q137" s="12"/>
      <c r="R137" s="751" t="str">
        <f ca="1">R134/R135</f>
        <v/>
      </c>
      <c r="S137" s="12"/>
      <c r="T137" s="12"/>
      <c r="U137" s="12"/>
      <c r="V137" s="12"/>
      <c r="W137" s="12"/>
      <c r="X137" s="12"/>
      <c r="Y137" s="12"/>
      <c r="Z137" s="12"/>
      <c r="AA137" s="12"/>
      <c r="AB137" s="12"/>
    </row>
    <row r="138" spans="1:28" ht="13.5" customHeight="1">
      <c r="A138" s="12"/>
      <c r="B138" s="12"/>
      <c r="C138" s="12"/>
      <c r="D138" s="12"/>
      <c r="E138" s="12"/>
      <c r="F138" s="12"/>
      <c r="G138" s="12"/>
      <c r="H138" s="12"/>
      <c r="I138" s="12"/>
      <c r="J138" s="12"/>
      <c r="K138" s="12"/>
      <c r="L138" s="257" t="s">
        <v>872</v>
      </c>
      <c r="M138" s="100"/>
      <c r="N138" s="711" t="str">
        <f ca="1">N137/Share_Price-1</f>
        <v/>
      </c>
      <c r="O138" s="142"/>
      <c r="P138" s="257" t="s">
        <v>872</v>
      </c>
      <c r="Q138" s="100"/>
      <c r="R138" s="711" t="str">
        <f ca="1">R137/Share_Price-1</f>
        <v/>
      </c>
      <c r="S138" s="12"/>
      <c r="T138" s="12"/>
      <c r="U138" s="12"/>
      <c r="V138" s="12"/>
      <c r="W138" s="12"/>
      <c r="X138" s="12"/>
      <c r="Y138" s="12"/>
      <c r="Z138" s="12"/>
      <c r="AA138" s="12"/>
      <c r="AB138" s="12"/>
    </row>
    <row r="139" spans="1:28" ht="4.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3.5" customHeight="1">
      <c r="A140" s="211" t="s">
        <v>1</v>
      </c>
      <c r="B140" s="12"/>
      <c r="C140" s="920" t="s">
        <v>46</v>
      </c>
      <c r="D140" s="858"/>
      <c r="E140" s="858"/>
      <c r="F140" s="858"/>
      <c r="G140" s="858"/>
      <c r="H140" s="858"/>
      <c r="I140" s="858"/>
      <c r="J140" s="858"/>
      <c r="K140" s="858"/>
      <c r="L140" s="858"/>
      <c r="M140" s="858"/>
      <c r="N140" s="858"/>
      <c r="O140" s="858"/>
      <c r="P140" s="858"/>
      <c r="Q140" s="858"/>
      <c r="R140" s="854"/>
      <c r="S140" s="211" t="s">
        <v>1</v>
      </c>
      <c r="T140" s="12"/>
      <c r="U140" s="12"/>
      <c r="V140" s="12"/>
      <c r="W140" s="12"/>
      <c r="X140" s="12"/>
      <c r="Y140" s="12"/>
      <c r="Z140" s="12"/>
      <c r="AA140" s="12"/>
      <c r="AB140" s="12"/>
    </row>
    <row r="141" spans="1:28" ht="4.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3.5" customHeight="1">
      <c r="A142" s="12"/>
      <c r="B142" s="12"/>
      <c r="C142" s="12" t="s">
        <v>880</v>
      </c>
      <c r="D142" s="12"/>
      <c r="E142" s="12"/>
      <c r="F142" s="12"/>
      <c r="G142" s="35" t="s">
        <v>881</v>
      </c>
      <c r="H142" s="12"/>
      <c r="I142" s="12"/>
      <c r="J142" s="882" t="s">
        <v>882</v>
      </c>
      <c r="K142" s="883"/>
      <c r="L142" s="12"/>
      <c r="M142" s="12"/>
      <c r="N142" s="12"/>
      <c r="O142" s="12"/>
      <c r="P142" s="12"/>
      <c r="Q142" s="12"/>
      <c r="R142" s="12"/>
      <c r="S142" s="12"/>
      <c r="T142" s="12"/>
      <c r="U142" s="12"/>
      <c r="V142" s="12"/>
      <c r="W142" s="12"/>
      <c r="X142" s="12"/>
      <c r="Y142" s="12"/>
      <c r="Z142" s="12"/>
      <c r="AA142" s="12"/>
      <c r="AB142" s="12"/>
    </row>
    <row r="143" spans="1:28" ht="13.5" customHeight="1">
      <c r="A143" s="12"/>
      <c r="B143" s="12"/>
      <c r="C143" s="12" t="s">
        <v>883</v>
      </c>
      <c r="D143" s="12"/>
      <c r="E143" s="12"/>
      <c r="F143" s="12"/>
      <c r="G143" s="35" t="s">
        <v>881</v>
      </c>
      <c r="H143" s="12"/>
      <c r="I143" s="12"/>
      <c r="J143" s="69" t="s">
        <v>138</v>
      </c>
      <c r="K143" s="69" t="s">
        <v>140</v>
      </c>
      <c r="L143" s="69"/>
      <c r="M143" s="69"/>
      <c r="N143" s="12"/>
      <c r="O143" s="12"/>
      <c r="P143" s="12"/>
      <c r="Q143" s="12"/>
      <c r="R143" s="12"/>
      <c r="S143" s="12"/>
      <c r="T143" s="12"/>
      <c r="U143" s="12"/>
      <c r="V143" s="12"/>
      <c r="W143" s="12"/>
      <c r="X143" s="12"/>
      <c r="Y143" s="12"/>
      <c r="Z143" s="12"/>
      <c r="AA143" s="12"/>
      <c r="AB143" s="12"/>
    </row>
    <row r="144" spans="1:28" ht="13.5" customHeight="1">
      <c r="A144" s="12"/>
      <c r="B144" s="12"/>
      <c r="C144" s="12" t="s">
        <v>810</v>
      </c>
      <c r="D144" s="12"/>
      <c r="E144" s="12"/>
      <c r="F144" s="12"/>
      <c r="G144" s="35" t="s">
        <v>811</v>
      </c>
      <c r="H144" s="40" t="b">
        <f>G144=$D$24</f>
        <v>1</v>
      </c>
      <c r="I144" s="69" t="s">
        <v>884</v>
      </c>
      <c r="J144" s="662">
        <f>IF($G$145=$C$9,IF($G$144="LTM",'Multiples Data'!E31,IF($G$144="NTM",'Multiples Data'!F31,"N/A")),IF($G$145=Valuation!$C$14,IF(Valuation!$G$144="LTM",'Multiples Data'!E53,IF(Valuation!$G$144="NTM",'Multiples Data'!F53,"N/A")),IF($G$145=Valuation!$C$19,IF(Valuation!$G$144="LTM",'Multiples Data'!E75,IF($G$144="NTM",'Multiples Data'!F75,"N/A")))))</f>
        <v>23.239266666666669</v>
      </c>
      <c r="K144" s="662">
        <f>IF($G$145=$C$9,IF($G$144="LTM",'Multiples Data'!G31,IF($G$144="NTM",'Multiples Data'!H31,"N/A")),IF($G$145=Valuation!$C$14,IF(Valuation!$G$144="LTM",'Multiples Data'!G53,IF(Valuation!$G$144="NTM",'Multiples Data'!H53,"N/A")),IF($G$145=Valuation!$C$19,IF(Valuation!$G$144="LTM",'Multiples Data'!G75,IF($G$144="NTM",'Multiples Data'!H75,"N/A")))))</f>
        <v>15.898750000000001</v>
      </c>
      <c r="L144" s="12"/>
      <c r="M144" s="69"/>
      <c r="N144" s="12"/>
      <c r="O144" s="12"/>
      <c r="P144" s="12"/>
      <c r="Q144" s="12"/>
      <c r="R144" s="12"/>
      <c r="S144" s="12"/>
      <c r="T144" s="12"/>
      <c r="U144" s="12"/>
      <c r="V144" s="12"/>
      <c r="W144" s="12"/>
      <c r="X144" s="12"/>
      <c r="Y144" s="12"/>
      <c r="Z144" s="12"/>
      <c r="AA144" s="12"/>
      <c r="AB144" s="12"/>
    </row>
    <row r="145" spans="1:28" ht="13.5" customHeight="1">
      <c r="A145" s="12"/>
      <c r="B145" s="12"/>
      <c r="C145" s="12" t="s">
        <v>885</v>
      </c>
      <c r="D145" s="12"/>
      <c r="E145" s="12"/>
      <c r="F145" s="12"/>
      <c r="G145" s="35" t="s">
        <v>556</v>
      </c>
      <c r="H145" s="12"/>
      <c r="I145" s="69" t="s">
        <v>886</v>
      </c>
      <c r="J145" s="662">
        <f>IF($G$145=$C$9,IF($G$144="LTM",'Multiples Data'!E32,IF($G$144="NTM",'Multiples Data'!F32,"N/A")),IF($G$145=Valuation!$C$14,IF(Valuation!$G$144="LTM",'Multiples Data'!E54,IF(Valuation!$G$144="NTM",'Multiples Data'!F54,"N/A")),IF($G$145=Valuation!$C$19,IF(Valuation!$G$144="LTM",'Multiples Data'!E76,IF($G$144="NTM",'Multiples Data'!F76,"N/A")))))</f>
        <v>22.402899999999995</v>
      </c>
      <c r="K145" s="662">
        <f>IF($G$145=$C$9,IF($G$144="LTM",'Multiples Data'!G32,IF($G$144="NTM",'Multiples Data'!H32,"N/A")),IF($G$145=Valuation!$C$14,IF(Valuation!$G$144="LTM",'Multiples Data'!G54,IF(Valuation!$G$144="NTM",'Multiples Data'!H54,"N/A")),IF($G$145=Valuation!$C$19,IF(Valuation!$G$144="LTM",'Multiples Data'!G76,IF($G$144="NTM",'Multiples Data'!H76,"N/A")))))</f>
        <v>15.226447999999996</v>
      </c>
      <c r="L145" s="12"/>
      <c r="M145" s="69"/>
      <c r="N145" s="12"/>
      <c r="O145" s="12"/>
      <c r="P145" s="12"/>
      <c r="Q145" s="12"/>
      <c r="R145" s="12"/>
      <c r="S145" s="12"/>
      <c r="T145" s="12"/>
      <c r="U145" s="12"/>
      <c r="V145" s="12"/>
      <c r="W145" s="12"/>
      <c r="X145" s="12"/>
      <c r="Y145" s="12"/>
      <c r="Z145" s="12"/>
      <c r="AA145" s="12"/>
      <c r="AB145" s="12"/>
    </row>
    <row r="146" spans="1:28" ht="13.5" customHeight="1">
      <c r="A146" s="12"/>
      <c r="B146" s="12"/>
      <c r="C146" s="12"/>
      <c r="D146" s="12"/>
      <c r="E146" s="12"/>
      <c r="F146" s="12"/>
      <c r="G146" s="35"/>
      <c r="H146" s="12"/>
      <c r="I146" s="69" t="s">
        <v>881</v>
      </c>
      <c r="J146" s="662">
        <f>IF($G$145=$C$9,IF($G$144="LTM",'Multiples Data'!E33,IF($G$144="NTM",'Multiples Data'!F33,"N/A")),IF($G$145=Valuation!$C$14,IF(Valuation!$G$144="LTM",'Multiples Data'!E55,IF(Valuation!$G$144="NTM",'Multiples Data'!F55,"N/A")),IF($G$145=Valuation!$C$19,IF(Valuation!$G$144="LTM",'Multiples Data'!E77,IF($G$144="NTM",'Multiples Data'!F77,"N/A")))))</f>
        <v>21.627641428571419</v>
      </c>
      <c r="K146" s="662">
        <f>IF($G$145=$C$9,IF($G$144="LTM",'Multiples Data'!G33,IF($G$144="NTM",'Multiples Data'!H33,"N/A")),IF($G$145=Valuation!$C$14,IF(Valuation!$G$144="LTM",'Multiples Data'!G55,IF(Valuation!$G$144="NTM",'Multiples Data'!H55,"N/A")),IF($G$145=Valuation!$C$19,IF(Valuation!$G$144="LTM",'Multiples Data'!G77,IF($G$144="NTM",'Multiples Data'!H77,"N/A")))))</f>
        <v>14.83389857142857</v>
      </c>
      <c r="L146" s="12"/>
      <c r="M146" s="69"/>
      <c r="N146" s="12"/>
      <c r="O146" s="12"/>
      <c r="P146" s="12"/>
      <c r="Q146" s="12"/>
      <c r="R146" s="12"/>
      <c r="S146" s="12"/>
      <c r="T146" s="12"/>
      <c r="U146" s="12"/>
      <c r="V146" s="12"/>
      <c r="W146" s="12"/>
      <c r="X146" s="12"/>
      <c r="Y146" s="12"/>
      <c r="Z146" s="12"/>
      <c r="AA146" s="12"/>
      <c r="AB146" s="12"/>
    </row>
    <row r="147" spans="1:28" ht="14.25" customHeight="1">
      <c r="A147" s="12"/>
      <c r="B147" s="12"/>
      <c r="C147" s="12"/>
      <c r="D147" s="12"/>
      <c r="E147" s="12"/>
      <c r="F147" s="12"/>
      <c r="G147" s="12"/>
      <c r="H147" s="12"/>
      <c r="I147" s="69" t="s">
        <v>887</v>
      </c>
      <c r="J147" s="662">
        <f>IF($G$145=$C$9,IF($G$144="LTM",'Multiples Data'!E34,IF($G$144="NTM",'Multiples Data'!F34,"N/A")),IF($G$145=Valuation!$C$14,IF(Valuation!$G$144="LTM",'Multiples Data'!E56,IF(Valuation!$G$144="NTM",'Multiples Data'!F56,"N/A")),IF($G$145=Valuation!$C$19,IF(Valuation!$G$144="LTM",'Multiples Data'!E78,IF($G$144="NTM",'Multiples Data'!F78,"N/A")))))</f>
        <v>21.500070000000001</v>
      </c>
      <c r="K147" s="662">
        <f>IF($G$145=$C$9,IF($G$144="LTM",'Multiples Data'!G34,IF($G$144="NTM",'Multiples Data'!H34,"N/A")),IF($G$145=Valuation!$C$14,IF(Valuation!$G$144="LTM",'Multiples Data'!G56,IF(Valuation!$G$144="NTM",'Multiples Data'!H56,"N/A")),IF($G$145=Valuation!$C$19,IF(Valuation!$G$144="LTM",'Multiples Data'!G78,IF($G$144="NTM",'Multiples Data'!H78,"N/A")))))</f>
        <v>14.158867272727273</v>
      </c>
      <c r="L147" s="12"/>
      <c r="M147" s="12"/>
      <c r="N147" s="12"/>
      <c r="O147" s="12"/>
      <c r="P147" s="12"/>
      <c r="Q147" s="12"/>
      <c r="R147" s="12"/>
      <c r="S147" s="12"/>
      <c r="T147" s="12"/>
      <c r="U147" s="12"/>
      <c r="V147" s="12"/>
      <c r="W147" s="12"/>
      <c r="X147" s="12"/>
      <c r="Y147" s="12"/>
      <c r="Z147" s="12"/>
      <c r="AA147" s="12"/>
      <c r="AB147" s="12"/>
    </row>
    <row r="148" spans="1:28" ht="4.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4.25" customHeight="1">
      <c r="A149" s="211" t="s">
        <v>1</v>
      </c>
      <c r="B149" s="12"/>
      <c r="C149" s="920" t="s">
        <v>845</v>
      </c>
      <c r="D149" s="858"/>
      <c r="E149" s="858"/>
      <c r="F149" s="858"/>
      <c r="G149" s="858"/>
      <c r="H149" s="858"/>
      <c r="I149" s="858"/>
      <c r="J149" s="858"/>
      <c r="K149" s="858"/>
      <c r="L149" s="858"/>
      <c r="M149" s="858"/>
      <c r="N149" s="858"/>
      <c r="O149" s="858"/>
      <c r="P149" s="858"/>
      <c r="Q149" s="858"/>
      <c r="R149" s="854"/>
      <c r="S149" s="211" t="s">
        <v>1</v>
      </c>
      <c r="T149" s="12"/>
      <c r="U149" s="12"/>
      <c r="V149" s="12"/>
      <c r="W149" s="12"/>
      <c r="X149" s="12"/>
      <c r="Y149" s="12"/>
      <c r="Z149" s="12"/>
      <c r="AA149" s="12"/>
      <c r="AB149" s="12"/>
    </row>
    <row r="150" spans="1:28" ht="4.5" customHeight="1">
      <c r="A150" s="211"/>
      <c r="B150" s="12"/>
      <c r="C150" s="108"/>
      <c r="D150" s="40"/>
      <c r="E150" s="40"/>
      <c r="F150" s="40"/>
      <c r="G150" s="149"/>
      <c r="H150" s="149"/>
      <c r="I150" s="149"/>
      <c r="J150" s="149"/>
      <c r="K150" s="149"/>
      <c r="L150" s="149"/>
      <c r="M150" s="149"/>
      <c r="N150" s="149"/>
      <c r="O150" s="149"/>
      <c r="P150" s="149"/>
      <c r="Q150" s="149"/>
      <c r="R150" s="149"/>
      <c r="S150" s="211"/>
      <c r="T150" s="12"/>
      <c r="U150" s="12"/>
      <c r="V150" s="12"/>
      <c r="W150" s="12"/>
      <c r="X150" s="12"/>
      <c r="Y150" s="12"/>
      <c r="Z150" s="12"/>
      <c r="AA150" s="12"/>
      <c r="AB150" s="12"/>
    </row>
    <row r="151" spans="1:28" ht="14.25" customHeight="1">
      <c r="A151" s="12"/>
      <c r="B151" s="12"/>
      <c r="C151" s="12" t="s">
        <v>888</v>
      </c>
      <c r="D151" s="12"/>
      <c r="E151" s="712">
        <f>$F$123</f>
        <v>18.758692857142854</v>
      </c>
      <c r="F151" s="611">
        <f>E151-H161</f>
        <v>0</v>
      </c>
      <c r="G151" s="12"/>
      <c r="H151" s="12" t="s">
        <v>889</v>
      </c>
      <c r="I151" s="12"/>
      <c r="J151" s="12"/>
      <c r="K151" s="712">
        <f>N123</f>
        <v>12.439849999999998</v>
      </c>
      <c r="L151" s="611">
        <f>K151-H177</f>
        <v>0</v>
      </c>
      <c r="M151" s="12"/>
      <c r="N151" s="5" t="s">
        <v>868</v>
      </c>
      <c r="O151" s="12"/>
      <c r="P151" s="12"/>
      <c r="Q151" s="757" t="str">
        <f ca="1">F124</f>
        <v/>
      </c>
      <c r="R151" s="758" t="str">
        <f ca="1">Q151-E164</f>
        <v/>
      </c>
      <c r="S151" s="12"/>
      <c r="T151" s="12"/>
      <c r="U151" s="12"/>
      <c r="V151" s="12"/>
      <c r="W151" s="12"/>
      <c r="X151" s="12"/>
      <c r="Y151" s="12"/>
      <c r="Z151" s="12"/>
      <c r="AA151" s="12"/>
      <c r="AB151" s="12"/>
    </row>
    <row r="152" spans="1:28" ht="14.25" customHeight="1">
      <c r="A152" s="12"/>
      <c r="B152" s="12"/>
      <c r="C152" s="12" t="s">
        <v>849</v>
      </c>
      <c r="D152" s="12"/>
      <c r="E152" s="719">
        <v>1</v>
      </c>
      <c r="F152" s="12"/>
      <c r="G152" s="12"/>
      <c r="H152" s="12" t="s">
        <v>849</v>
      </c>
      <c r="I152" s="12"/>
      <c r="J152" s="12"/>
      <c r="K152" s="719">
        <v>1</v>
      </c>
      <c r="L152" s="759"/>
      <c r="M152" s="12"/>
      <c r="N152" s="437" t="s">
        <v>890</v>
      </c>
      <c r="O152" s="12"/>
      <c r="P152" s="12"/>
      <c r="Q152" s="12"/>
      <c r="R152" s="758" t="str">
        <f ca="1">Q151-E172</f>
        <v/>
      </c>
      <c r="S152" s="12"/>
      <c r="T152" s="12"/>
      <c r="U152" s="12"/>
      <c r="V152" s="12"/>
      <c r="W152" s="12"/>
      <c r="X152" s="12"/>
      <c r="Y152" s="12"/>
      <c r="Z152" s="12"/>
      <c r="AA152" s="12"/>
      <c r="AB152" s="12"/>
    </row>
    <row r="153" spans="1:28" ht="14.25" customHeight="1">
      <c r="A153" s="12"/>
      <c r="B153" s="12"/>
      <c r="C153" s="12" t="s">
        <v>891</v>
      </c>
      <c r="D153" s="12"/>
      <c r="E153" s="720">
        <v>0.1</v>
      </c>
      <c r="F153" s="12"/>
      <c r="G153" s="12"/>
      <c r="H153" s="12" t="s">
        <v>892</v>
      </c>
      <c r="I153" s="12"/>
      <c r="J153" s="12"/>
      <c r="K153" s="720">
        <v>0.1</v>
      </c>
      <c r="L153" s="759"/>
      <c r="M153" s="12"/>
      <c r="N153" s="5" t="s">
        <v>869</v>
      </c>
      <c r="O153" s="12"/>
      <c r="P153" s="12"/>
      <c r="Q153" s="760" t="str">
        <f ca="1">N124</f>
        <v/>
      </c>
      <c r="R153" s="758" t="str">
        <f ca="1">Q153-E180</f>
        <v/>
      </c>
      <c r="S153" s="12"/>
      <c r="T153" s="12"/>
      <c r="U153" s="12"/>
      <c r="V153" s="12"/>
      <c r="W153" s="12"/>
      <c r="X153" s="12"/>
      <c r="Y153" s="12"/>
      <c r="Z153" s="12"/>
      <c r="AA153" s="12"/>
      <c r="AB153" s="12"/>
    </row>
    <row r="154" spans="1:28" ht="14.25" customHeight="1">
      <c r="A154" s="12"/>
      <c r="B154" s="12"/>
      <c r="C154" s="12" t="s">
        <v>893</v>
      </c>
      <c r="D154" s="12"/>
      <c r="E154" s="712">
        <f>$J$123</f>
        <v>19.283940256856489</v>
      </c>
      <c r="F154" s="611">
        <f>E154-H169</f>
        <v>0</v>
      </c>
      <c r="G154" s="12"/>
      <c r="H154" s="12" t="s">
        <v>894</v>
      </c>
      <c r="I154" s="12"/>
      <c r="J154" s="12"/>
      <c r="K154" s="712">
        <f>R123</f>
        <v>13.012839604943464</v>
      </c>
      <c r="L154" s="611">
        <f>K154-H185</f>
        <v>0</v>
      </c>
      <c r="M154" s="761"/>
      <c r="N154" s="437" t="s">
        <v>890</v>
      </c>
      <c r="O154" s="762"/>
      <c r="P154" s="12"/>
      <c r="Q154" s="12"/>
      <c r="R154" s="758" t="str">
        <f ca="1">Q153-E188</f>
        <v/>
      </c>
      <c r="S154" s="12"/>
      <c r="T154" s="12"/>
      <c r="U154" s="12"/>
      <c r="V154" s="12"/>
      <c r="W154" s="12"/>
      <c r="X154" s="12"/>
      <c r="Y154" s="12"/>
      <c r="Z154" s="12"/>
      <c r="AA154" s="12"/>
      <c r="AB154" s="12"/>
    </row>
    <row r="155" spans="1:28" ht="14.25" customHeight="1">
      <c r="A155" s="12"/>
      <c r="B155" s="12"/>
      <c r="C155" s="12" t="s">
        <v>849</v>
      </c>
      <c r="D155" s="12"/>
      <c r="E155" s="719">
        <v>1</v>
      </c>
      <c r="F155" s="12"/>
      <c r="G155" s="12"/>
      <c r="H155" s="12" t="s">
        <v>849</v>
      </c>
      <c r="I155" s="12"/>
      <c r="J155" s="12"/>
      <c r="K155" s="719">
        <v>1</v>
      </c>
      <c r="L155" s="759"/>
      <c r="M155" s="12"/>
      <c r="N155" s="12"/>
      <c r="O155" s="762"/>
      <c r="P155" s="12"/>
      <c r="Q155" s="12"/>
      <c r="R155" s="12"/>
      <c r="S155" s="12"/>
      <c r="T155" s="12"/>
      <c r="U155" s="12"/>
      <c r="V155" s="12"/>
      <c r="W155" s="12"/>
      <c r="X155" s="12"/>
      <c r="Y155" s="12"/>
      <c r="Z155" s="12"/>
      <c r="AA155" s="12"/>
      <c r="AB155" s="12"/>
    </row>
    <row r="156" spans="1:28" ht="14.25" customHeight="1">
      <c r="A156" s="12"/>
      <c r="B156" s="12"/>
      <c r="C156" s="12"/>
      <c r="D156" s="12"/>
      <c r="E156" s="35"/>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4.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4.25" customHeight="1">
      <c r="A158" s="12"/>
      <c r="B158" s="12"/>
      <c r="C158" s="12"/>
      <c r="D158" s="925" t="s">
        <v>852</v>
      </c>
      <c r="E158" s="858"/>
      <c r="F158" s="858"/>
      <c r="G158" s="858"/>
      <c r="H158" s="858"/>
      <c r="I158" s="858"/>
      <c r="J158" s="854"/>
      <c r="K158" s="721"/>
      <c r="L158" s="925" t="s">
        <v>853</v>
      </c>
      <c r="M158" s="858"/>
      <c r="N158" s="858"/>
      <c r="O158" s="858"/>
      <c r="P158" s="858"/>
      <c r="Q158" s="858"/>
      <c r="R158" s="854"/>
      <c r="S158" s="12"/>
      <c r="T158" s="12"/>
      <c r="U158" s="12"/>
      <c r="V158" s="12"/>
      <c r="W158" s="12"/>
      <c r="X158" s="12"/>
      <c r="Y158" s="12"/>
      <c r="Z158" s="12"/>
      <c r="AA158" s="12"/>
      <c r="AB158" s="12"/>
    </row>
    <row r="159" spans="1:28" ht="4.5" customHeight="1">
      <c r="A159" s="12"/>
      <c r="B159" s="12"/>
      <c r="C159" s="12"/>
      <c r="D159" s="40"/>
      <c r="E159" s="149"/>
      <c r="F159" s="69"/>
      <c r="G159" s="69"/>
      <c r="H159" s="69"/>
      <c r="I159" s="69"/>
      <c r="J159" s="69"/>
      <c r="K159" s="721"/>
      <c r="L159" s="40"/>
      <c r="M159" s="149"/>
      <c r="N159" s="69"/>
      <c r="O159" s="69"/>
      <c r="P159" s="69"/>
      <c r="Q159" s="69"/>
      <c r="R159" s="69"/>
      <c r="S159" s="12"/>
      <c r="T159" s="12"/>
      <c r="U159" s="12"/>
      <c r="V159" s="12"/>
      <c r="W159" s="12"/>
      <c r="X159" s="12"/>
      <c r="Y159" s="12"/>
      <c r="Z159" s="12"/>
      <c r="AA159" s="12"/>
      <c r="AB159" s="12"/>
    </row>
    <row r="160" spans="1:28" ht="14.25" customHeight="1">
      <c r="A160" s="12"/>
      <c r="B160" s="12"/>
      <c r="C160" s="12"/>
      <c r="D160" s="535"/>
      <c r="E160" s="537"/>
      <c r="F160" s="915" t="str">
        <f>G144&amp;" P/E"</f>
        <v>NTM P/E</v>
      </c>
      <c r="G160" s="916"/>
      <c r="H160" s="916"/>
      <c r="I160" s="916"/>
      <c r="J160" s="916"/>
      <c r="K160" s="12"/>
      <c r="L160" s="535"/>
      <c r="M160" s="537"/>
      <c r="N160" s="915" t="str">
        <f t="shared" ref="N160:N161" si="39">F160</f>
        <v>NTM P/E</v>
      </c>
      <c r="O160" s="916"/>
      <c r="P160" s="916"/>
      <c r="Q160" s="916"/>
      <c r="R160" s="916"/>
      <c r="S160" s="12"/>
      <c r="T160" s="12"/>
      <c r="U160" s="12"/>
      <c r="V160" s="12"/>
      <c r="W160" s="12"/>
      <c r="X160" s="12"/>
      <c r="Y160" s="12"/>
      <c r="Z160" s="12"/>
      <c r="AA160" s="12"/>
      <c r="AB160" s="12"/>
    </row>
    <row r="161" spans="1:28" ht="14.25" customHeight="1">
      <c r="A161" s="12"/>
      <c r="B161" s="12"/>
      <c r="C161" s="12"/>
      <c r="D161" s="12"/>
      <c r="E161" s="722" t="str">
        <f ca="1">$F$126</f>
        <v/>
      </c>
      <c r="F161" s="723">
        <f t="shared" ref="F161:G161" si="40">G161-$E$93</f>
        <v>16.758692857142854</v>
      </c>
      <c r="G161" s="723">
        <f t="shared" si="40"/>
        <v>17.758692857142854</v>
      </c>
      <c r="H161" s="724">
        <v>18.758692857142854</v>
      </c>
      <c r="I161" s="723">
        <f t="shared" ref="I161:J161" si="41">H161+$E$93</f>
        <v>19.758692857142854</v>
      </c>
      <c r="J161" s="723">
        <f t="shared" si="41"/>
        <v>20.758692857142854</v>
      </c>
      <c r="K161" s="12"/>
      <c r="L161" s="12"/>
      <c r="M161" s="725">
        <f>$H$73</f>
        <v>0</v>
      </c>
      <c r="N161" s="723">
        <f t="shared" si="39"/>
        <v>16.758692857142854</v>
      </c>
      <c r="O161" s="723">
        <f t="shared" ref="O161:R161" si="42">G161</f>
        <v>17.758692857142854</v>
      </c>
      <c r="P161" s="723">
        <f t="shared" si="42"/>
        <v>18.758692857142854</v>
      </c>
      <c r="Q161" s="723">
        <f t="shared" si="42"/>
        <v>19.758692857142854</v>
      </c>
      <c r="R161" s="723">
        <f t="shared" si="42"/>
        <v>20.758692857142854</v>
      </c>
      <c r="S161" s="12"/>
      <c r="T161" s="12"/>
      <c r="U161" s="12"/>
      <c r="V161" s="12"/>
      <c r="W161" s="12"/>
      <c r="X161" s="12"/>
      <c r="Y161" s="12"/>
      <c r="Z161" s="12"/>
      <c r="AA161" s="12"/>
      <c r="AB161" s="12"/>
    </row>
    <row r="162" spans="1:28" ht="14.25" customHeight="1">
      <c r="A162" s="12"/>
      <c r="B162" s="12"/>
      <c r="C162" s="12"/>
      <c r="D162" s="917" t="s">
        <v>397</v>
      </c>
      <c r="E162" s="763">
        <f>$E$164*(1-(2*$E$153))</f>
        <v>11.73702261514271</v>
      </c>
      <c r="F162" s="727">
        <v>196.69715706451626</v>
      </c>
      <c r="G162" s="728">
        <v>208.434179679659</v>
      </c>
      <c r="H162" s="728">
        <v>220.1712022948017</v>
      </c>
      <c r="I162" s="728">
        <v>231.90822490994441</v>
      </c>
      <c r="J162" s="729">
        <v>243.64524752508711</v>
      </c>
      <c r="K162" s="12"/>
      <c r="L162" s="917" t="s">
        <v>397</v>
      </c>
      <c r="M162" s="763">
        <f t="shared" ref="M162:M166" si="43">E162</f>
        <v>11.73702261514271</v>
      </c>
      <c r="N162" s="730">
        <f t="shared" ref="N162:R166" si="44">F162/Share_Price-1</f>
        <v>-0.15645785631479436</v>
      </c>
      <c r="O162" s="605">
        <f t="shared" si="44"/>
        <v>-0.10612325379681364</v>
      </c>
      <c r="P162" s="605">
        <f t="shared" si="44"/>
        <v>-5.5788651278833146E-2</v>
      </c>
      <c r="Q162" s="605">
        <f t="shared" si="44"/>
        <v>-5.4540487608525368E-3</v>
      </c>
      <c r="R162" s="731">
        <f t="shared" si="44"/>
        <v>4.4880553757127961E-2</v>
      </c>
      <c r="S162" s="12"/>
      <c r="T162" s="12"/>
      <c r="U162" s="12"/>
      <c r="V162" s="12"/>
      <c r="W162" s="12"/>
      <c r="X162" s="12"/>
      <c r="Y162" s="12"/>
      <c r="Z162" s="12"/>
      <c r="AA162" s="12"/>
      <c r="AB162" s="12"/>
    </row>
    <row r="163" spans="1:28" ht="14.25" customHeight="1">
      <c r="A163" s="12"/>
      <c r="B163" s="12"/>
      <c r="C163" s="12"/>
      <c r="D163" s="918"/>
      <c r="E163" s="763">
        <f>$E$164*(1-$E$153)</f>
        <v>13.204150442035548</v>
      </c>
      <c r="F163" s="732">
        <v>221.28430169758082</v>
      </c>
      <c r="G163" s="733">
        <v>234.48845213961636</v>
      </c>
      <c r="H163" s="733">
        <v>247.6926025816519</v>
      </c>
      <c r="I163" s="733">
        <v>260.89675302368744</v>
      </c>
      <c r="J163" s="734">
        <v>274.10090346572298</v>
      </c>
      <c r="K163" s="12"/>
      <c r="L163" s="918"/>
      <c r="M163" s="763">
        <f t="shared" si="43"/>
        <v>13.204150442035548</v>
      </c>
      <c r="N163" s="735">
        <f t="shared" si="44"/>
        <v>-5.101508835414359E-2</v>
      </c>
      <c r="O163" s="497">
        <f t="shared" si="44"/>
        <v>5.6113394785846094E-3</v>
      </c>
      <c r="P163" s="497">
        <f t="shared" si="44"/>
        <v>6.2237767311312586E-2</v>
      </c>
      <c r="Q163" s="497">
        <f t="shared" si="44"/>
        <v>0.11886419514404079</v>
      </c>
      <c r="R163" s="616">
        <f t="shared" si="44"/>
        <v>0.17549062297676898</v>
      </c>
      <c r="S163" s="12"/>
      <c r="T163" s="12"/>
      <c r="U163" s="12"/>
      <c r="V163" s="12"/>
      <c r="W163" s="12"/>
      <c r="X163" s="12"/>
      <c r="Y163" s="12"/>
      <c r="Z163" s="12"/>
      <c r="AA163" s="12"/>
      <c r="AB163" s="12"/>
    </row>
    <row r="164" spans="1:28" ht="14.25" customHeight="1">
      <c r="A164" s="12"/>
      <c r="B164" s="12"/>
      <c r="C164" s="12"/>
      <c r="D164" s="918"/>
      <c r="E164" s="764">
        <v>14.671278268928386</v>
      </c>
      <c r="F164" s="732">
        <v>245.87144633064534</v>
      </c>
      <c r="G164" s="733">
        <v>260.54272459957372</v>
      </c>
      <c r="H164" s="733">
        <v>275.21400286850212</v>
      </c>
      <c r="I164" s="733">
        <v>289.88528113743047</v>
      </c>
      <c r="J164" s="734">
        <v>304.55655940635887</v>
      </c>
      <c r="K164" s="12"/>
      <c r="L164" s="918"/>
      <c r="M164" s="763">
        <f t="shared" si="43"/>
        <v>14.671278268928386</v>
      </c>
      <c r="N164" s="735">
        <f t="shared" si="44"/>
        <v>5.4427679606507073E-2</v>
      </c>
      <c r="O164" s="497">
        <f t="shared" si="44"/>
        <v>0.11734593275398275</v>
      </c>
      <c r="P164" s="497">
        <f t="shared" si="44"/>
        <v>0.18026418590145865</v>
      </c>
      <c r="Q164" s="497">
        <f t="shared" si="44"/>
        <v>0.24318243904893411</v>
      </c>
      <c r="R164" s="616">
        <f t="shared" si="44"/>
        <v>0.30610069219641001</v>
      </c>
      <c r="S164" s="12"/>
      <c r="T164" s="12"/>
      <c r="U164" s="12"/>
      <c r="V164" s="12"/>
      <c r="W164" s="12"/>
      <c r="X164" s="12"/>
      <c r="Y164" s="12"/>
      <c r="Z164" s="12"/>
      <c r="AA164" s="12"/>
      <c r="AB164" s="12"/>
    </row>
    <row r="165" spans="1:28" ht="14.25" customHeight="1">
      <c r="A165" s="12"/>
      <c r="B165" s="12"/>
      <c r="C165" s="12"/>
      <c r="D165" s="918"/>
      <c r="E165" s="763">
        <f>$E$164*(1+$E$153)</f>
        <v>16.138406095821225</v>
      </c>
      <c r="F165" s="732">
        <v>270.45859096370987</v>
      </c>
      <c r="G165" s="733">
        <v>286.59699705953108</v>
      </c>
      <c r="H165" s="733">
        <v>302.73540315535229</v>
      </c>
      <c r="I165" s="733">
        <v>318.87380925117355</v>
      </c>
      <c r="J165" s="734">
        <v>335.01221534699476</v>
      </c>
      <c r="K165" s="12"/>
      <c r="L165" s="918"/>
      <c r="M165" s="763">
        <f t="shared" si="43"/>
        <v>16.138406095821225</v>
      </c>
      <c r="N165" s="735">
        <f t="shared" si="44"/>
        <v>0.15987044756715774</v>
      </c>
      <c r="O165" s="497">
        <f t="shared" si="44"/>
        <v>0.22908052602938112</v>
      </c>
      <c r="P165" s="497">
        <f t="shared" si="44"/>
        <v>0.29829060449160427</v>
      </c>
      <c r="Q165" s="497">
        <f t="shared" si="44"/>
        <v>0.36750068295382765</v>
      </c>
      <c r="R165" s="616">
        <f t="shared" si="44"/>
        <v>0.43671076141605103</v>
      </c>
      <c r="S165" s="12"/>
      <c r="T165" s="12"/>
      <c r="U165" s="12"/>
      <c r="V165" s="12"/>
      <c r="W165" s="12"/>
      <c r="X165" s="12"/>
      <c r="Y165" s="12"/>
      <c r="Z165" s="12"/>
      <c r="AA165" s="12"/>
      <c r="AB165" s="12"/>
    </row>
    <row r="166" spans="1:28" ht="14.25" customHeight="1">
      <c r="A166" s="12"/>
      <c r="B166" s="12"/>
      <c r="C166" s="12"/>
      <c r="D166" s="919"/>
      <c r="E166" s="763">
        <f>$E$164*(1+(2*$E$153))</f>
        <v>17.605533922714063</v>
      </c>
      <c r="F166" s="738">
        <v>295.04573559677436</v>
      </c>
      <c r="G166" s="739">
        <v>312.65126951948844</v>
      </c>
      <c r="H166" s="739">
        <v>330.25680344220251</v>
      </c>
      <c r="I166" s="739">
        <v>347.86233736491658</v>
      </c>
      <c r="J166" s="740">
        <v>365.46787128763066</v>
      </c>
      <c r="K166" s="12"/>
      <c r="L166" s="919"/>
      <c r="M166" s="763">
        <f t="shared" si="43"/>
        <v>17.605533922714063</v>
      </c>
      <c r="N166" s="741">
        <f t="shared" si="44"/>
        <v>0.2653132155278084</v>
      </c>
      <c r="O166" s="613">
        <f t="shared" si="44"/>
        <v>0.34081511930477926</v>
      </c>
      <c r="P166" s="613">
        <f t="shared" si="44"/>
        <v>0.41631702308175011</v>
      </c>
      <c r="Q166" s="613">
        <f t="shared" si="44"/>
        <v>0.49181892685872097</v>
      </c>
      <c r="R166" s="742">
        <f t="shared" si="44"/>
        <v>0.56732083063569205</v>
      </c>
      <c r="S166" s="12"/>
      <c r="T166" s="12"/>
      <c r="U166" s="12"/>
      <c r="V166" s="12"/>
      <c r="W166" s="12"/>
      <c r="X166" s="12"/>
      <c r="Y166" s="12"/>
      <c r="Z166" s="12"/>
      <c r="AA166" s="12"/>
      <c r="AB166" s="12"/>
    </row>
    <row r="167" spans="1:28"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4.25" customHeight="1">
      <c r="A168" s="12"/>
      <c r="B168" s="12"/>
      <c r="C168" s="12"/>
      <c r="D168" s="535"/>
      <c r="E168" s="537"/>
      <c r="F168" s="915" t="str">
        <f>G144&amp;" P/E Spread to Comps"</f>
        <v>NTM P/E Spread to Comps</v>
      </c>
      <c r="G168" s="916"/>
      <c r="H168" s="916"/>
      <c r="I168" s="916"/>
      <c r="J168" s="916"/>
      <c r="K168" s="12"/>
      <c r="L168" s="535"/>
      <c r="M168" s="537"/>
      <c r="N168" s="915" t="str">
        <f t="shared" ref="N168:N169" si="45">F168</f>
        <v>NTM P/E Spread to Comps</v>
      </c>
      <c r="O168" s="916"/>
      <c r="P168" s="916"/>
      <c r="Q168" s="916"/>
      <c r="R168" s="916"/>
      <c r="S168" s="12"/>
      <c r="T168" s="12"/>
      <c r="U168" s="12"/>
      <c r="V168" s="12"/>
      <c r="W168" s="12"/>
      <c r="X168" s="12"/>
      <c r="Y168" s="12"/>
      <c r="Z168" s="12"/>
      <c r="AA168" s="12"/>
      <c r="AB168" s="12"/>
    </row>
    <row r="169" spans="1:28" ht="14.25" customHeight="1">
      <c r="A169" s="12"/>
      <c r="B169" s="12"/>
      <c r="C169" s="12"/>
      <c r="D169" s="12"/>
      <c r="E169" s="722" t="str">
        <f ca="1">$J$126</f>
        <v/>
      </c>
      <c r="F169" s="723">
        <f t="shared" ref="F169:G169" si="46">G169-$E$93</f>
        <v>17.283940256856489</v>
      </c>
      <c r="G169" s="723">
        <f t="shared" si="46"/>
        <v>18.283940256856489</v>
      </c>
      <c r="H169" s="724">
        <v>19.283940256856489</v>
      </c>
      <c r="I169" s="723">
        <f t="shared" ref="I169:J169" si="47">H169+$E$93</f>
        <v>20.283940256856489</v>
      </c>
      <c r="J169" s="723">
        <f t="shared" si="47"/>
        <v>21.283940256856489</v>
      </c>
      <c r="K169" s="12"/>
      <c r="L169" s="12"/>
      <c r="M169" s="722">
        <f>$H$73</f>
        <v>0</v>
      </c>
      <c r="N169" s="723">
        <f t="shared" si="45"/>
        <v>17.283940256856489</v>
      </c>
      <c r="O169" s="723">
        <f t="shared" ref="O169:R169" si="48">G169</f>
        <v>18.283940256856489</v>
      </c>
      <c r="P169" s="723">
        <f t="shared" si="48"/>
        <v>19.283940256856489</v>
      </c>
      <c r="Q169" s="723">
        <f t="shared" si="48"/>
        <v>20.283940256856489</v>
      </c>
      <c r="R169" s="723">
        <f t="shared" si="48"/>
        <v>21.283940256856489</v>
      </c>
      <c r="S169" s="12"/>
      <c r="T169" s="12"/>
      <c r="U169" s="12"/>
      <c r="V169" s="12"/>
      <c r="W169" s="12"/>
      <c r="X169" s="12"/>
      <c r="Y169" s="12"/>
      <c r="Z169" s="12"/>
      <c r="AA169" s="12"/>
      <c r="AB169" s="12"/>
    </row>
    <row r="170" spans="1:28" ht="14.25" customHeight="1">
      <c r="A170" s="12"/>
      <c r="B170" s="12"/>
      <c r="C170" s="12"/>
      <c r="D170" s="917" t="s">
        <v>397</v>
      </c>
      <c r="E170" s="763">
        <f>$E$172*(1-(2*$E$153))</f>
        <v>11.73702261514271</v>
      </c>
      <c r="F170" s="727">
        <v>202.8619976735001</v>
      </c>
      <c r="G170" s="728">
        <v>214.59902028864283</v>
      </c>
      <c r="H170" s="728">
        <v>226.33604290378554</v>
      </c>
      <c r="I170" s="728">
        <v>238.07306551892825</v>
      </c>
      <c r="J170" s="729">
        <v>249.81008813407095</v>
      </c>
      <c r="K170" s="12"/>
      <c r="L170" s="917" t="s">
        <v>397</v>
      </c>
      <c r="M170" s="763">
        <f t="shared" ref="M170:M174" si="49">E170</f>
        <v>11.73702261514271</v>
      </c>
      <c r="N170" s="730">
        <f t="shared" ref="N170:R174" si="50">F170/Share_Price-1</f>
        <v>-0.13001973722660565</v>
      </c>
      <c r="O170" s="605">
        <f t="shared" si="50"/>
        <v>-7.9685134708624927E-2</v>
      </c>
      <c r="P170" s="605">
        <f t="shared" si="50"/>
        <v>-2.9350532190644429E-2</v>
      </c>
      <c r="Q170" s="605">
        <f t="shared" si="50"/>
        <v>2.0984070327336068E-2</v>
      </c>
      <c r="R170" s="731">
        <f t="shared" si="50"/>
        <v>7.1318672845316788E-2</v>
      </c>
      <c r="S170" s="12"/>
      <c r="T170" s="12"/>
      <c r="U170" s="12"/>
      <c r="V170" s="12"/>
      <c r="W170" s="12"/>
      <c r="X170" s="12"/>
      <c r="Y170" s="12"/>
      <c r="Z170" s="12"/>
      <c r="AA170" s="12"/>
      <c r="AB170" s="12"/>
    </row>
    <row r="171" spans="1:28" ht="14.25" customHeight="1">
      <c r="A171" s="12"/>
      <c r="B171" s="12"/>
      <c r="C171" s="12"/>
      <c r="D171" s="918"/>
      <c r="E171" s="763">
        <f>$E$172*(1-$E$153)</f>
        <v>13.204150442035548</v>
      </c>
      <c r="F171" s="732">
        <v>228.21974738268761</v>
      </c>
      <c r="G171" s="733">
        <v>241.42389782472316</v>
      </c>
      <c r="H171" s="733">
        <v>254.62804826675873</v>
      </c>
      <c r="I171" s="733">
        <v>267.83219870879424</v>
      </c>
      <c r="J171" s="734">
        <v>281.03634915082984</v>
      </c>
      <c r="K171" s="12"/>
      <c r="L171" s="918"/>
      <c r="M171" s="763">
        <f t="shared" si="49"/>
        <v>13.204150442035548</v>
      </c>
      <c r="N171" s="735">
        <f t="shared" si="50"/>
        <v>-2.1272204379931381E-2</v>
      </c>
      <c r="O171" s="497">
        <f t="shared" si="50"/>
        <v>3.5354223452796818E-2</v>
      </c>
      <c r="P171" s="497">
        <f t="shared" si="50"/>
        <v>9.1980651285525017E-2</v>
      </c>
      <c r="Q171" s="497">
        <f t="shared" si="50"/>
        <v>0.14860707911825299</v>
      </c>
      <c r="R171" s="616">
        <f t="shared" si="50"/>
        <v>0.20523350695098141</v>
      </c>
      <c r="S171" s="12"/>
      <c r="T171" s="12"/>
      <c r="U171" s="12"/>
      <c r="V171" s="12"/>
      <c r="W171" s="12"/>
      <c r="X171" s="12"/>
      <c r="Y171" s="12"/>
      <c r="Z171" s="12"/>
      <c r="AA171" s="12"/>
      <c r="AB171" s="12"/>
    </row>
    <row r="172" spans="1:28" ht="14.25" customHeight="1">
      <c r="A172" s="12"/>
      <c r="B172" s="12"/>
      <c r="C172" s="12"/>
      <c r="D172" s="918"/>
      <c r="E172" s="764">
        <v>14.671278268928386</v>
      </c>
      <c r="F172" s="732">
        <v>253.57749709187513</v>
      </c>
      <c r="G172" s="733">
        <v>268.24877536080351</v>
      </c>
      <c r="H172" s="733">
        <v>282.92005362973191</v>
      </c>
      <c r="I172" s="733">
        <v>297.59133189866026</v>
      </c>
      <c r="J172" s="734">
        <v>312.26261016758866</v>
      </c>
      <c r="K172" s="12"/>
      <c r="L172" s="918"/>
      <c r="M172" s="763">
        <f t="shared" si="49"/>
        <v>14.671278268928386</v>
      </c>
      <c r="N172" s="735">
        <f t="shared" si="50"/>
        <v>8.7475328466742885E-2</v>
      </c>
      <c r="O172" s="497">
        <f t="shared" si="50"/>
        <v>0.15039358161421856</v>
      </c>
      <c r="P172" s="497">
        <f t="shared" si="50"/>
        <v>0.21331183476169446</v>
      </c>
      <c r="Q172" s="497">
        <f t="shared" si="50"/>
        <v>0.27623008790916992</v>
      </c>
      <c r="R172" s="616">
        <f t="shared" si="50"/>
        <v>0.33914834105664582</v>
      </c>
      <c r="S172" s="12"/>
      <c r="T172" s="12"/>
      <c r="U172" s="12"/>
      <c r="V172" s="12"/>
      <c r="W172" s="12"/>
      <c r="X172" s="12"/>
      <c r="Y172" s="12"/>
      <c r="Z172" s="12"/>
      <c r="AA172" s="12"/>
      <c r="AB172" s="12"/>
    </row>
    <row r="173" spans="1:28" ht="14.25" customHeight="1">
      <c r="A173" s="12"/>
      <c r="B173" s="12"/>
      <c r="C173" s="12"/>
      <c r="D173" s="918"/>
      <c r="E173" s="763">
        <f>$E$172*(1+$E$153)</f>
        <v>16.138406095821225</v>
      </c>
      <c r="F173" s="732">
        <v>278.93524680106265</v>
      </c>
      <c r="G173" s="733">
        <v>295.07365289688386</v>
      </c>
      <c r="H173" s="733">
        <v>311.21205899270507</v>
      </c>
      <c r="I173" s="733">
        <v>327.35046508852628</v>
      </c>
      <c r="J173" s="734">
        <v>343.48887118434754</v>
      </c>
      <c r="K173" s="12"/>
      <c r="L173" s="918"/>
      <c r="M173" s="763">
        <f t="shared" si="49"/>
        <v>16.138406095821225</v>
      </c>
      <c r="N173" s="735">
        <f t="shared" si="50"/>
        <v>0.19622286131341737</v>
      </c>
      <c r="O173" s="497">
        <f t="shared" si="50"/>
        <v>0.26543293977564053</v>
      </c>
      <c r="P173" s="497">
        <f t="shared" si="50"/>
        <v>0.33464301823786369</v>
      </c>
      <c r="Q173" s="497">
        <f t="shared" si="50"/>
        <v>0.40385309670008684</v>
      </c>
      <c r="R173" s="616">
        <f t="shared" si="50"/>
        <v>0.47306317516231045</v>
      </c>
      <c r="S173" s="12"/>
      <c r="T173" s="12"/>
      <c r="U173" s="12"/>
      <c r="V173" s="12"/>
      <c r="W173" s="12"/>
      <c r="X173" s="12"/>
      <c r="Y173" s="12"/>
      <c r="Z173" s="12"/>
      <c r="AA173" s="12"/>
      <c r="AB173" s="12"/>
    </row>
    <row r="174" spans="1:28" ht="14.25" customHeight="1">
      <c r="A174" s="12"/>
      <c r="B174" s="12"/>
      <c r="C174" s="12"/>
      <c r="D174" s="919"/>
      <c r="E174" s="763">
        <f>$E$172*(1+(2*$E$153))</f>
        <v>17.605533922714063</v>
      </c>
      <c r="F174" s="738">
        <v>304.29299651025013</v>
      </c>
      <c r="G174" s="739">
        <v>321.89853043296421</v>
      </c>
      <c r="H174" s="739">
        <v>339.50406435567828</v>
      </c>
      <c r="I174" s="739">
        <v>357.1095982783923</v>
      </c>
      <c r="J174" s="740">
        <v>374.71513220110637</v>
      </c>
      <c r="K174" s="12"/>
      <c r="L174" s="919"/>
      <c r="M174" s="763">
        <f t="shared" si="49"/>
        <v>17.605533922714063</v>
      </c>
      <c r="N174" s="741">
        <f t="shared" si="50"/>
        <v>0.30497039416009142</v>
      </c>
      <c r="O174" s="613">
        <f t="shared" si="50"/>
        <v>0.38047229793706228</v>
      </c>
      <c r="P174" s="613">
        <f t="shared" si="50"/>
        <v>0.45597420171403313</v>
      </c>
      <c r="Q174" s="613">
        <f t="shared" si="50"/>
        <v>0.53147610549100399</v>
      </c>
      <c r="R174" s="742">
        <f t="shared" si="50"/>
        <v>0.60697800926797485</v>
      </c>
      <c r="S174" s="12"/>
      <c r="T174" s="12"/>
      <c r="U174" s="12"/>
      <c r="V174" s="12"/>
      <c r="W174" s="12"/>
      <c r="X174" s="12"/>
      <c r="Y174" s="12"/>
      <c r="Z174" s="12"/>
      <c r="AA174" s="12"/>
      <c r="AB174" s="12"/>
    </row>
    <row r="175" spans="1:28"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4.25" customHeight="1">
      <c r="A176" s="12"/>
      <c r="B176" s="12"/>
      <c r="C176" s="12"/>
      <c r="D176" s="535"/>
      <c r="E176" s="537"/>
      <c r="F176" s="915" t="str">
        <f>G144&amp;" EV/EBITDA"</f>
        <v>NTM EV/EBITDA</v>
      </c>
      <c r="G176" s="916"/>
      <c r="H176" s="916"/>
      <c r="I176" s="916"/>
      <c r="J176" s="916"/>
      <c r="K176" s="12"/>
      <c r="L176" s="535"/>
      <c r="M176" s="537"/>
      <c r="N176" s="915" t="str">
        <f t="shared" ref="N176:N177" si="51">F176</f>
        <v>NTM EV/EBITDA</v>
      </c>
      <c r="O176" s="916"/>
      <c r="P176" s="916"/>
      <c r="Q176" s="916"/>
      <c r="R176" s="916"/>
      <c r="S176" s="12"/>
      <c r="T176" s="12"/>
      <c r="U176" s="12"/>
      <c r="V176" s="12"/>
      <c r="W176" s="12"/>
      <c r="X176" s="12"/>
      <c r="Y176" s="12"/>
      <c r="Z176" s="12"/>
      <c r="AA176" s="12"/>
      <c r="AB176" s="12"/>
    </row>
    <row r="177" spans="1:28" ht="14.25" customHeight="1">
      <c r="A177" s="12"/>
      <c r="B177" s="12"/>
      <c r="C177" s="12"/>
      <c r="D177" s="12"/>
      <c r="E177" s="722" t="str">
        <f ca="1">$N$137</f>
        <v/>
      </c>
      <c r="F177" s="723">
        <f t="shared" ref="F177:G177" si="52">G177-$E$93</f>
        <v>10.439849999999998</v>
      </c>
      <c r="G177" s="723">
        <f t="shared" si="52"/>
        <v>11.439849999999998</v>
      </c>
      <c r="H177" s="724">
        <v>12.439849999999998</v>
      </c>
      <c r="I177" s="723">
        <f t="shared" ref="I177:J177" si="53">H177+$E$93</f>
        <v>13.439849999999998</v>
      </c>
      <c r="J177" s="723">
        <f t="shared" si="53"/>
        <v>14.439849999999998</v>
      </c>
      <c r="K177" s="12"/>
      <c r="L177" s="12"/>
      <c r="M177" s="722">
        <f>$H$73</f>
        <v>0</v>
      </c>
      <c r="N177" s="723">
        <f t="shared" si="51"/>
        <v>10.439849999999998</v>
      </c>
      <c r="O177" s="723">
        <f t="shared" ref="O177:R177" si="54">G177</f>
        <v>11.439849999999998</v>
      </c>
      <c r="P177" s="723">
        <f t="shared" si="54"/>
        <v>12.439849999999998</v>
      </c>
      <c r="Q177" s="723">
        <f t="shared" si="54"/>
        <v>13.439849999999998</v>
      </c>
      <c r="R177" s="723">
        <f t="shared" si="54"/>
        <v>14.439849999999998</v>
      </c>
      <c r="S177" s="12"/>
      <c r="T177" s="12"/>
      <c r="U177" s="12"/>
      <c r="V177" s="12"/>
      <c r="W177" s="12"/>
      <c r="X177" s="12"/>
      <c r="Y177" s="12"/>
      <c r="Z177" s="12"/>
      <c r="AA177" s="12"/>
      <c r="AB177" s="12"/>
    </row>
    <row r="178" spans="1:28" ht="14.25" customHeight="1">
      <c r="A178" s="12"/>
      <c r="B178" s="12"/>
      <c r="C178" s="12"/>
      <c r="D178" s="917" t="s">
        <v>292</v>
      </c>
      <c r="E178" s="700">
        <f>$E$180*(1-(2*$K$153))</f>
        <v>12087.035287774353</v>
      </c>
      <c r="F178" s="727">
        <v>155.53010888594085</v>
      </c>
      <c r="G178" s="728">
        <v>172.99692288561477</v>
      </c>
      <c r="H178" s="728">
        <v>190.46373688528865</v>
      </c>
      <c r="I178" s="728">
        <v>207.93055088496263</v>
      </c>
      <c r="J178" s="729">
        <v>225.39736488463652</v>
      </c>
      <c r="K178" s="12"/>
      <c r="L178" s="917" t="s">
        <v>292</v>
      </c>
      <c r="M178" s="700">
        <f t="shared" ref="M178:M182" si="55">E178</f>
        <v>12087.035287774353</v>
      </c>
      <c r="N178" s="730">
        <f t="shared" ref="N178:R182" si="56">F178/Share_Price-1</f>
        <v>-0.33300407888351979</v>
      </c>
      <c r="O178" s="605">
        <f t="shared" si="56"/>
        <v>-0.2580970799999367</v>
      </c>
      <c r="P178" s="605">
        <f t="shared" si="56"/>
        <v>-0.18319008111635371</v>
      </c>
      <c r="Q178" s="605">
        <f t="shared" si="56"/>
        <v>-0.10828308223277028</v>
      </c>
      <c r="R178" s="731">
        <f t="shared" si="56"/>
        <v>-3.3376083349187291E-2</v>
      </c>
      <c r="S178" s="12"/>
      <c r="T178" s="12"/>
      <c r="U178" s="12"/>
      <c r="V178" s="12"/>
      <c r="W178" s="12"/>
      <c r="X178" s="12"/>
      <c r="Y178" s="12"/>
      <c r="Z178" s="12"/>
      <c r="AA178" s="12"/>
      <c r="AB178" s="12"/>
    </row>
    <row r="179" spans="1:28" ht="14.25" customHeight="1">
      <c r="A179" s="12"/>
      <c r="B179" s="12"/>
      <c r="C179" s="12"/>
      <c r="D179" s="918"/>
      <c r="E179" s="700">
        <f>$E$180*(1-$K$153)</f>
        <v>13597.914698746146</v>
      </c>
      <c r="F179" s="732">
        <v>178.32397365275278</v>
      </c>
      <c r="G179" s="733">
        <v>197.97413940238593</v>
      </c>
      <c r="H179" s="733">
        <v>217.6243051520191</v>
      </c>
      <c r="I179" s="733">
        <v>237.27447090165225</v>
      </c>
      <c r="J179" s="734">
        <v>256.92463665128543</v>
      </c>
      <c r="K179" s="12"/>
      <c r="L179" s="918"/>
      <c r="M179" s="700">
        <f t="shared" si="55"/>
        <v>13597.914698746146</v>
      </c>
      <c r="N179" s="735">
        <f t="shared" si="56"/>
        <v>-0.23525184984667302</v>
      </c>
      <c r="O179" s="497">
        <f t="shared" si="56"/>
        <v>-0.15098147610264201</v>
      </c>
      <c r="P179" s="497">
        <f t="shared" si="56"/>
        <v>-6.6711102358610996E-2</v>
      </c>
      <c r="Q179" s="497">
        <f t="shared" si="56"/>
        <v>1.7559271385420017E-2</v>
      </c>
      <c r="R179" s="616">
        <f t="shared" si="56"/>
        <v>0.10182964512945114</v>
      </c>
      <c r="S179" s="12"/>
      <c r="T179" s="12"/>
      <c r="U179" s="12"/>
      <c r="V179" s="12"/>
      <c r="W179" s="12"/>
      <c r="X179" s="12"/>
      <c r="Y179" s="12"/>
      <c r="Z179" s="12"/>
      <c r="AA179" s="12"/>
      <c r="AB179" s="12"/>
    </row>
    <row r="180" spans="1:28" ht="14.25" customHeight="1">
      <c r="A180" s="12"/>
      <c r="B180" s="12"/>
      <c r="C180" s="12"/>
      <c r="D180" s="918"/>
      <c r="E180" s="765">
        <v>15108.794109717941</v>
      </c>
      <c r="F180" s="732">
        <v>201.11783841956475</v>
      </c>
      <c r="G180" s="733">
        <v>222.95135591915715</v>
      </c>
      <c r="H180" s="733">
        <v>244.78487341874956</v>
      </c>
      <c r="I180" s="733">
        <v>266.61839091834196</v>
      </c>
      <c r="J180" s="734">
        <v>288.45190841793436</v>
      </c>
      <c r="K180" s="12"/>
      <c r="L180" s="918"/>
      <c r="M180" s="700">
        <f t="shared" si="55"/>
        <v>15108.794109717941</v>
      </c>
      <c r="N180" s="735">
        <f t="shared" si="56"/>
        <v>-0.13749962080982614</v>
      </c>
      <c r="O180" s="497">
        <f t="shared" si="56"/>
        <v>-4.3865872205347212E-2</v>
      </c>
      <c r="P180" s="497">
        <f t="shared" si="56"/>
        <v>4.9767876399131827E-2</v>
      </c>
      <c r="Q180" s="497">
        <f t="shared" si="56"/>
        <v>0.14340162500361076</v>
      </c>
      <c r="R180" s="616">
        <f t="shared" si="56"/>
        <v>0.23703537360808968</v>
      </c>
      <c r="S180" s="12"/>
      <c r="T180" s="12"/>
      <c r="U180" s="12"/>
      <c r="V180" s="12"/>
      <c r="W180" s="12"/>
      <c r="X180" s="12"/>
      <c r="Y180" s="12"/>
      <c r="Z180" s="12"/>
      <c r="AA180" s="12"/>
      <c r="AB180" s="12"/>
    </row>
    <row r="181" spans="1:28" ht="14.25" customHeight="1">
      <c r="A181" s="12"/>
      <c r="B181" s="12"/>
      <c r="C181" s="12"/>
      <c r="D181" s="918"/>
      <c r="E181" s="700">
        <f>$E$180*(1+$K$153)</f>
        <v>16619.673520689736</v>
      </c>
      <c r="F181" s="732">
        <v>223.91170318637674</v>
      </c>
      <c r="G181" s="733">
        <v>247.92857243592837</v>
      </c>
      <c r="H181" s="733">
        <v>271.94544168548003</v>
      </c>
      <c r="I181" s="733">
        <v>295.96231093503167</v>
      </c>
      <c r="J181" s="734">
        <v>319.9791801845833</v>
      </c>
      <c r="K181" s="12"/>
      <c r="L181" s="918"/>
      <c r="M181" s="700">
        <f t="shared" si="55"/>
        <v>16619.673520689736</v>
      </c>
      <c r="N181" s="735">
        <f t="shared" si="56"/>
        <v>-3.9747391772979146E-2</v>
      </c>
      <c r="O181" s="497">
        <f t="shared" si="56"/>
        <v>6.3249731691947808E-2</v>
      </c>
      <c r="P181" s="497">
        <f t="shared" si="56"/>
        <v>0.16624685515687454</v>
      </c>
      <c r="Q181" s="497">
        <f t="shared" si="56"/>
        <v>0.26924397862180149</v>
      </c>
      <c r="R181" s="616">
        <f t="shared" si="56"/>
        <v>0.37224110208672823</v>
      </c>
      <c r="S181" s="12"/>
      <c r="T181" s="12"/>
      <c r="U181" s="12"/>
      <c r="V181" s="12"/>
      <c r="W181" s="12"/>
      <c r="X181" s="12"/>
      <c r="Y181" s="12"/>
      <c r="Z181" s="12"/>
      <c r="AA181" s="12"/>
      <c r="AB181" s="12"/>
    </row>
    <row r="182" spans="1:28" ht="14.25" customHeight="1">
      <c r="A182" s="12"/>
      <c r="B182" s="12"/>
      <c r="C182" s="12"/>
      <c r="D182" s="919"/>
      <c r="E182" s="700">
        <f>$E$180*(1+(2*$K$153))</f>
        <v>18130.552931661528</v>
      </c>
      <c r="F182" s="738">
        <v>246.70556795318871</v>
      </c>
      <c r="G182" s="739">
        <v>272.90578895269954</v>
      </c>
      <c r="H182" s="739">
        <v>299.10600995221046</v>
      </c>
      <c r="I182" s="739">
        <v>325.30623095172132</v>
      </c>
      <c r="J182" s="740">
        <v>351.50645195123218</v>
      </c>
      <c r="K182" s="12"/>
      <c r="L182" s="919"/>
      <c r="M182" s="700">
        <f t="shared" si="55"/>
        <v>18130.552931661528</v>
      </c>
      <c r="N182" s="741">
        <f t="shared" si="56"/>
        <v>5.8004837263867737E-2</v>
      </c>
      <c r="O182" s="613">
        <f t="shared" si="56"/>
        <v>0.17036533558924227</v>
      </c>
      <c r="P182" s="613">
        <f t="shared" si="56"/>
        <v>0.28272583391461725</v>
      </c>
      <c r="Q182" s="613">
        <f t="shared" si="56"/>
        <v>0.39508633223999179</v>
      </c>
      <c r="R182" s="742">
        <f t="shared" si="56"/>
        <v>0.50744683056536655</v>
      </c>
      <c r="S182" s="12"/>
      <c r="T182" s="12"/>
      <c r="U182" s="12"/>
      <c r="V182" s="12"/>
      <c r="W182" s="12"/>
      <c r="X182" s="12"/>
      <c r="Y182" s="12"/>
      <c r="Z182" s="12"/>
      <c r="AA182" s="12"/>
      <c r="AB182" s="12"/>
    </row>
    <row r="183" spans="1:28"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4.25" customHeight="1">
      <c r="A184" s="12"/>
      <c r="B184" s="12"/>
      <c r="C184" s="12"/>
      <c r="D184" s="535"/>
      <c r="E184" s="537"/>
      <c r="F184" s="915" t="str">
        <f>G144&amp;" EV/EBITDA Spread to Comps"</f>
        <v>NTM EV/EBITDA Spread to Comps</v>
      </c>
      <c r="G184" s="916"/>
      <c r="H184" s="916"/>
      <c r="I184" s="916"/>
      <c r="J184" s="916"/>
      <c r="K184" s="12"/>
      <c r="L184" s="535"/>
      <c r="M184" s="537"/>
      <c r="N184" s="915" t="str">
        <f t="shared" ref="N184:N185" si="57">F184</f>
        <v>NTM EV/EBITDA Spread to Comps</v>
      </c>
      <c r="O184" s="916"/>
      <c r="P184" s="916"/>
      <c r="Q184" s="916"/>
      <c r="R184" s="916"/>
      <c r="S184" s="12"/>
      <c r="T184" s="12"/>
      <c r="U184" s="12"/>
      <c r="V184" s="12"/>
      <c r="W184" s="12"/>
      <c r="X184" s="12"/>
      <c r="Y184" s="12"/>
      <c r="Z184" s="12"/>
      <c r="AA184" s="12"/>
      <c r="AB184" s="12"/>
    </row>
    <row r="185" spans="1:28" ht="14.25" customHeight="1">
      <c r="A185" s="12"/>
      <c r="B185" s="12"/>
      <c r="C185" s="12"/>
      <c r="D185" s="12"/>
      <c r="E185" s="722" t="str">
        <f ca="1">$R$137</f>
        <v/>
      </c>
      <c r="F185" s="723">
        <f t="shared" ref="F185:G185" si="58">G185-$E$93</f>
        <v>11.012839604943464</v>
      </c>
      <c r="G185" s="723">
        <f t="shared" si="58"/>
        <v>12.012839604943464</v>
      </c>
      <c r="H185" s="724">
        <v>13.012839604943464</v>
      </c>
      <c r="I185" s="723">
        <f t="shared" ref="I185:J185" si="59">H185+$E$93</f>
        <v>14.012839604943464</v>
      </c>
      <c r="J185" s="723">
        <f t="shared" si="59"/>
        <v>15.012839604943464</v>
      </c>
      <c r="K185" s="12"/>
      <c r="L185" s="12"/>
      <c r="M185" s="722">
        <f>$H$73</f>
        <v>0</v>
      </c>
      <c r="N185" s="723">
        <f t="shared" si="57"/>
        <v>11.012839604943464</v>
      </c>
      <c r="O185" s="723">
        <f t="shared" ref="O185:R185" si="60">G185</f>
        <v>12.012839604943464</v>
      </c>
      <c r="P185" s="723">
        <f t="shared" si="60"/>
        <v>13.012839604943464</v>
      </c>
      <c r="Q185" s="723">
        <f t="shared" si="60"/>
        <v>14.012839604943464</v>
      </c>
      <c r="R185" s="723">
        <f t="shared" si="60"/>
        <v>15.012839604943464</v>
      </c>
      <c r="S185" s="12"/>
      <c r="T185" s="12"/>
      <c r="U185" s="12"/>
      <c r="V185" s="12"/>
      <c r="W185" s="12"/>
      <c r="X185" s="12"/>
      <c r="Y185" s="12"/>
      <c r="Z185" s="12"/>
      <c r="AA185" s="12"/>
      <c r="AB185" s="12"/>
    </row>
    <row r="186" spans="1:28" ht="14.25" customHeight="1">
      <c r="A186" s="12"/>
      <c r="B186" s="12"/>
      <c r="C186" s="12"/>
      <c r="D186" s="917" t="s">
        <v>292</v>
      </c>
      <c r="E186" s="700">
        <f>$E$188*(1-(2*$K$153))</f>
        <v>12087.035287774353</v>
      </c>
      <c r="F186" s="727">
        <v>165.53841173923499</v>
      </c>
      <c r="G186" s="728">
        <v>183.0052257389089</v>
      </c>
      <c r="H186" s="728">
        <v>200.47203973858285</v>
      </c>
      <c r="I186" s="728">
        <v>217.93885373825677</v>
      </c>
      <c r="J186" s="729">
        <v>235.40566773793071</v>
      </c>
      <c r="K186" s="12"/>
      <c r="L186" s="917" t="s">
        <v>292</v>
      </c>
      <c r="M186" s="700">
        <f t="shared" ref="M186:M190" si="61">E186</f>
        <v>12087.035287774353</v>
      </c>
      <c r="N186" s="730">
        <f t="shared" ref="N186:R190" si="62">F186/Share_Price-1</f>
        <v>-0.29008314718571493</v>
      </c>
      <c r="O186" s="605">
        <f t="shared" si="62"/>
        <v>-0.21517614830213183</v>
      </c>
      <c r="P186" s="605">
        <f t="shared" si="62"/>
        <v>-0.14026914941854862</v>
      </c>
      <c r="Q186" s="605">
        <f t="shared" si="62"/>
        <v>-6.5362150534965413E-2</v>
      </c>
      <c r="R186" s="731">
        <f t="shared" si="62"/>
        <v>9.544848348617796E-3</v>
      </c>
      <c r="S186" s="12"/>
      <c r="T186" s="12"/>
      <c r="U186" s="12"/>
      <c r="V186" s="12"/>
      <c r="W186" s="12"/>
      <c r="X186" s="12"/>
      <c r="Y186" s="12"/>
      <c r="Z186" s="12"/>
      <c r="AA186" s="12"/>
      <c r="AB186" s="12"/>
    </row>
    <row r="187" spans="1:28" ht="14.25" customHeight="1">
      <c r="A187" s="12"/>
      <c r="B187" s="12"/>
      <c r="C187" s="12"/>
      <c r="D187" s="918"/>
      <c r="E187" s="700">
        <f>$E$188*(1-$K$153)</f>
        <v>13597.914698746146</v>
      </c>
      <c r="F187" s="732">
        <v>189.58331436270871</v>
      </c>
      <c r="G187" s="733">
        <v>209.23348011234188</v>
      </c>
      <c r="H187" s="733">
        <v>228.88364586197503</v>
      </c>
      <c r="I187" s="733">
        <v>248.53381161160817</v>
      </c>
      <c r="J187" s="734">
        <v>268.18397736124132</v>
      </c>
      <c r="K187" s="12"/>
      <c r="L187" s="918"/>
      <c r="M187" s="700">
        <f t="shared" si="61"/>
        <v>13597.914698746146</v>
      </c>
      <c r="N187" s="735">
        <f t="shared" si="62"/>
        <v>-0.18696580168664256</v>
      </c>
      <c r="O187" s="497">
        <f t="shared" si="62"/>
        <v>-0.10269542794261144</v>
      </c>
      <c r="P187" s="497">
        <f t="shared" si="62"/>
        <v>-1.8425054198580426E-2</v>
      </c>
      <c r="Q187" s="497">
        <f t="shared" si="62"/>
        <v>6.5845319545450476E-2</v>
      </c>
      <c r="R187" s="616">
        <f t="shared" si="62"/>
        <v>0.1501156932894816</v>
      </c>
      <c r="S187" s="12"/>
      <c r="T187" s="12"/>
      <c r="U187" s="12"/>
      <c r="V187" s="12"/>
      <c r="W187" s="12"/>
      <c r="X187" s="12"/>
      <c r="Y187" s="12"/>
      <c r="Z187" s="12"/>
      <c r="AA187" s="12"/>
      <c r="AB187" s="12"/>
    </row>
    <row r="188" spans="1:28" ht="14.25" customHeight="1">
      <c r="A188" s="12"/>
      <c r="B188" s="12"/>
      <c r="C188" s="12"/>
      <c r="D188" s="918"/>
      <c r="E188" s="765">
        <v>15108.794109717941</v>
      </c>
      <c r="F188" s="732">
        <v>213.62821698618245</v>
      </c>
      <c r="G188" s="733">
        <v>235.46173448577485</v>
      </c>
      <c r="H188" s="733">
        <v>257.29525198536726</v>
      </c>
      <c r="I188" s="733">
        <v>279.12876948495966</v>
      </c>
      <c r="J188" s="734">
        <v>300.96228698455207</v>
      </c>
      <c r="K188" s="12"/>
      <c r="L188" s="918"/>
      <c r="M188" s="700">
        <f t="shared" si="61"/>
        <v>15108.794109717941</v>
      </c>
      <c r="N188" s="735">
        <f t="shared" si="62"/>
        <v>-8.3848456187569975E-2</v>
      </c>
      <c r="O188" s="497">
        <f t="shared" si="62"/>
        <v>9.7852924169090638E-3</v>
      </c>
      <c r="P188" s="497">
        <f t="shared" si="62"/>
        <v>0.10341904102138799</v>
      </c>
      <c r="Q188" s="497">
        <f t="shared" si="62"/>
        <v>0.19705278962586692</v>
      </c>
      <c r="R188" s="616">
        <f t="shared" si="62"/>
        <v>0.29068653823034585</v>
      </c>
      <c r="S188" s="12"/>
      <c r="T188" s="12"/>
      <c r="U188" s="12"/>
      <c r="V188" s="12"/>
      <c r="W188" s="12"/>
      <c r="X188" s="12"/>
      <c r="Y188" s="12"/>
      <c r="Z188" s="12"/>
      <c r="AA188" s="12"/>
      <c r="AB188" s="12"/>
    </row>
    <row r="189" spans="1:28" ht="14.25" customHeight="1">
      <c r="A189" s="12"/>
      <c r="B189" s="12"/>
      <c r="C189" s="12"/>
      <c r="D189" s="918"/>
      <c r="E189" s="700">
        <f>$E$188*(1+$K$153)</f>
        <v>16619.673520689736</v>
      </c>
      <c r="F189" s="732">
        <v>237.6731196096562</v>
      </c>
      <c r="G189" s="733">
        <v>261.68998885920786</v>
      </c>
      <c r="H189" s="733">
        <v>285.70685810875949</v>
      </c>
      <c r="I189" s="733">
        <v>309.72372735831112</v>
      </c>
      <c r="J189" s="734">
        <v>333.74059660786276</v>
      </c>
      <c r="K189" s="12"/>
      <c r="L189" s="918"/>
      <c r="M189" s="700">
        <f t="shared" si="61"/>
        <v>16619.673520689736</v>
      </c>
      <c r="N189" s="735">
        <f t="shared" si="62"/>
        <v>1.9268889311502724E-2</v>
      </c>
      <c r="O189" s="497">
        <f t="shared" si="62"/>
        <v>0.12226601277642968</v>
      </c>
      <c r="P189" s="497">
        <f t="shared" si="62"/>
        <v>0.22526313624135641</v>
      </c>
      <c r="Q189" s="497">
        <f t="shared" si="62"/>
        <v>0.32826025970628314</v>
      </c>
      <c r="R189" s="616">
        <f t="shared" si="62"/>
        <v>0.4312573831712101</v>
      </c>
      <c r="S189" s="12"/>
      <c r="T189" s="12"/>
      <c r="U189" s="12"/>
      <c r="V189" s="12"/>
      <c r="W189" s="12"/>
      <c r="X189" s="12"/>
      <c r="Y189" s="12"/>
      <c r="Z189" s="12"/>
      <c r="AA189" s="12"/>
      <c r="AB189" s="12"/>
    </row>
    <row r="190" spans="1:28" ht="14.25" customHeight="1">
      <c r="A190" s="12"/>
      <c r="B190" s="12"/>
      <c r="C190" s="12"/>
      <c r="D190" s="919"/>
      <c r="E190" s="700">
        <f>$E$188*(1+(2*$K$153))</f>
        <v>18130.552931661528</v>
      </c>
      <c r="F190" s="738">
        <v>261.71802223312994</v>
      </c>
      <c r="G190" s="739">
        <v>287.9182432326408</v>
      </c>
      <c r="H190" s="739">
        <v>314.11846423215167</v>
      </c>
      <c r="I190" s="739">
        <v>340.31868523166253</v>
      </c>
      <c r="J190" s="740">
        <v>366.51890623117345</v>
      </c>
      <c r="K190" s="12"/>
      <c r="L190" s="919"/>
      <c r="M190" s="700">
        <f t="shared" si="61"/>
        <v>18130.552931661528</v>
      </c>
      <c r="N190" s="741">
        <f t="shared" si="62"/>
        <v>0.12238623481057531</v>
      </c>
      <c r="O190" s="613">
        <f t="shared" si="62"/>
        <v>0.23474673313594985</v>
      </c>
      <c r="P190" s="613">
        <f t="shared" si="62"/>
        <v>0.34710723146132461</v>
      </c>
      <c r="Q190" s="613">
        <f t="shared" si="62"/>
        <v>0.45946772978669914</v>
      </c>
      <c r="R190" s="742">
        <f t="shared" si="62"/>
        <v>0.57182822811207412</v>
      </c>
      <c r="S190" s="12"/>
      <c r="T190" s="12"/>
      <c r="U190" s="12"/>
      <c r="V190" s="12"/>
      <c r="W190" s="12"/>
      <c r="X190" s="12"/>
      <c r="Y190" s="12"/>
      <c r="Z190" s="12"/>
      <c r="AA190" s="12"/>
      <c r="AB190" s="12"/>
    </row>
    <row r="191" spans="1:28" ht="4.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3.5" customHeight="1">
      <c r="A192" s="211" t="s">
        <v>1</v>
      </c>
      <c r="B192" s="12"/>
      <c r="C192" s="882" t="s">
        <v>895</v>
      </c>
      <c r="D192" s="883"/>
      <c r="E192" s="883"/>
      <c r="F192" s="883"/>
      <c r="G192" s="883"/>
      <c r="H192" s="883"/>
      <c r="I192" s="883"/>
      <c r="J192" s="883"/>
      <c r="K192" s="883"/>
      <c r="L192" s="883"/>
      <c r="M192" s="883"/>
      <c r="N192" s="883"/>
      <c r="O192" s="883"/>
      <c r="P192" s="883"/>
      <c r="Q192" s="883"/>
      <c r="R192" s="883"/>
      <c r="S192" s="211" t="s">
        <v>1</v>
      </c>
      <c r="T192" s="12"/>
      <c r="U192" s="12"/>
      <c r="V192" s="12"/>
      <c r="W192" s="12"/>
      <c r="X192" s="12"/>
      <c r="Y192" s="12"/>
      <c r="Z192" s="12"/>
      <c r="AA192" s="12"/>
      <c r="AB192" s="12"/>
    </row>
    <row r="193" spans="1:28" ht="4.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3.5" customHeight="1">
      <c r="A194" s="12"/>
      <c r="B194" s="12"/>
      <c r="C194" s="12"/>
      <c r="D194" s="874" t="s">
        <v>856</v>
      </c>
      <c r="E194" s="858"/>
      <c r="F194" s="854"/>
      <c r="G194" s="12"/>
      <c r="H194" s="874" t="s">
        <v>857</v>
      </c>
      <c r="I194" s="858"/>
      <c r="J194" s="854"/>
      <c r="K194" s="12"/>
      <c r="L194" s="874" t="s">
        <v>140</v>
      </c>
      <c r="M194" s="858"/>
      <c r="N194" s="854"/>
      <c r="O194" s="12"/>
      <c r="P194" s="874" t="s">
        <v>858</v>
      </c>
      <c r="Q194" s="858"/>
      <c r="R194" s="858"/>
      <c r="S194" s="141"/>
      <c r="T194" s="12"/>
      <c r="U194" s="12"/>
      <c r="V194" s="12"/>
      <c r="W194" s="12"/>
      <c r="X194" s="12"/>
      <c r="Y194" s="12"/>
      <c r="Z194" s="12"/>
      <c r="AA194" s="12"/>
      <c r="AB194" s="12"/>
    </row>
    <row r="195" spans="1:28" ht="4.5" customHeight="1">
      <c r="A195" s="12"/>
      <c r="B195" s="12"/>
      <c r="C195" s="12"/>
      <c r="D195" s="143"/>
      <c r="E195" s="101"/>
      <c r="F195" s="229"/>
      <c r="G195" s="12"/>
      <c r="H195" s="143"/>
      <c r="I195" s="101"/>
      <c r="J195" s="229"/>
      <c r="K195" s="12"/>
      <c r="L195" s="143"/>
      <c r="M195" s="101"/>
      <c r="N195" s="229"/>
      <c r="O195" s="12"/>
      <c r="P195" s="143"/>
      <c r="Q195" s="101"/>
      <c r="R195" s="101"/>
      <c r="S195" s="141"/>
      <c r="T195" s="12"/>
      <c r="U195" s="12"/>
      <c r="V195" s="12"/>
      <c r="W195" s="12"/>
      <c r="X195" s="12"/>
      <c r="Y195" s="12"/>
      <c r="Z195" s="12"/>
      <c r="AA195" s="12"/>
      <c r="AB195" s="12"/>
    </row>
    <row r="196" spans="1:28" ht="13.5" customHeight="1">
      <c r="A196" s="12"/>
      <c r="B196" s="12"/>
      <c r="C196" s="12"/>
      <c r="D196" s="141" t="s">
        <v>859</v>
      </c>
      <c r="E196" s="12"/>
      <c r="F196" s="745">
        <f>$D$11</f>
        <v>18.639800000000001</v>
      </c>
      <c r="G196" s="12"/>
      <c r="H196" s="750" t="s">
        <v>896</v>
      </c>
      <c r="I196" s="12"/>
      <c r="J196" s="745">
        <f t="array" ref="J196">INDEX(Company_Cyclical_Multiples_Data,MATCH(CONCATENATE($G$220," ",$G$221),'Multiples Data'!$C$14:$C$26,0),MATCH(CONCATENATE(Valuation!$G$222," P/E"),'Multiples Data'!$C$14:$H$14,0))</f>
        <v>16.548837499999998</v>
      </c>
      <c r="K196" s="12"/>
      <c r="L196" s="141" t="s">
        <v>859</v>
      </c>
      <c r="M196" s="12"/>
      <c r="N196" s="745">
        <f>$D$12</f>
        <v>12.4849</v>
      </c>
      <c r="O196" s="12"/>
      <c r="P196" s="750" t="s">
        <v>896</v>
      </c>
      <c r="Q196" s="12"/>
      <c r="R196" s="745">
        <f t="array" ref="R196">INDEX(Company_Cyclical_Multiples_Data,MATCH(CONCATENATE($G$220," ",$G$221),'Multiples Data'!$C$14:$C$26,0),MATCH(CONCATENATE(Valuation!$G$222," EV/EBITDA"),'Multiples Data'!$C$14:$H$14,0))</f>
        <v>7.4082874999999992</v>
      </c>
      <c r="S196" s="141"/>
      <c r="T196" s="12"/>
      <c r="U196" s="12"/>
      <c r="V196" s="12"/>
      <c r="W196" s="12"/>
      <c r="X196" s="12"/>
      <c r="Y196" s="12"/>
      <c r="Z196" s="12"/>
      <c r="AA196" s="12"/>
      <c r="AB196" s="12"/>
    </row>
    <row r="197" spans="1:28" ht="13.5" customHeight="1">
      <c r="A197" s="12"/>
      <c r="B197" s="12"/>
      <c r="C197" s="12"/>
      <c r="D197" s="750" t="s">
        <v>897</v>
      </c>
      <c r="E197" s="12"/>
      <c r="F197" s="745">
        <f t="array" ref="F197">INDEX(Company_Cyclical_Multiples_Data,MATCH(CONCATENATE($G$220," ",$G$221),'Multiples Data'!$C$14:$C$26,0),MATCH(CONCATENATE(Valuation!$G$222," P/E"),'Multiples Data'!$C$14:$H$14,0))</f>
        <v>16.548837499999998</v>
      </c>
      <c r="G197" s="12"/>
      <c r="H197" s="750" t="s">
        <v>898</v>
      </c>
      <c r="I197" s="12"/>
      <c r="J197" s="745">
        <f t="array" ref="J197">INDEX($J$220:$O$222,2,MATCH($G$223,$J$220:$O$220,0))</f>
        <v>17.335633750000007</v>
      </c>
      <c r="K197" s="12"/>
      <c r="L197" s="141" t="s">
        <v>897</v>
      </c>
      <c r="M197" s="12"/>
      <c r="N197" s="745">
        <f t="array" ref="N197">INDEX(Company_Cyclical_Multiples_Data,MATCH(CONCATENATE($G$220," ",$G$221),'Multiples Data'!$C$14:$C$26,0),MATCH(CONCATENATE(Valuation!$G$222," EV/EBITDA"),'Multiples Data'!$C$14:$H$14,0))</f>
        <v>7.4082874999999992</v>
      </c>
      <c r="O197" s="12"/>
      <c r="P197" s="750" t="s">
        <v>898</v>
      </c>
      <c r="Q197" s="12"/>
      <c r="R197" s="745">
        <f t="array" ref="R197">INDEX($J$220:$O$222,3,MATCH($G$223,$J$220:$O$220,0))</f>
        <v>9.083377500000001</v>
      </c>
      <c r="S197" s="141"/>
      <c r="T197" s="12"/>
      <c r="U197" s="12"/>
      <c r="V197" s="12"/>
      <c r="W197" s="12"/>
      <c r="X197" s="12"/>
      <c r="Y197" s="12"/>
      <c r="Z197" s="12"/>
      <c r="AA197" s="12"/>
      <c r="AB197" s="12"/>
    </row>
    <row r="198" spans="1:28" ht="13.5" customHeight="1">
      <c r="A198" s="12"/>
      <c r="B198" s="12"/>
      <c r="C198" s="12"/>
      <c r="D198" s="253" t="s">
        <v>863</v>
      </c>
      <c r="E198" s="249"/>
      <c r="F198" s="746">
        <f>F196/F197-1</f>
        <v>0.12635102012452548</v>
      </c>
      <c r="G198" s="12"/>
      <c r="H198" s="253" t="s">
        <v>864</v>
      </c>
      <c r="I198" s="12"/>
      <c r="J198" s="747">
        <f>J196/J197-1</f>
        <v>-4.5386067873059988E-2</v>
      </c>
      <c r="K198" s="12"/>
      <c r="L198" s="253" t="s">
        <v>863</v>
      </c>
      <c r="M198" s="249"/>
      <c r="N198" s="746">
        <f>N196/N197-1</f>
        <v>0.68526126989537062</v>
      </c>
      <c r="O198" s="12"/>
      <c r="P198" s="253" t="s">
        <v>864</v>
      </c>
      <c r="Q198" s="12"/>
      <c r="R198" s="746">
        <f>R196/R197-1</f>
        <v>-0.18441268129613697</v>
      </c>
      <c r="S198" s="141"/>
      <c r="T198" s="12"/>
      <c r="U198" s="12"/>
      <c r="V198" s="12"/>
      <c r="W198" s="12"/>
      <c r="X198" s="12"/>
      <c r="Y198" s="12"/>
      <c r="Z198" s="12"/>
      <c r="AA198" s="12"/>
      <c r="AB198" s="12"/>
    </row>
    <row r="199" spans="1:28" ht="13.5" customHeight="1">
      <c r="A199" s="12"/>
      <c r="B199" s="12"/>
      <c r="C199" s="12"/>
      <c r="D199" s="253" t="s">
        <v>865</v>
      </c>
      <c r="E199" s="249"/>
      <c r="F199" s="748">
        <v>0</v>
      </c>
      <c r="G199" s="12"/>
      <c r="H199" s="141" t="s">
        <v>866</v>
      </c>
      <c r="I199" s="12"/>
      <c r="J199" s="745">
        <f>IF($G$223=$K$220,$E$11,IF($G$223=$M$220,$E$16,IF($G$223=$O$220,$E$21,"N/A")))</f>
        <v>22.233219999999996</v>
      </c>
      <c r="K199" s="12"/>
      <c r="L199" s="253" t="s">
        <v>865</v>
      </c>
      <c r="M199" s="249"/>
      <c r="N199" s="748">
        <v>0</v>
      </c>
      <c r="O199" s="12"/>
      <c r="P199" s="141" t="s">
        <v>866</v>
      </c>
      <c r="Q199" s="12"/>
      <c r="R199" s="745">
        <f>IF($G$223=$K$220,$E$12,IF($G$223=$M$220,$E$17,IF($G$223=$O$220,$E$22,"N/A")))</f>
        <v>15.517159999999999</v>
      </c>
      <c r="S199" s="141"/>
      <c r="T199" s="12"/>
      <c r="U199" s="12"/>
      <c r="V199" s="12"/>
      <c r="W199" s="12"/>
      <c r="X199" s="12"/>
      <c r="Y199" s="12"/>
      <c r="Z199" s="12"/>
      <c r="AA199" s="12"/>
      <c r="AB199" s="12"/>
    </row>
    <row r="200" spans="1:28" ht="13.5" customHeight="1">
      <c r="A200" s="12"/>
      <c r="B200" s="12"/>
      <c r="C200" s="12"/>
      <c r="D200" s="141"/>
      <c r="E200" s="12"/>
      <c r="F200" s="142"/>
      <c r="G200" s="12"/>
      <c r="H200" s="141"/>
      <c r="I200" s="12"/>
      <c r="J200" s="142"/>
      <c r="K200" s="12"/>
      <c r="L200" s="141"/>
      <c r="M200" s="12"/>
      <c r="N200" s="142"/>
      <c r="O200" s="12"/>
      <c r="P200" s="141"/>
      <c r="Q200" s="12"/>
      <c r="R200" s="142"/>
      <c r="S200" s="141"/>
      <c r="T200" s="12"/>
      <c r="U200" s="12"/>
      <c r="V200" s="12"/>
      <c r="W200" s="12"/>
      <c r="X200" s="12"/>
      <c r="Y200" s="12"/>
      <c r="Z200" s="12"/>
      <c r="AA200" s="12"/>
      <c r="AB200" s="12"/>
    </row>
    <row r="201" spans="1:28" ht="13.5" customHeight="1">
      <c r="A201" s="12"/>
      <c r="B201" s="12"/>
      <c r="C201" s="12"/>
      <c r="D201" s="141" t="s">
        <v>867</v>
      </c>
      <c r="E201" s="12"/>
      <c r="F201" s="745">
        <f>F197*(1+F199)</f>
        <v>16.548837499999998</v>
      </c>
      <c r="G201" s="12"/>
      <c r="H201" s="141" t="s">
        <v>867</v>
      </c>
      <c r="I201" s="12"/>
      <c r="J201" s="745">
        <f>J199*(1+J198)</f>
        <v>21.224141568043322</v>
      </c>
      <c r="K201" s="12"/>
      <c r="L201" s="141" t="s">
        <v>867</v>
      </c>
      <c r="M201" s="12"/>
      <c r="N201" s="745">
        <f>N197*(1+N199)</f>
        <v>7.4082874999999992</v>
      </c>
      <c r="O201" s="12"/>
      <c r="P201" s="141" t="s">
        <v>867</v>
      </c>
      <c r="Q201" s="12"/>
      <c r="R201" s="745">
        <f>R199*(1+R198)</f>
        <v>12.655598918298834</v>
      </c>
      <c r="S201" s="141"/>
      <c r="T201" s="12"/>
      <c r="U201" s="12"/>
      <c r="V201" s="12"/>
      <c r="W201" s="12"/>
      <c r="X201" s="12"/>
      <c r="Y201" s="12"/>
      <c r="Z201" s="12"/>
      <c r="AA201" s="12"/>
      <c r="AB201" s="12"/>
    </row>
    <row r="202" spans="1:28" ht="13.5" customHeight="1">
      <c r="A202" s="12"/>
      <c r="B202" s="12"/>
      <c r="C202" s="12"/>
      <c r="D202" s="141" t="s">
        <v>868</v>
      </c>
      <c r="E202" s="12"/>
      <c r="F202" s="749" t="str">
        <f ca="1">SUM(NTM_EPS)</f>
        <v/>
      </c>
      <c r="G202" s="12"/>
      <c r="H202" s="141" t="s">
        <v>868</v>
      </c>
      <c r="I202" s="12"/>
      <c r="J202" s="749" t="str">
        <f ca="1">SUM(NTM_EPS)</f>
        <v/>
      </c>
      <c r="K202" s="12"/>
      <c r="L202" s="750" t="s">
        <v>869</v>
      </c>
      <c r="M202" s="12"/>
      <c r="N202" s="751" t="str">
        <f ca="1">SUM(NTM_EBITDA)</f>
        <v/>
      </c>
      <c r="O202" s="12"/>
      <c r="P202" s="141" t="s">
        <v>869</v>
      </c>
      <c r="Q202" s="12"/>
      <c r="R202" s="751" t="str">
        <f ca="1">SUM(NTM_EBITDA)</f>
        <v/>
      </c>
      <c r="S202" s="141"/>
      <c r="T202" s="12"/>
      <c r="U202" s="12"/>
      <c r="V202" s="12"/>
      <c r="W202" s="12"/>
      <c r="X202" s="12"/>
      <c r="Y202" s="12"/>
      <c r="Z202" s="12"/>
      <c r="AA202" s="12"/>
      <c r="AB202" s="12"/>
    </row>
    <row r="203" spans="1:28" ht="13.5" customHeight="1">
      <c r="A203" s="12"/>
      <c r="B203" s="12"/>
      <c r="C203" s="12"/>
      <c r="D203" s="141"/>
      <c r="E203" s="12"/>
      <c r="F203" s="752"/>
      <c r="G203" s="12"/>
      <c r="H203" s="141"/>
      <c r="I203" s="12"/>
      <c r="J203" s="752"/>
      <c r="K203" s="12"/>
      <c r="L203" s="141" t="s">
        <v>870</v>
      </c>
      <c r="M203" s="12"/>
      <c r="N203" s="751" t="str">
        <f ca="1">N201*N202</f>
        <v/>
      </c>
      <c r="O203" s="12"/>
      <c r="P203" s="141" t="s">
        <v>870</v>
      </c>
      <c r="Q203" s="12"/>
      <c r="R203" s="751" t="str">
        <f ca="1">R201*R202</f>
        <v/>
      </c>
      <c r="S203" s="141"/>
      <c r="T203" s="12"/>
      <c r="U203" s="12"/>
      <c r="V203" s="12"/>
      <c r="W203" s="12"/>
      <c r="X203" s="12"/>
      <c r="Y203" s="12"/>
      <c r="Z203" s="12"/>
      <c r="AA203" s="12"/>
      <c r="AB203" s="12"/>
    </row>
    <row r="204" spans="1:28" ht="13.5" customHeight="1">
      <c r="A204" s="12"/>
      <c r="B204" s="12"/>
      <c r="C204" s="12"/>
      <c r="D204" s="141" t="s">
        <v>871</v>
      </c>
      <c r="E204" s="12"/>
      <c r="F204" s="749" t="str">
        <f ca="1">F201*F202</f>
        <v/>
      </c>
      <c r="G204" s="12"/>
      <c r="H204" s="141" t="s">
        <v>871</v>
      </c>
      <c r="I204" s="12"/>
      <c r="J204" s="749" t="str">
        <f ca="1">J201*J202</f>
        <v/>
      </c>
      <c r="K204" s="12"/>
      <c r="L204" s="141"/>
      <c r="M204" s="12"/>
      <c r="N204" s="142"/>
      <c r="O204" s="12"/>
      <c r="P204" s="141"/>
      <c r="Q204" s="12"/>
      <c r="R204" s="12"/>
      <c r="S204" s="141"/>
      <c r="T204" s="12"/>
      <c r="U204" s="12"/>
      <c r="V204" s="12"/>
      <c r="W204" s="12"/>
      <c r="X204" s="12"/>
      <c r="Y204" s="12"/>
      <c r="Z204" s="12"/>
      <c r="AA204" s="12"/>
      <c r="AB204" s="12"/>
    </row>
    <row r="205" spans="1:28" ht="13.5" customHeight="1">
      <c r="A205" s="12"/>
      <c r="B205" s="12"/>
      <c r="C205" s="12"/>
      <c r="D205" s="257" t="s">
        <v>872</v>
      </c>
      <c r="E205" s="100"/>
      <c r="F205" s="711" t="str">
        <f ca="1">F204/Share_Price-1</f>
        <v/>
      </c>
      <c r="G205" s="12"/>
      <c r="H205" s="257" t="s">
        <v>872</v>
      </c>
      <c r="I205" s="100"/>
      <c r="J205" s="711" t="str">
        <f ca="1">J204/Share_Price-1</f>
        <v/>
      </c>
      <c r="K205" s="12"/>
      <c r="L205" s="141" t="s">
        <v>873</v>
      </c>
      <c r="M205" s="12"/>
      <c r="N205" s="703">
        <f t="shared" ref="N205:N210" si="63">N127</f>
        <v>6255</v>
      </c>
      <c r="O205" s="12"/>
      <c r="P205" s="141" t="s">
        <v>873</v>
      </c>
      <c r="Q205" s="12"/>
      <c r="R205" s="703">
        <f t="shared" ref="R205:R210" si="64">N205</f>
        <v>6255</v>
      </c>
      <c r="S205" s="141"/>
      <c r="T205" s="12"/>
      <c r="U205" s="12"/>
      <c r="V205" s="12"/>
      <c r="W205" s="12"/>
      <c r="X205" s="12"/>
      <c r="Y205" s="12"/>
      <c r="Z205" s="12"/>
      <c r="AA205" s="12"/>
      <c r="AB205" s="12"/>
    </row>
    <row r="206" spans="1:28" ht="13.5" customHeight="1">
      <c r="A206" s="12"/>
      <c r="B206" s="12"/>
      <c r="C206" s="12"/>
      <c r="D206" s="12"/>
      <c r="E206" s="12"/>
      <c r="F206" s="12"/>
      <c r="G206" s="12"/>
      <c r="H206" s="12"/>
      <c r="I206" s="12"/>
      <c r="J206" s="12"/>
      <c r="K206" s="12"/>
      <c r="L206" s="141" t="s">
        <v>874</v>
      </c>
      <c r="M206" s="12"/>
      <c r="N206" s="703">
        <f t="shared" si="63"/>
        <v>0</v>
      </c>
      <c r="O206" s="12"/>
      <c r="P206" s="141" t="s">
        <v>874</v>
      </c>
      <c r="Q206" s="12"/>
      <c r="R206" s="703">
        <f t="shared" si="64"/>
        <v>0</v>
      </c>
      <c r="S206" s="141"/>
      <c r="T206" s="12"/>
      <c r="U206" s="12"/>
      <c r="V206" s="12"/>
      <c r="W206" s="12"/>
      <c r="X206" s="12"/>
      <c r="Y206" s="12"/>
      <c r="Z206" s="12"/>
      <c r="AA206" s="12"/>
      <c r="AB206" s="12"/>
    </row>
    <row r="207" spans="1:28" ht="13.5" customHeight="1">
      <c r="A207" s="12"/>
      <c r="B207" s="12"/>
      <c r="C207" s="12"/>
      <c r="D207" s="12"/>
      <c r="E207" s="12"/>
      <c r="F207" s="12"/>
      <c r="G207" s="12"/>
      <c r="H207" s="12"/>
      <c r="I207" s="12"/>
      <c r="J207" s="12"/>
      <c r="K207" s="12"/>
      <c r="L207" s="141" t="s">
        <v>875</v>
      </c>
      <c r="M207" s="12"/>
      <c r="N207" s="703">
        <f t="shared" si="63"/>
        <v>-23311</v>
      </c>
      <c r="O207" s="12"/>
      <c r="P207" s="141" t="s">
        <v>875</v>
      </c>
      <c r="Q207" s="12"/>
      <c r="R207" s="703">
        <f t="shared" si="64"/>
        <v>-23311</v>
      </c>
      <c r="S207" s="141"/>
      <c r="T207" s="12"/>
      <c r="U207" s="12"/>
      <c r="V207" s="12"/>
      <c r="W207" s="12"/>
      <c r="X207" s="12"/>
      <c r="Y207" s="12"/>
      <c r="Z207" s="12"/>
      <c r="AA207" s="12"/>
      <c r="AB207" s="12"/>
    </row>
    <row r="208" spans="1:28" ht="13.5" customHeight="1">
      <c r="A208" s="12"/>
      <c r="B208" s="12"/>
      <c r="C208" s="12"/>
      <c r="D208" s="12"/>
      <c r="E208" s="12"/>
      <c r="F208" s="12"/>
      <c r="G208" s="12"/>
      <c r="H208" s="12"/>
      <c r="I208" s="12"/>
      <c r="J208" s="12"/>
      <c r="K208" s="12"/>
      <c r="L208" s="141" t="s">
        <v>876</v>
      </c>
      <c r="M208" s="12"/>
      <c r="N208" s="703">
        <f t="shared" si="63"/>
        <v>0</v>
      </c>
      <c r="O208" s="12"/>
      <c r="P208" s="141" t="s">
        <v>876</v>
      </c>
      <c r="Q208" s="12"/>
      <c r="R208" s="703">
        <f t="shared" si="64"/>
        <v>0</v>
      </c>
      <c r="S208" s="141"/>
      <c r="T208" s="12"/>
      <c r="U208" s="12"/>
      <c r="V208" s="12"/>
      <c r="W208" s="12"/>
      <c r="X208" s="12"/>
      <c r="Y208" s="12"/>
      <c r="Z208" s="12"/>
      <c r="AA208" s="12"/>
      <c r="AB208" s="12"/>
    </row>
    <row r="209" spans="1:28" ht="13.5" customHeight="1">
      <c r="A209" s="12"/>
      <c r="B209" s="656"/>
      <c r="C209" s="592"/>
      <c r="D209" s="12"/>
      <c r="E209" s="12"/>
      <c r="F209" s="12"/>
      <c r="G209" s="12"/>
      <c r="H209" s="12"/>
      <c r="I209" s="12"/>
      <c r="J209" s="12"/>
      <c r="K209" s="12"/>
      <c r="L209" s="141" t="s">
        <v>877</v>
      </c>
      <c r="M209" s="12"/>
      <c r="N209" s="703">
        <f t="shared" si="63"/>
        <v>0</v>
      </c>
      <c r="O209" s="12"/>
      <c r="P209" s="141" t="s">
        <v>877</v>
      </c>
      <c r="Q209" s="12"/>
      <c r="R209" s="703">
        <f t="shared" si="64"/>
        <v>0</v>
      </c>
      <c r="S209" s="141"/>
      <c r="T209" s="12"/>
      <c r="U209" s="12"/>
      <c r="V209" s="12"/>
      <c r="W209" s="12"/>
      <c r="X209" s="12"/>
      <c r="Y209" s="12"/>
      <c r="Z209" s="12"/>
      <c r="AA209" s="12"/>
      <c r="AB209" s="12"/>
    </row>
    <row r="210" spans="1:28" ht="13.5" customHeight="1">
      <c r="A210" s="12"/>
      <c r="B210" s="656"/>
      <c r="C210" s="12"/>
      <c r="D210" s="69"/>
      <c r="E210" s="69"/>
      <c r="F210" s="291"/>
      <c r="G210" s="291"/>
      <c r="H210" s="291"/>
      <c r="I210" s="291"/>
      <c r="J210" s="291"/>
      <c r="K210" s="12"/>
      <c r="L210" s="141" t="s">
        <v>878</v>
      </c>
      <c r="M210" s="100"/>
      <c r="N210" s="756">
        <f t="shared" si="63"/>
        <v>0</v>
      </c>
      <c r="O210" s="12"/>
      <c r="P210" s="145" t="s">
        <v>878</v>
      </c>
      <c r="Q210" s="100"/>
      <c r="R210" s="756">
        <f t="shared" si="64"/>
        <v>0</v>
      </c>
      <c r="S210" s="141"/>
      <c r="T210" s="12"/>
      <c r="U210" s="12"/>
      <c r="V210" s="12"/>
      <c r="W210" s="12"/>
      <c r="X210" s="12"/>
      <c r="Y210" s="12"/>
      <c r="Z210" s="12"/>
      <c r="AA210" s="12"/>
      <c r="AB210" s="12"/>
    </row>
    <row r="211" spans="1:28" ht="13.5" customHeight="1">
      <c r="A211" s="12"/>
      <c r="B211" s="656"/>
      <c r="C211" s="69"/>
      <c r="D211" s="662"/>
      <c r="E211" s="662"/>
      <c r="F211" s="662"/>
      <c r="G211" s="662"/>
      <c r="H211" s="662"/>
      <c r="I211" s="662"/>
      <c r="J211" s="662"/>
      <c r="K211" s="12"/>
      <c r="L211" s="143"/>
      <c r="M211" s="12"/>
      <c r="N211" s="142"/>
      <c r="O211" s="12"/>
      <c r="P211" s="141"/>
      <c r="Q211" s="12"/>
      <c r="R211" s="12"/>
      <c r="S211" s="141"/>
      <c r="T211" s="12"/>
      <c r="U211" s="12"/>
      <c r="V211" s="12"/>
      <c r="W211" s="12"/>
      <c r="X211" s="12"/>
      <c r="Y211" s="12"/>
      <c r="Z211" s="12"/>
      <c r="AA211" s="12"/>
      <c r="AB211" s="12"/>
    </row>
    <row r="212" spans="1:28" ht="13.5" customHeight="1">
      <c r="A212" s="12"/>
      <c r="B212" s="12"/>
      <c r="C212" s="69"/>
      <c r="D212" s="662"/>
      <c r="E212" s="662"/>
      <c r="F212" s="662"/>
      <c r="G212" s="662"/>
      <c r="H212" s="662"/>
      <c r="I212" s="662"/>
      <c r="J212" s="662"/>
      <c r="K212" s="12"/>
      <c r="L212" s="141" t="s">
        <v>879</v>
      </c>
      <c r="M212" s="12"/>
      <c r="N212" s="751" t="str">
        <f ca="1">SUM(N203:N210)</f>
        <v/>
      </c>
      <c r="O212" s="12"/>
      <c r="P212" s="141" t="s">
        <v>879</v>
      </c>
      <c r="Q212" s="12"/>
      <c r="R212" s="751" t="str">
        <f ca="1">SUM(R203:R210)</f>
        <v/>
      </c>
      <c r="S212" s="141"/>
      <c r="T212" s="12"/>
      <c r="U212" s="12"/>
      <c r="V212" s="12"/>
      <c r="W212" s="12"/>
      <c r="X212" s="12"/>
      <c r="Y212" s="12"/>
      <c r="Z212" s="12"/>
      <c r="AA212" s="12"/>
      <c r="AB212" s="12"/>
    </row>
    <row r="213" spans="1:28" ht="13.5" customHeight="1">
      <c r="A213" s="12"/>
      <c r="B213" s="12"/>
      <c r="C213" s="12"/>
      <c r="D213" s="12"/>
      <c r="E213" s="12"/>
      <c r="F213" s="12"/>
      <c r="G213" s="12"/>
      <c r="H213" s="12"/>
      <c r="I213" s="12"/>
      <c r="J213" s="12"/>
      <c r="K213" s="12"/>
      <c r="L213" s="141" t="s">
        <v>414</v>
      </c>
      <c r="M213" s="12"/>
      <c r="N213" s="766">
        <f>Diluted_Shares</f>
        <v>707</v>
      </c>
      <c r="O213" s="12"/>
      <c r="P213" s="141" t="s">
        <v>414</v>
      </c>
      <c r="Q213" s="12"/>
      <c r="R213" s="767">
        <f>N213</f>
        <v>707</v>
      </c>
      <c r="S213" s="141"/>
      <c r="T213" s="12"/>
      <c r="U213" s="12"/>
      <c r="V213" s="12"/>
      <c r="W213" s="12"/>
      <c r="X213" s="12"/>
      <c r="Y213" s="12"/>
      <c r="Z213" s="12"/>
      <c r="AA213" s="12"/>
      <c r="AB213" s="12"/>
    </row>
    <row r="214" spans="1:28" ht="13.5" customHeight="1">
      <c r="A214" s="12"/>
      <c r="B214" s="12"/>
      <c r="C214" s="592"/>
      <c r="D214" s="12"/>
      <c r="E214" s="12"/>
      <c r="F214" s="12"/>
      <c r="G214" s="12"/>
      <c r="H214" s="12"/>
      <c r="I214" s="12"/>
      <c r="J214" s="12"/>
      <c r="K214" s="12"/>
      <c r="L214" s="141"/>
      <c r="M214" s="12"/>
      <c r="N214" s="142"/>
      <c r="O214" s="12"/>
      <c r="P214" s="141"/>
      <c r="Q214" s="12"/>
      <c r="R214" s="142"/>
      <c r="S214" s="141"/>
      <c r="T214" s="12"/>
      <c r="U214" s="12"/>
      <c r="V214" s="12"/>
      <c r="W214" s="12"/>
      <c r="X214" s="12"/>
      <c r="Y214" s="12"/>
      <c r="Z214" s="12"/>
      <c r="AA214" s="12"/>
      <c r="AB214" s="12"/>
    </row>
    <row r="215" spans="1:28" ht="13.5" customHeight="1">
      <c r="A215" s="12"/>
      <c r="B215" s="12"/>
      <c r="C215" s="12"/>
      <c r="D215" s="69"/>
      <c r="E215" s="69"/>
      <c r="F215" s="69"/>
      <c r="G215" s="69"/>
      <c r="H215" s="69"/>
      <c r="I215" s="69"/>
      <c r="J215" s="69"/>
      <c r="K215" s="12"/>
      <c r="L215" s="141" t="s">
        <v>871</v>
      </c>
      <c r="M215" s="12"/>
      <c r="N215" s="751" t="str">
        <f ca="1">N212/N213</f>
        <v/>
      </c>
      <c r="O215" s="12"/>
      <c r="P215" s="141" t="s">
        <v>871</v>
      </c>
      <c r="Q215" s="12"/>
      <c r="R215" s="751" t="str">
        <f ca="1">R212/R213</f>
        <v/>
      </c>
      <c r="S215" s="141"/>
      <c r="T215" s="12"/>
      <c r="U215" s="12"/>
      <c r="V215" s="12"/>
      <c r="W215" s="12"/>
      <c r="X215" s="12"/>
      <c r="Y215" s="12"/>
      <c r="Z215" s="12"/>
      <c r="AA215" s="12"/>
      <c r="AB215" s="12"/>
    </row>
    <row r="216" spans="1:28" ht="13.5" customHeight="1">
      <c r="A216" s="12"/>
      <c r="B216" s="12"/>
      <c r="C216" s="69"/>
      <c r="D216" s="662"/>
      <c r="E216" s="662"/>
      <c r="F216" s="662"/>
      <c r="G216" s="662"/>
      <c r="H216" s="662"/>
      <c r="I216" s="662"/>
      <c r="J216" s="662"/>
      <c r="K216" s="12"/>
      <c r="L216" s="257" t="s">
        <v>872</v>
      </c>
      <c r="M216" s="100"/>
      <c r="N216" s="711" t="str">
        <f ca="1">N215/Share_Price-1</f>
        <v/>
      </c>
      <c r="O216" s="12"/>
      <c r="P216" s="257" t="s">
        <v>872</v>
      </c>
      <c r="Q216" s="100"/>
      <c r="R216" s="711" t="str">
        <f ca="1">R215/Share_Price-1</f>
        <v/>
      </c>
      <c r="S216" s="141"/>
      <c r="T216" s="12"/>
      <c r="U216" s="12"/>
      <c r="V216" s="12"/>
      <c r="W216" s="12"/>
      <c r="X216" s="12"/>
      <c r="Y216" s="12"/>
      <c r="Z216" s="12"/>
      <c r="AA216" s="12"/>
      <c r="AB216" s="12"/>
    </row>
    <row r="217" spans="1:28" ht="4.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3.5" customHeight="1">
      <c r="A218" s="211" t="s">
        <v>1</v>
      </c>
      <c r="B218" s="12"/>
      <c r="C218" s="920" t="s">
        <v>46</v>
      </c>
      <c r="D218" s="858"/>
      <c r="E218" s="858"/>
      <c r="F218" s="858"/>
      <c r="G218" s="858"/>
      <c r="H218" s="858"/>
      <c r="I218" s="858"/>
      <c r="J218" s="858"/>
      <c r="K218" s="858"/>
      <c r="L218" s="858"/>
      <c r="M218" s="858"/>
      <c r="N218" s="858"/>
      <c r="O218" s="858"/>
      <c r="P218" s="858"/>
      <c r="Q218" s="858"/>
      <c r="R218" s="854"/>
      <c r="S218" s="211" t="s">
        <v>1</v>
      </c>
      <c r="T218" s="12"/>
      <c r="U218" s="12"/>
      <c r="V218" s="12"/>
      <c r="W218" s="12"/>
      <c r="X218" s="12"/>
      <c r="Y218" s="12"/>
      <c r="Z218" s="12"/>
      <c r="AA218" s="12"/>
      <c r="AB218" s="12"/>
    </row>
    <row r="219" spans="1:28" ht="4.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3.5" customHeight="1">
      <c r="A220" s="12"/>
      <c r="B220" s="12"/>
      <c r="C220" s="12" t="s">
        <v>899</v>
      </c>
      <c r="D220" s="12"/>
      <c r="E220" s="12"/>
      <c r="F220" s="12"/>
      <c r="G220" s="35" t="s">
        <v>900</v>
      </c>
      <c r="H220" s="40"/>
      <c r="I220" s="12"/>
      <c r="J220" s="12"/>
      <c r="K220" s="882" t="str">
        <f>$C$9</f>
        <v>Primary Peer Group</v>
      </c>
      <c r="L220" s="883"/>
      <c r="M220" s="882" t="str">
        <f>$C$14</f>
        <v>Defense Peer Group</v>
      </c>
      <c r="N220" s="883"/>
      <c r="O220" s="882" t="str">
        <f>$C$19</f>
        <v>Cap. Goods Peer Group</v>
      </c>
      <c r="P220" s="883"/>
      <c r="Q220" s="12"/>
      <c r="R220" s="12"/>
      <c r="S220" s="12"/>
      <c r="T220" s="12"/>
      <c r="U220" s="12"/>
      <c r="V220" s="12"/>
      <c r="W220" s="12"/>
      <c r="X220" s="12"/>
      <c r="Y220" s="12"/>
      <c r="Z220" s="12"/>
      <c r="AA220" s="12"/>
      <c r="AB220" s="12"/>
    </row>
    <row r="221" spans="1:28" ht="13.5" customHeight="1">
      <c r="A221" s="12"/>
      <c r="B221" s="12"/>
      <c r="C221" s="12" t="s">
        <v>901</v>
      </c>
      <c r="D221" s="12"/>
      <c r="E221" s="12"/>
      <c r="F221" s="12"/>
      <c r="G221" s="35" t="s">
        <v>902</v>
      </c>
      <c r="H221" s="12"/>
      <c r="I221" s="12"/>
      <c r="J221" s="69" t="s">
        <v>138</v>
      </c>
      <c r="K221" s="926">
        <f t="array" ref="K221">INDEX(Primary_Peer_Cyclical_Valuation_Data,MATCH(CONCATENATE(Cycle_Toggle," ",Cycle_Period_Toggle),'Multiples Data'!$C$36:$C$48,0),MATCH(CONCATENATE(Cyclical_LTM_NTM_Toggle," P/E"),'Multiples Data'!$C$36:$H$36,0))</f>
        <v>17.335633750000007</v>
      </c>
      <c r="L221" s="861"/>
      <c r="M221" s="926">
        <f t="array" ref="M221">INDEX(PeerGroup2_Cyclical_Valuation_Data,MATCH(CONCATENATE(Cycle_Toggle," ",Cycle_Period_Toggle),'Multiples Data'!$C$58:$C$70,0),MATCH(CONCATENATE(Cyclical_LTM_NTM_Toggle," P/E"),'Multiples Data'!$C$58:$H$58,0))</f>
        <v>9.4357996494058476</v>
      </c>
      <c r="N221" s="861"/>
      <c r="O221" s="926">
        <f t="array" ref="O221">INDEX(PeerGroup3_Cyclical_Valuation_Data,MATCH(CONCATENATE(Cycle_Toggle," ",Cycle_Period_Toggle),'Multiples Data'!$C$80:$C$92,0),MATCH(CONCATENATE(Cyclical_LTM_NTM_Toggle," P/E"),'Multiples Data'!$C$80:$H$80,0))</f>
        <v>14.603483940485029</v>
      </c>
      <c r="P221" s="861"/>
      <c r="Q221" s="12"/>
      <c r="R221" s="12"/>
      <c r="S221" s="12"/>
      <c r="T221" s="12"/>
      <c r="U221" s="12"/>
      <c r="V221" s="12"/>
      <c r="W221" s="12"/>
      <c r="X221" s="12"/>
      <c r="Y221" s="12"/>
      <c r="Z221" s="12"/>
      <c r="AA221" s="12"/>
      <c r="AB221" s="12"/>
    </row>
    <row r="222" spans="1:28" ht="13.5" customHeight="1">
      <c r="A222" s="12"/>
      <c r="B222" s="12"/>
      <c r="C222" s="12" t="s">
        <v>903</v>
      </c>
      <c r="D222" s="12"/>
      <c r="E222" s="12"/>
      <c r="F222" s="12"/>
      <c r="G222" s="35" t="s">
        <v>811</v>
      </c>
      <c r="H222" s="40" t="b">
        <f>G222=$D$24</f>
        <v>1</v>
      </c>
      <c r="I222" s="12"/>
      <c r="J222" s="69" t="s">
        <v>140</v>
      </c>
      <c r="K222" s="926">
        <f t="array" ref="K222">INDEX(Primary_Peer_Cyclical_Valuation_Data,MATCH(CONCATENATE(Cycle_Toggle," ",Cycle_Period_Toggle),'Multiples Data'!$C$36:$C$48,0),MATCH(CONCATENATE(Cyclical_LTM_NTM_Toggle," EV/EBITDA"),'Multiples Data'!$C$36:$H$36,0))</f>
        <v>9.083377500000001</v>
      </c>
      <c r="L222" s="861"/>
      <c r="M222" s="926">
        <f t="array" ref="M222">INDEX(PeerGroup2_Cyclical_Valuation_Data,MATCH(CONCATENATE(Cycle_Toggle," ",Cycle_Period_Toggle),'Multiples Data'!$C$58:$C$70,0),MATCH(CONCATENATE(Cyclical_LTM_NTM_Toggle," EV/EBITDA"),'Multiples Data'!$C$58:$H$58,0))</f>
        <v>5.4314602700251715</v>
      </c>
      <c r="N222" s="861"/>
      <c r="O222" s="926">
        <f t="array" ref="O222">INDEX(PeerGroup3_Cyclical_Valuation_Data,MATCH(CONCATENATE(Cycle_Toggle," ",Cycle_Period_Toggle),'Multiples Data'!$C$80:$C$92,0),MATCH(CONCATENATE(Cyclical_LTM_NTM_Toggle," EV/EBITDA"),'Multiples Data'!$C$80:$H$80,0))</f>
        <v>7.7150307167356171</v>
      </c>
      <c r="P222" s="861"/>
      <c r="Q222" s="12"/>
      <c r="R222" s="12"/>
      <c r="S222" s="12"/>
      <c r="T222" s="12"/>
      <c r="U222" s="12"/>
      <c r="V222" s="12"/>
      <c r="W222" s="12"/>
      <c r="X222" s="12"/>
      <c r="Y222" s="12"/>
      <c r="Z222" s="12"/>
      <c r="AA222" s="12"/>
      <c r="AB222" s="12"/>
    </row>
    <row r="223" spans="1:28" ht="13.5" customHeight="1">
      <c r="A223" s="12"/>
      <c r="B223" s="12"/>
      <c r="C223" s="12" t="s">
        <v>885</v>
      </c>
      <c r="D223" s="12"/>
      <c r="E223" s="12"/>
      <c r="F223" s="12"/>
      <c r="G223" s="35" t="s">
        <v>556</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4.5" customHeight="1">
      <c r="A224" s="12"/>
      <c r="B224" s="12"/>
      <c r="C224" s="12"/>
      <c r="D224" s="12"/>
      <c r="E224" s="12"/>
      <c r="F224" s="12"/>
      <c r="G224" s="35"/>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3.5" customHeight="1">
      <c r="A225" s="211" t="s">
        <v>1</v>
      </c>
      <c r="B225" s="12"/>
      <c r="C225" s="920" t="s">
        <v>845</v>
      </c>
      <c r="D225" s="858"/>
      <c r="E225" s="858"/>
      <c r="F225" s="858"/>
      <c r="G225" s="858"/>
      <c r="H225" s="858"/>
      <c r="I225" s="858"/>
      <c r="J225" s="858"/>
      <c r="K225" s="858"/>
      <c r="L225" s="858"/>
      <c r="M225" s="858"/>
      <c r="N225" s="858"/>
      <c r="O225" s="858"/>
      <c r="P225" s="858"/>
      <c r="Q225" s="858"/>
      <c r="R225" s="854"/>
      <c r="S225" s="211" t="s">
        <v>1</v>
      </c>
      <c r="T225" s="12"/>
      <c r="U225" s="12"/>
      <c r="V225" s="12"/>
      <c r="W225" s="12"/>
      <c r="X225" s="12"/>
      <c r="Y225" s="12"/>
      <c r="Z225" s="12"/>
      <c r="AA225" s="12"/>
      <c r="AB225" s="12"/>
    </row>
    <row r="226" spans="1:28" ht="4.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3.5" customHeight="1">
      <c r="A227" s="12"/>
      <c r="B227" s="12"/>
      <c r="C227" s="12" t="s">
        <v>888</v>
      </c>
      <c r="D227" s="12"/>
      <c r="E227" s="712">
        <f>$F$201</f>
        <v>16.548837499999998</v>
      </c>
      <c r="F227" s="611">
        <f>E227-H237</f>
        <v>0</v>
      </c>
      <c r="G227" s="12"/>
      <c r="H227" s="12" t="s">
        <v>889</v>
      </c>
      <c r="I227" s="12"/>
      <c r="J227" s="12"/>
      <c r="K227" s="712">
        <f>$N$201</f>
        <v>7.4082874999999992</v>
      </c>
      <c r="L227" s="611">
        <f>K227-H253</f>
        <v>0</v>
      </c>
      <c r="M227" s="12"/>
      <c r="N227" s="5" t="s">
        <v>868</v>
      </c>
      <c r="O227" s="12"/>
      <c r="P227" s="12"/>
      <c r="Q227" s="757" t="str">
        <f ca="1">F202</f>
        <v/>
      </c>
      <c r="R227" s="758" t="str">
        <f ca="1">Q227-E240</f>
        <v/>
      </c>
      <c r="S227" s="12"/>
      <c r="T227" s="12"/>
      <c r="U227" s="12"/>
      <c r="V227" s="12"/>
      <c r="W227" s="12"/>
      <c r="X227" s="12"/>
      <c r="Y227" s="12"/>
      <c r="Z227" s="12"/>
      <c r="AA227" s="12"/>
      <c r="AB227" s="12"/>
    </row>
    <row r="228" spans="1:28" ht="13.5" customHeight="1">
      <c r="A228" s="12"/>
      <c r="B228" s="12"/>
      <c r="C228" s="12" t="s">
        <v>849</v>
      </c>
      <c r="D228" s="12"/>
      <c r="E228" s="719">
        <v>1</v>
      </c>
      <c r="F228" s="759"/>
      <c r="G228" s="12"/>
      <c r="H228" s="12" t="s">
        <v>849</v>
      </c>
      <c r="I228" s="12"/>
      <c r="J228" s="12"/>
      <c r="K228" s="719">
        <v>1</v>
      </c>
      <c r="L228" s="759"/>
      <c r="M228" s="12"/>
      <c r="N228" s="437" t="s">
        <v>890</v>
      </c>
      <c r="O228" s="12"/>
      <c r="P228" s="12"/>
      <c r="Q228" s="12"/>
      <c r="R228" s="758" t="str">
        <f ca="1">Q227-E248</f>
        <v/>
      </c>
      <c r="S228" s="12"/>
      <c r="T228" s="12"/>
      <c r="U228" s="12"/>
      <c r="V228" s="12"/>
      <c r="W228" s="12"/>
      <c r="X228" s="12"/>
      <c r="Y228" s="12"/>
      <c r="Z228" s="12"/>
      <c r="AA228" s="12"/>
      <c r="AB228" s="12"/>
    </row>
    <row r="229" spans="1:28" ht="13.5" customHeight="1">
      <c r="A229" s="12"/>
      <c r="B229" s="12"/>
      <c r="C229" s="12" t="s">
        <v>891</v>
      </c>
      <c r="D229" s="12"/>
      <c r="E229" s="720">
        <v>0.1</v>
      </c>
      <c r="F229" s="759"/>
      <c r="G229" s="12"/>
      <c r="H229" s="12" t="s">
        <v>892</v>
      </c>
      <c r="I229" s="12"/>
      <c r="J229" s="12"/>
      <c r="K229" s="720">
        <v>0.1</v>
      </c>
      <c r="L229" s="759"/>
      <c r="M229" s="12"/>
      <c r="N229" s="5" t="s">
        <v>869</v>
      </c>
      <c r="O229" s="12"/>
      <c r="P229" s="12"/>
      <c r="Q229" s="760" t="str">
        <f ca="1">N202</f>
        <v/>
      </c>
      <c r="R229" s="758" t="str">
        <f ca="1">Q229-E256</f>
        <v/>
      </c>
      <c r="S229" s="12"/>
      <c r="T229" s="12"/>
      <c r="U229" s="12"/>
      <c r="V229" s="12"/>
      <c r="W229" s="12"/>
      <c r="X229" s="12"/>
      <c r="Y229" s="12"/>
      <c r="Z229" s="12"/>
      <c r="AA229" s="12"/>
      <c r="AB229" s="12"/>
    </row>
    <row r="230" spans="1:28" ht="13.5" customHeight="1">
      <c r="A230" s="12"/>
      <c r="B230" s="12"/>
      <c r="C230" s="12" t="s">
        <v>893</v>
      </c>
      <c r="D230" s="12"/>
      <c r="E230" s="712">
        <f>$J$201</f>
        <v>21.224141568043322</v>
      </c>
      <c r="F230" s="611">
        <f>E230-H245</f>
        <v>0</v>
      </c>
      <c r="G230" s="12"/>
      <c r="H230" s="12" t="s">
        <v>894</v>
      </c>
      <c r="I230" s="12"/>
      <c r="J230" s="12"/>
      <c r="K230" s="712">
        <f>$R$201</f>
        <v>12.655598918298834</v>
      </c>
      <c r="L230" s="611">
        <f>K230-H261</f>
        <v>0</v>
      </c>
      <c r="M230" s="12"/>
      <c r="N230" s="437" t="s">
        <v>890</v>
      </c>
      <c r="O230" s="762"/>
      <c r="P230" s="12"/>
      <c r="Q230" s="12"/>
      <c r="R230" s="758" t="str">
        <f ca="1">Q229-E264</f>
        <v/>
      </c>
      <c r="S230" s="12"/>
      <c r="T230" s="12"/>
      <c r="U230" s="12"/>
      <c r="V230" s="12"/>
      <c r="W230" s="12"/>
      <c r="X230" s="12"/>
      <c r="Y230" s="12"/>
      <c r="Z230" s="12"/>
      <c r="AA230" s="12"/>
      <c r="AB230" s="12"/>
    </row>
    <row r="231" spans="1:28" ht="13.5" customHeight="1">
      <c r="A231" s="12"/>
      <c r="B231" s="12"/>
      <c r="C231" s="12" t="s">
        <v>849</v>
      </c>
      <c r="D231" s="12"/>
      <c r="E231" s="719">
        <v>1</v>
      </c>
      <c r="F231" s="759"/>
      <c r="G231" s="12"/>
      <c r="H231" s="12" t="s">
        <v>849</v>
      </c>
      <c r="I231" s="12"/>
      <c r="J231" s="12"/>
      <c r="K231" s="719">
        <v>1</v>
      </c>
      <c r="L231" s="759"/>
      <c r="M231" s="12"/>
      <c r="N231" s="12"/>
      <c r="O231" s="762"/>
      <c r="P231" s="12"/>
      <c r="Q231" s="12"/>
      <c r="R231" s="12"/>
      <c r="S231" s="12"/>
      <c r="T231" s="12"/>
      <c r="U231" s="12"/>
      <c r="V231" s="12"/>
      <c r="W231" s="12"/>
      <c r="X231" s="12"/>
      <c r="Y231" s="12"/>
      <c r="Z231" s="12"/>
      <c r="AA231" s="12"/>
      <c r="AB231" s="12"/>
    </row>
    <row r="232" spans="1:28" ht="13.5" customHeight="1">
      <c r="A232" s="12"/>
      <c r="B232" s="12"/>
      <c r="C232" s="12"/>
      <c r="D232" s="12"/>
      <c r="E232" s="35"/>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3.5" customHeight="1">
      <c r="A234" s="12"/>
      <c r="B234" s="12"/>
      <c r="C234" s="12"/>
      <c r="D234" s="925" t="s">
        <v>852</v>
      </c>
      <c r="E234" s="858"/>
      <c r="F234" s="858"/>
      <c r="G234" s="858"/>
      <c r="H234" s="858"/>
      <c r="I234" s="858"/>
      <c r="J234" s="854"/>
      <c r="K234" s="721"/>
      <c r="L234" s="925" t="s">
        <v>853</v>
      </c>
      <c r="M234" s="858"/>
      <c r="N234" s="858"/>
      <c r="O234" s="858"/>
      <c r="P234" s="858"/>
      <c r="Q234" s="858"/>
      <c r="R234" s="854"/>
      <c r="S234" s="12"/>
      <c r="T234" s="12"/>
      <c r="U234" s="12"/>
      <c r="V234" s="12"/>
      <c r="W234" s="12"/>
      <c r="X234" s="12"/>
      <c r="Y234" s="12"/>
      <c r="Z234" s="12"/>
      <c r="AA234" s="12"/>
      <c r="AB234" s="12"/>
    </row>
    <row r="235" spans="1:28" ht="13.5" customHeight="1">
      <c r="A235" s="12"/>
      <c r="B235" s="12"/>
      <c r="C235" s="12"/>
      <c r="D235" s="40"/>
      <c r="E235" s="149"/>
      <c r="F235" s="69"/>
      <c r="G235" s="69"/>
      <c r="H235" s="69"/>
      <c r="I235" s="69"/>
      <c r="J235" s="69"/>
      <c r="K235" s="721"/>
      <c r="L235" s="40"/>
      <c r="M235" s="149"/>
      <c r="N235" s="69"/>
      <c r="O235" s="69"/>
      <c r="P235" s="69"/>
      <c r="Q235" s="69"/>
      <c r="R235" s="69"/>
      <c r="S235" s="12"/>
      <c r="T235" s="12"/>
      <c r="U235" s="12"/>
      <c r="V235" s="12"/>
      <c r="W235" s="12"/>
      <c r="X235" s="12"/>
      <c r="Y235" s="12"/>
      <c r="Z235" s="12"/>
      <c r="AA235" s="12"/>
      <c r="AB235" s="12"/>
    </row>
    <row r="236" spans="1:28" ht="13.5" customHeight="1">
      <c r="A236" s="12"/>
      <c r="B236" s="12"/>
      <c r="C236" s="12"/>
      <c r="D236" s="535"/>
      <c r="E236" s="537"/>
      <c r="F236" s="915" t="str">
        <f>$G$220&amp;" "&amp;$G$221&amp;" P/E"</f>
        <v>2009-2018 Early Cycle P/E</v>
      </c>
      <c r="G236" s="916"/>
      <c r="H236" s="916"/>
      <c r="I236" s="916"/>
      <c r="J236" s="916"/>
      <c r="K236" s="12"/>
      <c r="L236" s="535"/>
      <c r="M236" s="537"/>
      <c r="N236" s="915" t="str">
        <f t="shared" ref="N236:N237" si="65">F236</f>
        <v>2009-2018 Early Cycle P/E</v>
      </c>
      <c r="O236" s="916"/>
      <c r="P236" s="916"/>
      <c r="Q236" s="916"/>
      <c r="R236" s="916"/>
      <c r="S236" s="12"/>
      <c r="T236" s="12"/>
      <c r="U236" s="12"/>
      <c r="V236" s="12"/>
      <c r="W236" s="12"/>
      <c r="X236" s="12"/>
      <c r="Y236" s="12"/>
      <c r="Z236" s="12"/>
      <c r="AA236" s="12"/>
      <c r="AB236" s="12"/>
    </row>
    <row r="237" spans="1:28" ht="13.5" customHeight="1">
      <c r="A237" s="12"/>
      <c r="B237" s="12"/>
      <c r="C237" s="12"/>
      <c r="D237" s="12"/>
      <c r="E237" s="722" t="str">
        <f ca="1">$F$204</f>
        <v/>
      </c>
      <c r="F237" s="723">
        <f t="shared" ref="F237:G237" si="66">G237-$E$93</f>
        <v>14.548837499999998</v>
      </c>
      <c r="G237" s="723">
        <f t="shared" si="66"/>
        <v>15.548837499999998</v>
      </c>
      <c r="H237" s="724">
        <v>16.548837499999998</v>
      </c>
      <c r="I237" s="723">
        <f t="shared" ref="I237:J237" si="67">H237+$E$93</f>
        <v>17.548837499999998</v>
      </c>
      <c r="J237" s="723">
        <f t="shared" si="67"/>
        <v>18.548837499999998</v>
      </c>
      <c r="K237" s="12"/>
      <c r="L237" s="12"/>
      <c r="M237" s="725">
        <f>$H$73</f>
        <v>0</v>
      </c>
      <c r="N237" s="723">
        <f t="shared" si="65"/>
        <v>14.548837499999998</v>
      </c>
      <c r="O237" s="723">
        <f t="shared" ref="O237:R237" si="68">G237</f>
        <v>15.548837499999998</v>
      </c>
      <c r="P237" s="723">
        <f t="shared" si="68"/>
        <v>16.548837499999998</v>
      </c>
      <c r="Q237" s="723">
        <f t="shared" si="68"/>
        <v>17.548837499999998</v>
      </c>
      <c r="R237" s="723">
        <f t="shared" si="68"/>
        <v>18.548837499999998</v>
      </c>
      <c r="S237" s="12"/>
      <c r="T237" s="12"/>
      <c r="U237" s="12"/>
      <c r="V237" s="12"/>
      <c r="W237" s="12"/>
      <c r="X237" s="12"/>
      <c r="Y237" s="12"/>
      <c r="Z237" s="12"/>
      <c r="AA237" s="12"/>
      <c r="AB237" s="12"/>
    </row>
    <row r="238" spans="1:28" ht="13.5" customHeight="1">
      <c r="A238" s="12"/>
      <c r="B238" s="12"/>
      <c r="C238" s="12"/>
      <c r="D238" s="917" t="s">
        <v>397</v>
      </c>
      <c r="E238" s="763">
        <f>$E$164*(1-(2*$E$153))</f>
        <v>11.73702261514271</v>
      </c>
      <c r="F238" s="727">
        <v>170.7600347615363</v>
      </c>
      <c r="G238" s="728">
        <v>182.49705737667901</v>
      </c>
      <c r="H238" s="728">
        <v>194.23407999182172</v>
      </c>
      <c r="I238" s="728">
        <v>205.97110260696442</v>
      </c>
      <c r="J238" s="729">
        <v>217.70812522210713</v>
      </c>
      <c r="K238" s="12"/>
      <c r="L238" s="917" t="s">
        <v>397</v>
      </c>
      <c r="M238" s="763">
        <f t="shared" ref="M238:M242" si="69">E238</f>
        <v>11.73702261514271</v>
      </c>
      <c r="N238" s="730">
        <f t="shared" ref="N238:R242" si="70">F238/Share_Price-1</f>
        <v>-0.26769004733880997</v>
      </c>
      <c r="O238" s="605">
        <f t="shared" si="70"/>
        <v>-0.21735544482082936</v>
      </c>
      <c r="P238" s="605">
        <f t="shared" si="70"/>
        <v>-0.16702084230284886</v>
      </c>
      <c r="Q238" s="605">
        <f t="shared" si="70"/>
        <v>-0.11668623978486825</v>
      </c>
      <c r="R238" s="731">
        <f t="shared" si="70"/>
        <v>-6.6351637266887753E-2</v>
      </c>
      <c r="S238" s="12"/>
      <c r="T238" s="12"/>
      <c r="U238" s="12"/>
      <c r="V238" s="12"/>
      <c r="W238" s="12"/>
      <c r="X238" s="12"/>
      <c r="Y238" s="12"/>
      <c r="Z238" s="12"/>
      <c r="AA238" s="12"/>
      <c r="AB238" s="12"/>
    </row>
    <row r="239" spans="1:28" ht="13.5" customHeight="1">
      <c r="A239" s="12"/>
      <c r="B239" s="12"/>
      <c r="C239" s="12"/>
      <c r="D239" s="918"/>
      <c r="E239" s="763">
        <f>$E$164*(1-$E$153)</f>
        <v>13.204150442035548</v>
      </c>
      <c r="F239" s="732">
        <v>192.10503910672833</v>
      </c>
      <c r="G239" s="733">
        <v>205.30918954876387</v>
      </c>
      <c r="H239" s="733">
        <v>218.51333999079941</v>
      </c>
      <c r="I239" s="733">
        <v>231.71749043283498</v>
      </c>
      <c r="J239" s="734">
        <v>244.92164087487052</v>
      </c>
      <c r="K239" s="12"/>
      <c r="L239" s="918"/>
      <c r="M239" s="763">
        <f t="shared" si="69"/>
        <v>13.204150442035548</v>
      </c>
      <c r="N239" s="735">
        <f t="shared" si="70"/>
        <v>-0.17615130325616124</v>
      </c>
      <c r="O239" s="497">
        <f t="shared" si="70"/>
        <v>-0.11952487542343315</v>
      </c>
      <c r="P239" s="497">
        <f t="shared" si="70"/>
        <v>-6.2898447590705064E-2</v>
      </c>
      <c r="Q239" s="497">
        <f t="shared" si="70"/>
        <v>-6.2720197579767545E-3</v>
      </c>
      <c r="R239" s="616">
        <f t="shared" si="70"/>
        <v>5.0354408074751333E-2</v>
      </c>
      <c r="S239" s="12"/>
      <c r="T239" s="12"/>
      <c r="U239" s="12"/>
      <c r="V239" s="12"/>
      <c r="W239" s="12"/>
      <c r="X239" s="12"/>
      <c r="Y239" s="12"/>
      <c r="Z239" s="12"/>
      <c r="AA239" s="12"/>
      <c r="AB239" s="12"/>
    </row>
    <row r="240" spans="1:28" ht="13.5" customHeight="1">
      <c r="A240" s="12"/>
      <c r="B240" s="12"/>
      <c r="C240" s="12"/>
      <c r="D240" s="918"/>
      <c r="E240" s="764">
        <v>14.671278268928386</v>
      </c>
      <c r="F240" s="732">
        <v>213.45004345192035</v>
      </c>
      <c r="G240" s="733">
        <v>228.12132172084875</v>
      </c>
      <c r="H240" s="733">
        <v>242.79259998977713</v>
      </c>
      <c r="I240" s="733">
        <v>257.46387825870551</v>
      </c>
      <c r="J240" s="734">
        <v>272.13515652763391</v>
      </c>
      <c r="K240" s="12"/>
      <c r="L240" s="918"/>
      <c r="M240" s="763">
        <f t="shared" si="69"/>
        <v>14.671278268928386</v>
      </c>
      <c r="N240" s="735">
        <f t="shared" si="70"/>
        <v>-8.4612559173512514E-2</v>
      </c>
      <c r="O240" s="497">
        <f t="shared" si="70"/>
        <v>-2.1694306026036725E-2</v>
      </c>
      <c r="P240" s="497">
        <f t="shared" si="70"/>
        <v>4.1223947121438842E-2</v>
      </c>
      <c r="Q240" s="497">
        <f t="shared" si="70"/>
        <v>0.10414220026891452</v>
      </c>
      <c r="R240" s="616">
        <f t="shared" si="70"/>
        <v>0.16706045341639042</v>
      </c>
      <c r="S240" s="12"/>
      <c r="T240" s="12"/>
      <c r="U240" s="12"/>
      <c r="V240" s="12"/>
      <c r="W240" s="12"/>
      <c r="X240" s="12"/>
      <c r="Y240" s="12"/>
      <c r="Z240" s="12"/>
      <c r="AA240" s="12"/>
      <c r="AB240" s="12"/>
    </row>
    <row r="241" spans="1:28" ht="13.5" customHeight="1">
      <c r="A241" s="12"/>
      <c r="B241" s="12"/>
      <c r="C241" s="12"/>
      <c r="D241" s="918"/>
      <c r="E241" s="763">
        <f>$E$164*(1+$E$153)</f>
        <v>16.138406095821225</v>
      </c>
      <c r="F241" s="732">
        <v>234.79504779711237</v>
      </c>
      <c r="G241" s="733">
        <v>250.93345389293361</v>
      </c>
      <c r="H241" s="733">
        <v>267.07185998875485</v>
      </c>
      <c r="I241" s="733">
        <v>283.21026608457606</v>
      </c>
      <c r="J241" s="734">
        <v>299.34867218039727</v>
      </c>
      <c r="K241" s="12"/>
      <c r="L241" s="918"/>
      <c r="M241" s="763">
        <f t="shared" si="69"/>
        <v>16.138406095821225</v>
      </c>
      <c r="N241" s="735">
        <f t="shared" si="70"/>
        <v>6.9261849091362127E-3</v>
      </c>
      <c r="O241" s="497">
        <f t="shared" si="70"/>
        <v>7.6136263371359592E-2</v>
      </c>
      <c r="P241" s="497">
        <f t="shared" si="70"/>
        <v>0.14534634183358275</v>
      </c>
      <c r="Q241" s="497">
        <f t="shared" si="70"/>
        <v>0.21455642029580613</v>
      </c>
      <c r="R241" s="616">
        <f t="shared" si="70"/>
        <v>0.28376649875802928</v>
      </c>
      <c r="S241" s="12"/>
      <c r="T241" s="12"/>
      <c r="U241" s="12"/>
      <c r="V241" s="12"/>
      <c r="W241" s="12"/>
      <c r="X241" s="12"/>
      <c r="Y241" s="12"/>
      <c r="Z241" s="12"/>
      <c r="AA241" s="12"/>
      <c r="AB241" s="12"/>
    </row>
    <row r="242" spans="1:28" ht="13.5" customHeight="1">
      <c r="A242" s="12"/>
      <c r="B242" s="12"/>
      <c r="C242" s="12"/>
      <c r="D242" s="919"/>
      <c r="E242" s="763">
        <f>$E$164*(1+(2*$E$153))</f>
        <v>17.605533922714063</v>
      </c>
      <c r="F242" s="738">
        <v>256.1400521423044</v>
      </c>
      <c r="G242" s="739">
        <v>273.74558606501847</v>
      </c>
      <c r="H242" s="739">
        <v>291.35111998773255</v>
      </c>
      <c r="I242" s="739">
        <v>308.95665391044662</v>
      </c>
      <c r="J242" s="740">
        <v>326.56218783316069</v>
      </c>
      <c r="K242" s="12"/>
      <c r="L242" s="919"/>
      <c r="M242" s="763">
        <f t="shared" si="69"/>
        <v>17.605533922714063</v>
      </c>
      <c r="N242" s="741">
        <f t="shared" si="70"/>
        <v>9.8464928991784939E-2</v>
      </c>
      <c r="O242" s="613">
        <f t="shared" si="70"/>
        <v>0.1739668327687558</v>
      </c>
      <c r="P242" s="613">
        <f t="shared" si="70"/>
        <v>0.24946873654572665</v>
      </c>
      <c r="Q242" s="613">
        <f t="shared" si="70"/>
        <v>0.32497064032269751</v>
      </c>
      <c r="R242" s="742">
        <f t="shared" si="70"/>
        <v>0.40047254409966837</v>
      </c>
      <c r="S242" s="12"/>
      <c r="T242" s="12"/>
      <c r="U242" s="12"/>
      <c r="V242" s="12"/>
      <c r="W242" s="12"/>
      <c r="X242" s="12"/>
      <c r="Y242" s="12"/>
      <c r="Z242" s="12"/>
      <c r="AA242" s="12"/>
      <c r="AB242" s="12"/>
    </row>
    <row r="243" spans="1:28"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3.5" customHeight="1">
      <c r="A244" s="12"/>
      <c r="B244" s="12"/>
      <c r="C244" s="12"/>
      <c r="D244" s="535"/>
      <c r="E244" s="537"/>
      <c r="F244" s="915" t="str">
        <f>$G$220&amp;" "&amp;$G$221&amp;" P/E Spread to Comps"</f>
        <v>2009-2018 Early Cycle P/E Spread to Comps</v>
      </c>
      <c r="G244" s="916"/>
      <c r="H244" s="916"/>
      <c r="I244" s="916"/>
      <c r="J244" s="916"/>
      <c r="K244" s="12"/>
      <c r="L244" s="535"/>
      <c r="M244" s="537"/>
      <c r="N244" s="915" t="str">
        <f t="shared" ref="N244:N245" si="71">F244</f>
        <v>2009-2018 Early Cycle P/E Spread to Comps</v>
      </c>
      <c r="O244" s="916"/>
      <c r="P244" s="916"/>
      <c r="Q244" s="916"/>
      <c r="R244" s="916"/>
      <c r="S244" s="12"/>
      <c r="T244" s="12"/>
      <c r="U244" s="12"/>
      <c r="V244" s="12"/>
      <c r="W244" s="12"/>
      <c r="X244" s="12"/>
      <c r="Y244" s="12"/>
      <c r="Z244" s="12"/>
      <c r="AA244" s="12"/>
      <c r="AB244" s="12"/>
    </row>
    <row r="245" spans="1:28" ht="13.5" customHeight="1">
      <c r="A245" s="12"/>
      <c r="B245" s="12"/>
      <c r="C245" s="12"/>
      <c r="D245" s="12"/>
      <c r="E245" s="722" t="str">
        <f ca="1">$J$204</f>
        <v/>
      </c>
      <c r="F245" s="723">
        <f t="shared" ref="F245:G245" si="72">G245-$E$93</f>
        <v>19.224141568043322</v>
      </c>
      <c r="G245" s="723">
        <f t="shared" si="72"/>
        <v>20.224141568043322</v>
      </c>
      <c r="H245" s="724">
        <v>21.224141568043322</v>
      </c>
      <c r="I245" s="723">
        <f t="shared" ref="I245:J245" si="73">H245+$E$93</f>
        <v>22.224141568043322</v>
      </c>
      <c r="J245" s="723">
        <f t="shared" si="73"/>
        <v>23.224141568043322</v>
      </c>
      <c r="K245" s="12"/>
      <c r="L245" s="12"/>
      <c r="M245" s="722">
        <f>$H$73</f>
        <v>0</v>
      </c>
      <c r="N245" s="723">
        <f t="shared" si="71"/>
        <v>19.224141568043322</v>
      </c>
      <c r="O245" s="723">
        <f t="shared" ref="O245:R245" si="74">G245</f>
        <v>20.224141568043322</v>
      </c>
      <c r="P245" s="723">
        <f t="shared" si="74"/>
        <v>21.224141568043322</v>
      </c>
      <c r="Q245" s="723">
        <f t="shared" si="74"/>
        <v>22.224141568043322</v>
      </c>
      <c r="R245" s="723">
        <f t="shared" si="74"/>
        <v>23.224141568043322</v>
      </c>
      <c r="S245" s="12"/>
      <c r="T245" s="12"/>
      <c r="U245" s="12"/>
      <c r="V245" s="12"/>
      <c r="W245" s="12"/>
      <c r="X245" s="12"/>
      <c r="Y245" s="12"/>
      <c r="Z245" s="12"/>
      <c r="AA245" s="12"/>
      <c r="AB245" s="12"/>
    </row>
    <row r="246" spans="1:28" ht="13.5" customHeight="1">
      <c r="A246" s="12"/>
      <c r="B246" s="12"/>
      <c r="C246" s="12"/>
      <c r="D246" s="917" t="s">
        <v>397</v>
      </c>
      <c r="E246" s="763">
        <f>$E$172*(1-(2*$E$153))</f>
        <v>11.73702261514271</v>
      </c>
      <c r="F246" s="727">
        <v>225.63418434082951</v>
      </c>
      <c r="G246" s="728">
        <v>237.37120695597221</v>
      </c>
      <c r="H246" s="728">
        <v>249.10822957111492</v>
      </c>
      <c r="I246" s="728">
        <v>260.84525218625765</v>
      </c>
      <c r="J246" s="729">
        <v>272.58227480140033</v>
      </c>
      <c r="K246" s="12"/>
      <c r="L246" s="917" t="s">
        <v>397</v>
      </c>
      <c r="M246" s="763">
        <f t="shared" ref="M246:M250" si="75">E246</f>
        <v>11.73702261514271</v>
      </c>
      <c r="N246" s="730">
        <f t="shared" ref="N246:R250" si="76">F246/Share_Price-1</f>
        <v>-3.236047542315168E-2</v>
      </c>
      <c r="O246" s="605">
        <f t="shared" si="76"/>
        <v>1.7974127094828818E-2</v>
      </c>
      <c r="P246" s="605">
        <f t="shared" si="76"/>
        <v>6.8308729612809538E-2</v>
      </c>
      <c r="Q246" s="605">
        <f t="shared" si="76"/>
        <v>0.11864333213079004</v>
      </c>
      <c r="R246" s="731">
        <f t="shared" si="76"/>
        <v>0.16897793464877053</v>
      </c>
      <c r="S246" s="12"/>
      <c r="T246" s="12"/>
      <c r="U246" s="12"/>
      <c r="V246" s="12"/>
      <c r="W246" s="12"/>
      <c r="X246" s="12"/>
      <c r="Y246" s="12"/>
      <c r="Z246" s="12"/>
      <c r="AA246" s="12"/>
      <c r="AB246" s="12"/>
    </row>
    <row r="247" spans="1:28" ht="13.5" customHeight="1">
      <c r="A247" s="12"/>
      <c r="B247" s="12"/>
      <c r="C247" s="12"/>
      <c r="D247" s="918"/>
      <c r="E247" s="763">
        <f>$E$172*(1-$E$153)</f>
        <v>13.204150442035548</v>
      </c>
      <c r="F247" s="732">
        <v>253.83845738343319</v>
      </c>
      <c r="G247" s="733">
        <v>267.04260782546874</v>
      </c>
      <c r="H247" s="733">
        <v>280.24675826750428</v>
      </c>
      <c r="I247" s="733">
        <v>293.45090870953982</v>
      </c>
      <c r="J247" s="734">
        <v>306.65505915157536</v>
      </c>
      <c r="K247" s="12"/>
      <c r="L247" s="918"/>
      <c r="M247" s="763">
        <f t="shared" si="75"/>
        <v>13.204150442035548</v>
      </c>
      <c r="N247" s="735">
        <f t="shared" si="76"/>
        <v>8.8594465148954304E-2</v>
      </c>
      <c r="O247" s="497">
        <f t="shared" si="76"/>
        <v>0.1452208929816825</v>
      </c>
      <c r="P247" s="497">
        <f t="shared" si="76"/>
        <v>0.2018473208144107</v>
      </c>
      <c r="Q247" s="497">
        <f t="shared" si="76"/>
        <v>0.25847374864713868</v>
      </c>
      <c r="R247" s="616">
        <f t="shared" si="76"/>
        <v>0.31510017647986688</v>
      </c>
      <c r="S247" s="12"/>
      <c r="T247" s="12"/>
      <c r="U247" s="12"/>
      <c r="V247" s="12"/>
      <c r="W247" s="12"/>
      <c r="X247" s="12"/>
      <c r="Y247" s="12"/>
      <c r="Z247" s="12"/>
      <c r="AA247" s="12"/>
      <c r="AB247" s="12"/>
    </row>
    <row r="248" spans="1:28" ht="13.5" customHeight="1">
      <c r="A248" s="12"/>
      <c r="B248" s="12"/>
      <c r="C248" s="12"/>
      <c r="D248" s="918"/>
      <c r="E248" s="764">
        <v>14.671278268928386</v>
      </c>
      <c r="F248" s="732">
        <v>282.04273042603688</v>
      </c>
      <c r="G248" s="733">
        <v>296.71400869496523</v>
      </c>
      <c r="H248" s="733">
        <v>311.38528696389363</v>
      </c>
      <c r="I248" s="733">
        <v>326.05656523282204</v>
      </c>
      <c r="J248" s="734">
        <v>340.72784350175039</v>
      </c>
      <c r="K248" s="12"/>
      <c r="L248" s="918"/>
      <c r="M248" s="763">
        <f t="shared" si="75"/>
        <v>14.671278268928386</v>
      </c>
      <c r="N248" s="735">
        <f t="shared" si="76"/>
        <v>0.20954940572106051</v>
      </c>
      <c r="O248" s="497">
        <f t="shared" si="76"/>
        <v>0.27246765886853597</v>
      </c>
      <c r="P248" s="497">
        <f t="shared" si="76"/>
        <v>0.33538591201601187</v>
      </c>
      <c r="Q248" s="497">
        <f t="shared" si="76"/>
        <v>0.39830416516348754</v>
      </c>
      <c r="R248" s="616">
        <f t="shared" si="76"/>
        <v>0.461222418310963</v>
      </c>
      <c r="S248" s="12"/>
      <c r="T248" s="12"/>
      <c r="U248" s="12"/>
      <c r="V248" s="12"/>
      <c r="W248" s="12"/>
      <c r="X248" s="12"/>
      <c r="Y248" s="12"/>
      <c r="Z248" s="12"/>
      <c r="AA248" s="12"/>
      <c r="AB248" s="12"/>
    </row>
    <row r="249" spans="1:28" ht="13.5" customHeight="1">
      <c r="A249" s="12"/>
      <c r="B249" s="12"/>
      <c r="C249" s="12"/>
      <c r="D249" s="918"/>
      <c r="E249" s="763">
        <f>$E$172*(1+$E$153)</f>
        <v>16.138406095821225</v>
      </c>
      <c r="F249" s="732">
        <v>310.24700346864057</v>
      </c>
      <c r="G249" s="733">
        <v>326.38540956446178</v>
      </c>
      <c r="H249" s="733">
        <v>342.52381566028299</v>
      </c>
      <c r="I249" s="733">
        <v>358.6622217561042</v>
      </c>
      <c r="J249" s="734">
        <v>374.80062785192547</v>
      </c>
      <c r="K249" s="12"/>
      <c r="L249" s="918"/>
      <c r="M249" s="763">
        <f t="shared" si="75"/>
        <v>16.138406095821225</v>
      </c>
      <c r="N249" s="735">
        <f t="shared" si="76"/>
        <v>0.3305043462931665</v>
      </c>
      <c r="O249" s="497">
        <f t="shared" si="76"/>
        <v>0.39971442475538965</v>
      </c>
      <c r="P249" s="497">
        <f t="shared" si="76"/>
        <v>0.46892450321761303</v>
      </c>
      <c r="Q249" s="497">
        <f t="shared" si="76"/>
        <v>0.53813458167983619</v>
      </c>
      <c r="R249" s="616">
        <f t="shared" si="76"/>
        <v>0.60734466014205957</v>
      </c>
      <c r="S249" s="12"/>
      <c r="T249" s="12"/>
      <c r="U249" s="12"/>
      <c r="V249" s="12"/>
      <c r="W249" s="12"/>
      <c r="X249" s="12"/>
      <c r="Y249" s="12"/>
      <c r="Z249" s="12"/>
      <c r="AA249" s="12"/>
      <c r="AB249" s="12"/>
    </row>
    <row r="250" spans="1:28" ht="13.5" customHeight="1">
      <c r="A250" s="12"/>
      <c r="B250" s="12"/>
      <c r="C250" s="12"/>
      <c r="D250" s="919"/>
      <c r="E250" s="763">
        <f>$E$172*(1+(2*$E$153))</f>
        <v>17.605533922714063</v>
      </c>
      <c r="F250" s="738">
        <v>338.4512765112442</v>
      </c>
      <c r="G250" s="739">
        <v>356.05681043395828</v>
      </c>
      <c r="H250" s="739">
        <v>373.66234435667235</v>
      </c>
      <c r="I250" s="739">
        <v>391.26787827938642</v>
      </c>
      <c r="J250" s="740">
        <v>408.8734122021005</v>
      </c>
      <c r="K250" s="12"/>
      <c r="L250" s="919"/>
      <c r="M250" s="763">
        <f t="shared" si="75"/>
        <v>17.605533922714063</v>
      </c>
      <c r="N250" s="741">
        <f t="shared" si="76"/>
        <v>0.45145928686527226</v>
      </c>
      <c r="O250" s="613">
        <f t="shared" si="76"/>
        <v>0.52696119064224312</v>
      </c>
      <c r="P250" s="613">
        <f t="shared" si="76"/>
        <v>0.60246309441921397</v>
      </c>
      <c r="Q250" s="613">
        <f t="shared" si="76"/>
        <v>0.67796499819618505</v>
      </c>
      <c r="R250" s="742">
        <f t="shared" si="76"/>
        <v>0.75346690197315591</v>
      </c>
      <c r="S250" s="12"/>
      <c r="T250" s="12"/>
      <c r="U250" s="12"/>
      <c r="V250" s="12"/>
      <c r="W250" s="12"/>
      <c r="X250" s="12"/>
      <c r="Y250" s="12"/>
      <c r="Z250" s="12"/>
      <c r="AA250" s="12"/>
      <c r="AB250" s="12"/>
    </row>
    <row r="251" spans="1:28"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3.5" customHeight="1">
      <c r="A252" s="12"/>
      <c r="B252" s="12"/>
      <c r="C252" s="12"/>
      <c r="D252" s="535"/>
      <c r="E252" s="537"/>
      <c r="F252" s="915" t="str">
        <f>$G$220&amp;" "&amp;$G$221&amp;" EV/EBITDA"</f>
        <v>2009-2018 Early Cycle EV/EBITDA</v>
      </c>
      <c r="G252" s="916"/>
      <c r="H252" s="916"/>
      <c r="I252" s="916"/>
      <c r="J252" s="916"/>
      <c r="K252" s="12"/>
      <c r="L252" s="535"/>
      <c r="M252" s="537"/>
      <c r="N252" s="915" t="str">
        <f t="shared" ref="N252:N253" si="77">F252</f>
        <v>2009-2018 Early Cycle EV/EBITDA</v>
      </c>
      <c r="O252" s="916"/>
      <c r="P252" s="916"/>
      <c r="Q252" s="916"/>
      <c r="R252" s="916"/>
      <c r="S252" s="12"/>
      <c r="T252" s="12"/>
      <c r="U252" s="12"/>
      <c r="V252" s="12"/>
      <c r="W252" s="12"/>
      <c r="X252" s="12"/>
      <c r="Y252" s="12"/>
      <c r="Z252" s="12"/>
      <c r="AA252" s="12"/>
      <c r="AB252" s="12"/>
    </row>
    <row r="253" spans="1:28" ht="13.5" customHeight="1">
      <c r="A253" s="12"/>
      <c r="B253" s="12"/>
      <c r="C253" s="12"/>
      <c r="D253" s="12"/>
      <c r="E253" s="722" t="str">
        <f ca="1">$N$215</f>
        <v/>
      </c>
      <c r="F253" s="723">
        <f t="shared" ref="F253:G253" si="78">G253-$E$93</f>
        <v>5.4082874999999992</v>
      </c>
      <c r="G253" s="723">
        <f t="shared" si="78"/>
        <v>6.4082874999999992</v>
      </c>
      <c r="H253" s="724">
        <v>7.4082874999999992</v>
      </c>
      <c r="I253" s="723">
        <f t="shared" ref="I253:J253" si="79">H253+$E$93</f>
        <v>8.4082875000000001</v>
      </c>
      <c r="J253" s="723">
        <f t="shared" si="79"/>
        <v>9.4082875000000001</v>
      </c>
      <c r="K253" s="12"/>
      <c r="L253" s="12"/>
      <c r="M253" s="722">
        <f>$H$73</f>
        <v>0</v>
      </c>
      <c r="N253" s="723">
        <f t="shared" si="77"/>
        <v>5.4082874999999992</v>
      </c>
      <c r="O253" s="723">
        <f t="shared" ref="O253:R253" si="80">G253</f>
        <v>6.4082874999999992</v>
      </c>
      <c r="P253" s="723">
        <f t="shared" si="80"/>
        <v>7.4082874999999992</v>
      </c>
      <c r="Q253" s="723">
        <f t="shared" si="80"/>
        <v>8.4082875000000001</v>
      </c>
      <c r="R253" s="723">
        <f t="shared" si="80"/>
        <v>9.4082875000000001</v>
      </c>
      <c r="S253" s="12"/>
      <c r="T253" s="12"/>
      <c r="U253" s="12"/>
      <c r="V253" s="12"/>
      <c r="W253" s="12"/>
      <c r="X253" s="12"/>
      <c r="Y253" s="12"/>
      <c r="Z253" s="12"/>
      <c r="AA253" s="12"/>
      <c r="AB253" s="12"/>
    </row>
    <row r="254" spans="1:28" ht="13.5" customHeight="1">
      <c r="A254" s="12"/>
      <c r="B254" s="12"/>
      <c r="C254" s="12"/>
      <c r="D254" s="917" t="s">
        <v>292</v>
      </c>
      <c r="E254" s="700">
        <f>$E$180*(1-(2*$K$153))</f>
        <v>12087.035287774353</v>
      </c>
      <c r="F254" s="727">
        <v>67.644742570706541</v>
      </c>
      <c r="G254" s="728">
        <v>85.111556570380472</v>
      </c>
      <c r="H254" s="728">
        <v>102.5783705700544</v>
      </c>
      <c r="I254" s="728">
        <v>120.04518456972832</v>
      </c>
      <c r="J254" s="729">
        <v>137.51199856940224</v>
      </c>
      <c r="K254" s="12"/>
      <c r="L254" s="917" t="s">
        <v>292</v>
      </c>
      <c r="M254" s="700">
        <f t="shared" ref="M254:M258" si="81">E254</f>
        <v>12087.035287774353</v>
      </c>
      <c r="N254" s="730">
        <f t="shared" ref="N254:R258" si="82">F254/Share_Price-1</f>
        <v>-0.70990332545369872</v>
      </c>
      <c r="O254" s="605">
        <f t="shared" si="82"/>
        <v>-0.63499632657011551</v>
      </c>
      <c r="P254" s="605">
        <f t="shared" si="82"/>
        <v>-0.5600893276865323</v>
      </c>
      <c r="Q254" s="605">
        <f t="shared" si="82"/>
        <v>-0.4851823288029492</v>
      </c>
      <c r="R254" s="731">
        <f t="shared" si="82"/>
        <v>-0.41027532991936599</v>
      </c>
      <c r="S254" s="12"/>
      <c r="T254" s="12"/>
      <c r="U254" s="12"/>
      <c r="V254" s="12"/>
      <c r="W254" s="12"/>
      <c r="X254" s="12"/>
      <c r="Y254" s="12"/>
      <c r="Z254" s="12"/>
      <c r="AA254" s="12"/>
      <c r="AB254" s="12"/>
    </row>
    <row r="255" spans="1:28" ht="13.5" customHeight="1">
      <c r="A255" s="12"/>
      <c r="B255" s="12"/>
      <c r="C255" s="12"/>
      <c r="D255" s="918"/>
      <c r="E255" s="700">
        <f>$E$180*(1-$K$153)</f>
        <v>13597.914698746146</v>
      </c>
      <c r="F255" s="732">
        <v>79.452936548114209</v>
      </c>
      <c r="G255" s="733">
        <v>99.10310229774737</v>
      </c>
      <c r="H255" s="733">
        <v>118.75326804738054</v>
      </c>
      <c r="I255" s="733">
        <v>138.40343379701372</v>
      </c>
      <c r="J255" s="734">
        <v>158.05359954664689</v>
      </c>
      <c r="K255" s="12"/>
      <c r="L255" s="918"/>
      <c r="M255" s="700">
        <f t="shared" si="81"/>
        <v>13597.914698746146</v>
      </c>
      <c r="N255" s="735">
        <f t="shared" si="82"/>
        <v>-0.65926350223812413</v>
      </c>
      <c r="O255" s="497">
        <f t="shared" si="82"/>
        <v>-0.57499312849409312</v>
      </c>
      <c r="P255" s="497">
        <f t="shared" si="82"/>
        <v>-0.490722754750062</v>
      </c>
      <c r="Q255" s="497">
        <f t="shared" si="82"/>
        <v>-0.40645238100603087</v>
      </c>
      <c r="R255" s="616">
        <f t="shared" si="82"/>
        <v>-0.32218200726199975</v>
      </c>
      <c r="S255" s="12"/>
      <c r="T255" s="12"/>
      <c r="U255" s="12"/>
      <c r="V255" s="12"/>
      <c r="W255" s="12"/>
      <c r="X255" s="12"/>
      <c r="Y255" s="12"/>
      <c r="Z255" s="12"/>
      <c r="AA255" s="12"/>
      <c r="AB255" s="12"/>
    </row>
    <row r="256" spans="1:28" ht="13.5" customHeight="1">
      <c r="A256" s="12"/>
      <c r="B256" s="12"/>
      <c r="C256" s="12"/>
      <c r="D256" s="918"/>
      <c r="E256" s="765">
        <v>15108.794109717941</v>
      </c>
      <c r="F256" s="732">
        <v>91.261130525521907</v>
      </c>
      <c r="G256" s="733">
        <v>113.09464802511431</v>
      </c>
      <c r="H256" s="733">
        <v>134.92816552470671</v>
      </c>
      <c r="I256" s="733">
        <v>156.76168302429915</v>
      </c>
      <c r="J256" s="734">
        <v>178.59520052389152</v>
      </c>
      <c r="K256" s="12"/>
      <c r="L256" s="918"/>
      <c r="M256" s="700">
        <f t="shared" si="81"/>
        <v>15108.794109717941</v>
      </c>
      <c r="N256" s="735">
        <f t="shared" si="82"/>
        <v>-0.60862367902254944</v>
      </c>
      <c r="O256" s="497">
        <f t="shared" si="82"/>
        <v>-0.51498993041807051</v>
      </c>
      <c r="P256" s="497">
        <f t="shared" si="82"/>
        <v>-0.42135618181359158</v>
      </c>
      <c r="Q256" s="497">
        <f t="shared" si="82"/>
        <v>-0.32772243320911254</v>
      </c>
      <c r="R256" s="616">
        <f t="shared" si="82"/>
        <v>-0.23408868460463372</v>
      </c>
      <c r="S256" s="12"/>
      <c r="T256" s="12"/>
      <c r="U256" s="12"/>
      <c r="V256" s="12"/>
      <c r="W256" s="12"/>
      <c r="X256" s="12"/>
      <c r="Y256" s="12"/>
      <c r="Z256" s="12"/>
      <c r="AA256" s="12"/>
      <c r="AB256" s="12"/>
    </row>
    <row r="257" spans="1:28" ht="13.5" customHeight="1">
      <c r="A257" s="12"/>
      <c r="B257" s="12"/>
      <c r="C257" s="12"/>
      <c r="D257" s="918"/>
      <c r="E257" s="700">
        <f>$E$180*(1+$K$153)</f>
        <v>16619.673520689736</v>
      </c>
      <c r="F257" s="732">
        <v>103.06932450292959</v>
      </c>
      <c r="G257" s="733">
        <v>127.08619375248122</v>
      </c>
      <c r="H257" s="733">
        <v>151.10306300203288</v>
      </c>
      <c r="I257" s="733">
        <v>175.11993225158452</v>
      </c>
      <c r="J257" s="734">
        <v>199.13680150113618</v>
      </c>
      <c r="K257" s="12"/>
      <c r="L257" s="918"/>
      <c r="M257" s="700">
        <f t="shared" si="81"/>
        <v>16619.673520689736</v>
      </c>
      <c r="N257" s="735">
        <f t="shared" si="82"/>
        <v>-0.55798385580697496</v>
      </c>
      <c r="O257" s="497">
        <f t="shared" si="82"/>
        <v>-0.45498673234204812</v>
      </c>
      <c r="P257" s="497">
        <f t="shared" si="82"/>
        <v>-0.35198960887712116</v>
      </c>
      <c r="Q257" s="497">
        <f t="shared" si="82"/>
        <v>-0.24899248541219443</v>
      </c>
      <c r="R257" s="616">
        <f t="shared" si="82"/>
        <v>-0.14599536194726748</v>
      </c>
      <c r="S257" s="12"/>
      <c r="T257" s="12"/>
      <c r="U257" s="12"/>
      <c r="V257" s="12"/>
      <c r="W257" s="12"/>
      <c r="X257" s="12"/>
      <c r="Y257" s="12"/>
      <c r="Z257" s="12"/>
      <c r="AA257" s="12"/>
      <c r="AB257" s="12"/>
    </row>
    <row r="258" spans="1:28" ht="13.5" customHeight="1">
      <c r="A258" s="12"/>
      <c r="B258" s="12"/>
      <c r="C258" s="12"/>
      <c r="D258" s="919"/>
      <c r="E258" s="700">
        <f>$E$180*(1+(2*$K$153))</f>
        <v>18130.552931661528</v>
      </c>
      <c r="F258" s="738">
        <v>114.87751848033726</v>
      </c>
      <c r="G258" s="739">
        <v>141.07773947984813</v>
      </c>
      <c r="H258" s="739">
        <v>167.277960479359</v>
      </c>
      <c r="I258" s="739">
        <v>193.47818147886994</v>
      </c>
      <c r="J258" s="740">
        <v>219.6784024783808</v>
      </c>
      <c r="K258" s="12"/>
      <c r="L258" s="919"/>
      <c r="M258" s="700">
        <f t="shared" si="81"/>
        <v>18130.552931661528</v>
      </c>
      <c r="N258" s="741">
        <f t="shared" si="82"/>
        <v>-0.50734403259140037</v>
      </c>
      <c r="O258" s="613">
        <f t="shared" si="82"/>
        <v>-0.39498353426602573</v>
      </c>
      <c r="P258" s="613">
        <f t="shared" si="82"/>
        <v>-0.28262303594065108</v>
      </c>
      <c r="Q258" s="613">
        <f t="shared" si="82"/>
        <v>-0.17026253761527599</v>
      </c>
      <c r="R258" s="742">
        <f t="shared" si="82"/>
        <v>-5.7902039289901341E-2</v>
      </c>
      <c r="S258" s="12"/>
      <c r="T258" s="12"/>
      <c r="U258" s="12"/>
      <c r="V258" s="12"/>
      <c r="W258" s="12"/>
      <c r="X258" s="12"/>
      <c r="Y258" s="12"/>
      <c r="Z258" s="12"/>
      <c r="AA258" s="12"/>
      <c r="AB258" s="12"/>
    </row>
    <row r="259" spans="1:28"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3.5" customHeight="1">
      <c r="A260" s="12"/>
      <c r="B260" s="12"/>
      <c r="C260" s="12"/>
      <c r="D260" s="535"/>
      <c r="E260" s="537"/>
      <c r="F260" s="915" t="str">
        <f>$G$220&amp;" "&amp;$G$221&amp;" EV/EBITDA Spread to Comps"</f>
        <v>2009-2018 Early Cycle EV/EBITDA Spread to Comps</v>
      </c>
      <c r="G260" s="916"/>
      <c r="H260" s="916"/>
      <c r="I260" s="916"/>
      <c r="J260" s="916"/>
      <c r="K260" s="12"/>
      <c r="L260" s="535"/>
      <c r="M260" s="537"/>
      <c r="N260" s="915" t="str">
        <f t="shared" ref="N260:N261" si="83">F260</f>
        <v>2009-2018 Early Cycle EV/EBITDA Spread to Comps</v>
      </c>
      <c r="O260" s="916"/>
      <c r="P260" s="916"/>
      <c r="Q260" s="916"/>
      <c r="R260" s="916"/>
      <c r="S260" s="12"/>
      <c r="T260" s="12"/>
      <c r="U260" s="12"/>
      <c r="V260" s="12"/>
      <c r="W260" s="12"/>
      <c r="X260" s="12"/>
      <c r="Y260" s="12"/>
      <c r="Z260" s="12"/>
      <c r="AA260" s="12"/>
      <c r="AB260" s="12"/>
    </row>
    <row r="261" spans="1:28" ht="13.5" customHeight="1">
      <c r="A261" s="12"/>
      <c r="B261" s="12"/>
      <c r="C261" s="12"/>
      <c r="D261" s="12"/>
      <c r="E261" s="722" t="str">
        <f ca="1">$R$215</f>
        <v/>
      </c>
      <c r="F261" s="723">
        <f t="shared" ref="F261:G261" si="84">G261-$E$93</f>
        <v>10.655598918298834</v>
      </c>
      <c r="G261" s="723">
        <f t="shared" si="84"/>
        <v>11.655598918298834</v>
      </c>
      <c r="H261" s="724">
        <v>12.655598918298834</v>
      </c>
      <c r="I261" s="723">
        <f t="shared" ref="I261:J261" si="85">H261+$E$93</f>
        <v>13.655598918298834</v>
      </c>
      <c r="J261" s="723">
        <f t="shared" si="85"/>
        <v>14.655598918298834</v>
      </c>
      <c r="K261" s="12"/>
      <c r="L261" s="12"/>
      <c r="M261" s="722">
        <f>$H$73</f>
        <v>0</v>
      </c>
      <c r="N261" s="723">
        <f t="shared" si="83"/>
        <v>10.655598918298834</v>
      </c>
      <c r="O261" s="723">
        <f t="shared" ref="O261:R261" si="86">G261</f>
        <v>11.655598918298834</v>
      </c>
      <c r="P261" s="723">
        <f t="shared" si="86"/>
        <v>12.655598918298834</v>
      </c>
      <c r="Q261" s="723">
        <f t="shared" si="86"/>
        <v>13.655598918298834</v>
      </c>
      <c r="R261" s="723">
        <f t="shared" si="86"/>
        <v>14.655598918298834</v>
      </c>
      <c r="S261" s="12"/>
      <c r="T261" s="12"/>
      <c r="U261" s="12"/>
      <c r="V261" s="12"/>
      <c r="W261" s="12"/>
      <c r="X261" s="12"/>
      <c r="Y261" s="12"/>
      <c r="Z261" s="12"/>
      <c r="AA261" s="12"/>
      <c r="AB261" s="12"/>
    </row>
    <row r="262" spans="1:28" ht="13.5" customHeight="1">
      <c r="A262" s="12"/>
      <c r="B262" s="12"/>
      <c r="C262" s="12"/>
      <c r="D262" s="917" t="s">
        <v>292</v>
      </c>
      <c r="E262" s="700">
        <f>$E$188*(1-(2*$K$153))</f>
        <v>12087.035287774353</v>
      </c>
      <c r="F262" s="727">
        <v>159.29855511249744</v>
      </c>
      <c r="G262" s="728">
        <v>176.76536911217136</v>
      </c>
      <c r="H262" s="728">
        <v>194.2321831118453</v>
      </c>
      <c r="I262" s="728">
        <v>211.69899711151919</v>
      </c>
      <c r="J262" s="729">
        <v>229.16581111119316</v>
      </c>
      <c r="K262" s="12"/>
      <c r="L262" s="917" t="s">
        <v>292</v>
      </c>
      <c r="M262" s="700">
        <f t="shared" ref="M262:M266" si="87">E262</f>
        <v>12087.035287774353</v>
      </c>
      <c r="N262" s="730">
        <f t="shared" ref="N262:R266" si="88">F262/Share_Price-1</f>
        <v>-0.31684297490137481</v>
      </c>
      <c r="O262" s="605">
        <f t="shared" si="88"/>
        <v>-0.2419359760177916</v>
      </c>
      <c r="P262" s="605">
        <f t="shared" si="88"/>
        <v>-0.16702897713420839</v>
      </c>
      <c r="Q262" s="605">
        <f t="shared" si="88"/>
        <v>-9.2121978250625292E-2</v>
      </c>
      <c r="R262" s="731">
        <f t="shared" si="88"/>
        <v>-1.7214979367041972E-2</v>
      </c>
      <c r="S262" s="12"/>
      <c r="T262" s="12"/>
      <c r="U262" s="12"/>
      <c r="V262" s="12"/>
      <c r="W262" s="12"/>
      <c r="X262" s="12"/>
      <c r="Y262" s="12"/>
      <c r="Z262" s="12"/>
      <c r="AA262" s="12"/>
      <c r="AB262" s="12"/>
    </row>
    <row r="263" spans="1:28" ht="13.5" customHeight="1">
      <c r="A263" s="12"/>
      <c r="B263" s="12"/>
      <c r="C263" s="12"/>
      <c r="D263" s="918"/>
      <c r="E263" s="700">
        <f>$E$188*(1-$K$153)</f>
        <v>13597.914698746146</v>
      </c>
      <c r="F263" s="732">
        <v>182.56347565762897</v>
      </c>
      <c r="G263" s="733">
        <v>202.21364140726214</v>
      </c>
      <c r="H263" s="733">
        <v>221.86380715689529</v>
      </c>
      <c r="I263" s="733">
        <v>241.51397290652844</v>
      </c>
      <c r="J263" s="734">
        <v>261.16413865616158</v>
      </c>
      <c r="K263" s="12"/>
      <c r="L263" s="918"/>
      <c r="M263" s="700">
        <f t="shared" si="87"/>
        <v>13597.914698746146</v>
      </c>
      <c r="N263" s="735">
        <f t="shared" si="88"/>
        <v>-0.21707060786675969</v>
      </c>
      <c r="O263" s="497">
        <f t="shared" si="88"/>
        <v>-0.13280023412272868</v>
      </c>
      <c r="P263" s="497">
        <f t="shared" si="88"/>
        <v>-4.8529860378697665E-2</v>
      </c>
      <c r="Q263" s="497">
        <f t="shared" si="88"/>
        <v>3.5740513365333237E-2</v>
      </c>
      <c r="R263" s="616">
        <f t="shared" si="88"/>
        <v>0.12001088710936436</v>
      </c>
      <c r="S263" s="12"/>
      <c r="T263" s="12"/>
      <c r="U263" s="12"/>
      <c r="V263" s="12"/>
      <c r="W263" s="12"/>
      <c r="X263" s="12"/>
      <c r="Y263" s="12"/>
      <c r="Z263" s="12"/>
      <c r="AA263" s="12"/>
      <c r="AB263" s="12"/>
    </row>
    <row r="264" spans="1:28" ht="13.5" customHeight="1">
      <c r="A264" s="12"/>
      <c r="B264" s="12"/>
      <c r="C264" s="12"/>
      <c r="D264" s="918"/>
      <c r="E264" s="765">
        <v>15108.794109717941</v>
      </c>
      <c r="F264" s="732">
        <v>205.8283962027605</v>
      </c>
      <c r="G264" s="733">
        <v>227.6619137023529</v>
      </c>
      <c r="H264" s="733">
        <v>249.49543120194531</v>
      </c>
      <c r="I264" s="733">
        <v>271.32894870153774</v>
      </c>
      <c r="J264" s="734">
        <v>293.16246620113014</v>
      </c>
      <c r="K264" s="12"/>
      <c r="L264" s="918"/>
      <c r="M264" s="700">
        <f t="shared" si="87"/>
        <v>15108.794109717941</v>
      </c>
      <c r="N264" s="735">
        <f t="shared" si="88"/>
        <v>-0.11729824083214468</v>
      </c>
      <c r="O264" s="497">
        <f t="shared" si="88"/>
        <v>-2.3664492227665757E-2</v>
      </c>
      <c r="P264" s="497">
        <f t="shared" si="88"/>
        <v>6.9969256376813282E-2</v>
      </c>
      <c r="Q264" s="497">
        <f t="shared" si="88"/>
        <v>0.16360300498129221</v>
      </c>
      <c r="R264" s="616">
        <f t="shared" si="88"/>
        <v>0.25723675358577114</v>
      </c>
      <c r="S264" s="12"/>
      <c r="T264" s="12"/>
      <c r="U264" s="12"/>
      <c r="V264" s="12"/>
      <c r="W264" s="12"/>
      <c r="X264" s="12"/>
      <c r="Y264" s="12"/>
      <c r="Z264" s="12"/>
      <c r="AA264" s="12"/>
      <c r="AB264" s="12"/>
    </row>
    <row r="265" spans="1:28" ht="13.5" customHeight="1">
      <c r="A265" s="12"/>
      <c r="B265" s="12"/>
      <c r="C265" s="12"/>
      <c r="D265" s="918"/>
      <c r="E265" s="700">
        <f>$E$188*(1+$K$153)</f>
        <v>16619.673520689736</v>
      </c>
      <c r="F265" s="732">
        <v>229.09331674789209</v>
      </c>
      <c r="G265" s="733">
        <v>253.11018599744369</v>
      </c>
      <c r="H265" s="733">
        <v>277.12705524699533</v>
      </c>
      <c r="I265" s="733">
        <v>301.14392449654702</v>
      </c>
      <c r="J265" s="734">
        <v>325.16079374609865</v>
      </c>
      <c r="K265" s="12"/>
      <c r="L265" s="918"/>
      <c r="M265" s="700">
        <f t="shared" si="87"/>
        <v>16619.673520689736</v>
      </c>
      <c r="N265" s="735">
        <f t="shared" si="88"/>
        <v>-1.7525873797529457E-2</v>
      </c>
      <c r="O265" s="497">
        <f t="shared" si="88"/>
        <v>8.5471249667397275E-2</v>
      </c>
      <c r="P265" s="497">
        <f t="shared" si="88"/>
        <v>0.18846837313232401</v>
      </c>
      <c r="Q265" s="497">
        <f t="shared" si="88"/>
        <v>0.29146549659725118</v>
      </c>
      <c r="R265" s="616">
        <f t="shared" si="88"/>
        <v>0.39446262006217792</v>
      </c>
      <c r="S265" s="12"/>
      <c r="T265" s="12"/>
      <c r="U265" s="12"/>
      <c r="V265" s="12"/>
      <c r="W265" s="12"/>
      <c r="X265" s="12"/>
      <c r="Y265" s="12"/>
      <c r="Z265" s="12"/>
      <c r="AA265" s="12"/>
      <c r="AB265" s="12"/>
    </row>
    <row r="266" spans="1:28" ht="14.25" customHeight="1">
      <c r="A266" s="12"/>
      <c r="B266" s="12"/>
      <c r="C266" s="12"/>
      <c r="D266" s="919"/>
      <c r="E266" s="700">
        <f>$E$188*(1+(2*$K$153))</f>
        <v>18130.552931661528</v>
      </c>
      <c r="F266" s="738">
        <v>252.35823729302359</v>
      </c>
      <c r="G266" s="739">
        <v>278.55845829253451</v>
      </c>
      <c r="H266" s="739">
        <v>304.75867929204531</v>
      </c>
      <c r="I266" s="739">
        <v>330.95890029155623</v>
      </c>
      <c r="J266" s="740">
        <v>357.15912129106709</v>
      </c>
      <c r="K266" s="12"/>
      <c r="L266" s="919"/>
      <c r="M266" s="700">
        <f t="shared" si="87"/>
        <v>18130.552931661528</v>
      </c>
      <c r="N266" s="741">
        <f t="shared" si="88"/>
        <v>8.2246493237085438E-2</v>
      </c>
      <c r="O266" s="613">
        <f t="shared" si="88"/>
        <v>0.19460699156246042</v>
      </c>
      <c r="P266" s="613">
        <f t="shared" si="88"/>
        <v>0.30696748988783473</v>
      </c>
      <c r="Q266" s="613">
        <f t="shared" si="88"/>
        <v>0.41932798821320971</v>
      </c>
      <c r="R266" s="742">
        <f t="shared" si="88"/>
        <v>0.53168848653858425</v>
      </c>
      <c r="S266" s="12"/>
      <c r="T266" s="12"/>
      <c r="U266" s="12"/>
      <c r="V266" s="12"/>
      <c r="W266" s="12"/>
      <c r="X266" s="12"/>
      <c r="Y266" s="12"/>
      <c r="Z266" s="12"/>
      <c r="AA266" s="12"/>
      <c r="AB266" s="12"/>
    </row>
    <row r="267" spans="1:28" ht="4.5" customHeight="1">
      <c r="A267" s="12"/>
      <c r="B267" s="12"/>
      <c r="C267" s="12"/>
      <c r="D267" s="768"/>
      <c r="E267" s="85"/>
      <c r="F267" s="181"/>
      <c r="G267" s="181"/>
      <c r="H267" s="181"/>
      <c r="I267" s="181"/>
      <c r="J267" s="181"/>
      <c r="K267" s="12"/>
      <c r="L267" s="768"/>
      <c r="M267" s="85"/>
      <c r="N267" s="122"/>
      <c r="O267" s="122"/>
      <c r="P267" s="122"/>
      <c r="Q267" s="122"/>
      <c r="R267" s="122"/>
      <c r="S267" s="12"/>
      <c r="T267" s="12"/>
      <c r="U267" s="12"/>
      <c r="V267" s="12"/>
      <c r="W267" s="12"/>
      <c r="X267" s="12"/>
      <c r="Y267" s="12"/>
      <c r="Z267" s="12"/>
      <c r="AA267" s="12"/>
      <c r="AB267" s="12"/>
    </row>
    <row r="268" spans="1:28" ht="13.5" customHeight="1">
      <c r="A268" s="211" t="s">
        <v>1</v>
      </c>
      <c r="B268" s="12"/>
      <c r="C268" s="882" t="s">
        <v>808</v>
      </c>
      <c r="D268" s="883"/>
      <c r="E268" s="883"/>
      <c r="F268" s="883"/>
      <c r="G268" s="883"/>
      <c r="H268" s="883"/>
      <c r="I268" s="883"/>
      <c r="J268" s="883"/>
      <c r="K268" s="883"/>
      <c r="L268" s="883"/>
      <c r="M268" s="883"/>
      <c r="N268" s="883"/>
      <c r="O268" s="883"/>
      <c r="P268" s="883"/>
      <c r="Q268" s="883"/>
      <c r="R268" s="883"/>
      <c r="S268" s="211" t="s">
        <v>1</v>
      </c>
      <c r="T268" s="12"/>
      <c r="U268" s="12"/>
      <c r="V268" s="12"/>
      <c r="W268" s="12"/>
      <c r="X268" s="12"/>
      <c r="Y268" s="12"/>
      <c r="Z268" s="12"/>
      <c r="AA268" s="12"/>
      <c r="AB268" s="12"/>
    </row>
    <row r="269" spans="1:28" ht="4.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3.5" hidden="1" customHeight="1" outlineLevel="1" collapsed="1">
      <c r="A270" s="12"/>
      <c r="B270" s="12"/>
      <c r="C270" s="36" t="s">
        <v>243</v>
      </c>
      <c r="D270" s="37"/>
      <c r="E270" s="80" t="s">
        <v>869</v>
      </c>
      <c r="F270" s="37"/>
      <c r="G270" s="80" t="s">
        <v>904</v>
      </c>
      <c r="H270" s="80"/>
      <c r="I270" s="80" t="s">
        <v>905</v>
      </c>
      <c r="J270" s="80"/>
      <c r="K270" s="80" t="s">
        <v>867</v>
      </c>
      <c r="L270" s="80"/>
      <c r="M270" s="38" t="s">
        <v>906</v>
      </c>
      <c r="N270" s="12"/>
      <c r="O270" s="874" t="s">
        <v>907</v>
      </c>
      <c r="P270" s="858"/>
      <c r="Q270" s="858"/>
      <c r="R270" s="854"/>
      <c r="S270" s="12"/>
      <c r="T270" s="12"/>
      <c r="U270" s="12"/>
      <c r="V270" s="12"/>
      <c r="W270" s="12"/>
      <c r="X270" s="12"/>
      <c r="Y270" s="12"/>
      <c r="Z270" s="12"/>
      <c r="AA270" s="12"/>
      <c r="AB270" s="12"/>
    </row>
    <row r="271" spans="1:28" ht="4.5" hidden="1" customHeight="1" outlineLevel="1" collapsed="1">
      <c r="A271" s="12"/>
      <c r="B271" s="12"/>
      <c r="C271" s="12"/>
      <c r="D271" s="12"/>
      <c r="E271" s="12"/>
      <c r="F271" s="12"/>
      <c r="G271" s="12"/>
      <c r="H271" s="12"/>
      <c r="I271" s="12"/>
      <c r="J271" s="12"/>
      <c r="K271" s="12"/>
      <c r="L271" s="12"/>
      <c r="M271" s="12"/>
      <c r="N271" s="12"/>
      <c r="O271" s="143"/>
      <c r="P271" s="101"/>
      <c r="Q271" s="101"/>
      <c r="R271" s="229"/>
      <c r="S271" s="12"/>
      <c r="T271" s="12"/>
      <c r="U271" s="12"/>
      <c r="V271" s="12"/>
      <c r="W271" s="12"/>
      <c r="X271" s="12"/>
      <c r="Y271" s="12"/>
      <c r="Z271" s="12"/>
      <c r="AA271" s="12"/>
      <c r="AB271" s="12"/>
    </row>
    <row r="272" spans="1:28" ht="15" hidden="1" customHeight="1" outlineLevel="1" collapsed="1">
      <c r="A272" s="12"/>
      <c r="B272" s="12"/>
      <c r="C272" s="12" t="str">
        <f>'Segment Analysis'!C16</f>
        <v>Home Improvement Retail</v>
      </c>
      <c r="D272" s="12"/>
      <c r="E272" s="769">
        <f>SUM('Segment Analysis'!W70:X70,'Segment Analysis'!Z70:AA70)</f>
        <v>14887.766997086248</v>
      </c>
      <c r="F272" s="12"/>
      <c r="G272" s="630">
        <f>IF($G289=Comparables!$D$86,Valuation!$E$12,IF(Valuation!$G289=Comparables!$G$86,Valuation!$E$17,IF(Valuation!$G289=Comparables!$L$86,Valuation!$E$22,IF($G289=Company_Name,$D$12))))</f>
        <v>15.517159999999999</v>
      </c>
      <c r="H272" s="493"/>
      <c r="I272" s="770">
        <v>0</v>
      </c>
      <c r="J272" s="493"/>
      <c r="K272" s="493">
        <f t="shared" ref="K272:K277" si="89">G272+I272</f>
        <v>15.517159999999999</v>
      </c>
      <c r="L272" s="493"/>
      <c r="M272" s="85">
        <f t="shared" ref="M272:M277" si="90">E272*K272</f>
        <v>231015.86253650681</v>
      </c>
      <c r="N272" s="12"/>
      <c r="O272" s="141" t="s">
        <v>870</v>
      </c>
      <c r="P272" s="12"/>
      <c r="Q272" s="12"/>
      <c r="R272" s="700">
        <f>SUM($M$272:$M$277)</f>
        <v>231015.86253650681</v>
      </c>
      <c r="S272" s="12"/>
      <c r="T272" s="12"/>
      <c r="U272" s="12"/>
      <c r="V272" s="12"/>
      <c r="W272" s="12"/>
      <c r="X272" s="12"/>
      <c r="Y272" s="12"/>
      <c r="Z272" s="12"/>
      <c r="AA272" s="12"/>
      <c r="AB272" s="12"/>
    </row>
    <row r="273" spans="1:28" ht="13.5" hidden="1" customHeight="1" outlineLevel="1" collapsed="1">
      <c r="A273" s="12"/>
      <c r="B273" s="12"/>
      <c r="C273" s="12" t="str">
        <f>'Segment Analysis'!C17</f>
        <v>Segment 2</v>
      </c>
      <c r="D273" s="12"/>
      <c r="E273" s="769">
        <f>SUM('Segment Analysis'!W71:X71,'Segment Analysis'!Z71:AA71)</f>
        <v>0</v>
      </c>
      <c r="F273" s="12"/>
      <c r="G273" s="630">
        <f>IF($G290=Comparables!$D$86,Valuation!$E$12,IF(Valuation!$G290=Comparables!$G$86,Valuation!$E$17,IF(Valuation!$G290=Comparables!$L$86,Valuation!$E$22,IF($G290=Company_Name,$D$12))))</f>
        <v>15.517159999999999</v>
      </c>
      <c r="H273" s="493"/>
      <c r="I273" s="770">
        <v>0</v>
      </c>
      <c r="J273" s="493"/>
      <c r="K273" s="493">
        <f t="shared" si="89"/>
        <v>15.517159999999999</v>
      </c>
      <c r="L273" s="493"/>
      <c r="M273" s="85">
        <f t="shared" si="90"/>
        <v>0</v>
      </c>
      <c r="N273" s="12"/>
      <c r="O273" s="141"/>
      <c r="P273" s="12"/>
      <c r="Q273" s="12"/>
      <c r="R273" s="142"/>
      <c r="S273" s="12"/>
      <c r="T273" s="12"/>
      <c r="U273" s="12"/>
      <c r="V273" s="12"/>
      <c r="W273" s="12"/>
      <c r="X273" s="12"/>
      <c r="Y273" s="12"/>
      <c r="Z273" s="12"/>
      <c r="AA273" s="12"/>
      <c r="AB273" s="12"/>
    </row>
    <row r="274" spans="1:28" ht="13.5" hidden="1" customHeight="1" outlineLevel="1" collapsed="1">
      <c r="A274" s="12"/>
      <c r="B274" s="12"/>
      <c r="C274" s="12" t="str">
        <f>'Segment Analysis'!C18</f>
        <v>Segment 3</v>
      </c>
      <c r="D274" s="12"/>
      <c r="E274" s="769">
        <f>SUM('Segment Analysis'!W72:X72,'Segment Analysis'!Z72:AA72)</f>
        <v>0</v>
      </c>
      <c r="F274" s="12"/>
      <c r="G274" s="630" t="b">
        <f>IF($G291=Comparables!$D$86,Valuation!$E$12,IF(Valuation!$G291=Comparables!$G$86,Valuation!$E$17,IF(Valuation!$G291=Comparables!$L$86,Valuation!$E$22,IF($G291=Company_Name,$D$12))))</f>
        <v>0</v>
      </c>
      <c r="H274" s="493"/>
      <c r="I274" s="770">
        <v>0</v>
      </c>
      <c r="J274" s="493"/>
      <c r="K274" s="493">
        <f t="shared" si="89"/>
        <v>0</v>
      </c>
      <c r="L274" s="493"/>
      <c r="M274" s="85">
        <f t="shared" si="90"/>
        <v>0</v>
      </c>
      <c r="N274" s="12"/>
      <c r="O274" s="141" t="s">
        <v>873</v>
      </c>
      <c r="P274" s="12"/>
      <c r="Q274" s="12"/>
      <c r="R274" s="753">
        <f t="shared" ref="R274:R279" si="91">K66</f>
        <v>6255</v>
      </c>
      <c r="S274" s="12"/>
      <c r="T274" s="12"/>
      <c r="U274" s="12"/>
      <c r="V274" s="12"/>
      <c r="W274" s="12"/>
      <c r="X274" s="12"/>
      <c r="Y274" s="12"/>
      <c r="Z274" s="12"/>
      <c r="AA274" s="12"/>
      <c r="AB274" s="12"/>
    </row>
    <row r="275" spans="1:28" ht="13.5" hidden="1" customHeight="1" outlineLevel="1" collapsed="1">
      <c r="A275" s="12"/>
      <c r="B275" s="12"/>
      <c r="C275" s="12" t="str">
        <f>'Segment Analysis'!C19</f>
        <v>Segment 4</v>
      </c>
      <c r="D275" s="12"/>
      <c r="E275" s="769">
        <f>SUM('Segment Analysis'!W73:X73,'Segment Analysis'!Z73:AA73)</f>
        <v>0</v>
      </c>
      <c r="F275" s="12"/>
      <c r="G275" s="630" t="b">
        <f>IF($G292=Comparables!$D$86,Valuation!$E$12,IF(Valuation!$G292=Comparables!$G$86,Valuation!$E$17,IF(Valuation!$G292=Comparables!$L$86,Valuation!$E$22,IF($G292=Company_Name,$D$12))))</f>
        <v>0</v>
      </c>
      <c r="H275" s="493"/>
      <c r="I275" s="770">
        <v>0</v>
      </c>
      <c r="J275" s="493"/>
      <c r="K275" s="493">
        <f t="shared" si="89"/>
        <v>0</v>
      </c>
      <c r="L275" s="493"/>
      <c r="M275" s="85">
        <f t="shared" si="90"/>
        <v>0</v>
      </c>
      <c r="N275" s="12"/>
      <c r="O275" s="141" t="s">
        <v>874</v>
      </c>
      <c r="P275" s="12"/>
      <c r="Q275" s="12"/>
      <c r="R275" s="703">
        <f t="shared" si="91"/>
        <v>0</v>
      </c>
      <c r="S275" s="12"/>
      <c r="T275" s="12"/>
      <c r="U275" s="12"/>
      <c r="V275" s="12"/>
      <c r="W275" s="12"/>
      <c r="X275" s="12"/>
      <c r="Y275" s="12"/>
      <c r="Z275" s="12"/>
      <c r="AA275" s="12"/>
      <c r="AB275" s="12"/>
    </row>
    <row r="276" spans="1:28" ht="13.5" hidden="1" customHeight="1" outlineLevel="1" collapsed="1">
      <c r="A276" s="12"/>
      <c r="B276" s="12"/>
      <c r="C276" s="12" t="str">
        <f>'Segment Analysis'!C20</f>
        <v>Segment 5</v>
      </c>
      <c r="D276" s="12"/>
      <c r="E276" s="769">
        <f>SUM('Segment Analysis'!W74:X74,'Segment Analysis'!Z74:AA74)</f>
        <v>0</v>
      </c>
      <c r="F276" s="12"/>
      <c r="G276" s="630" t="b">
        <f>IF($G293=Comparables!$D$86,Valuation!$E$12,IF(Valuation!$G293=Comparables!$G$86,Valuation!$E$17,IF(Valuation!$G293=Comparables!$L$86,Valuation!$E$22,IF($G293=Company_Name,$D$12))))</f>
        <v>0</v>
      </c>
      <c r="H276" s="493"/>
      <c r="I276" s="770">
        <v>0</v>
      </c>
      <c r="J276" s="493"/>
      <c r="K276" s="493">
        <f t="shared" si="89"/>
        <v>0</v>
      </c>
      <c r="L276" s="493"/>
      <c r="M276" s="85">
        <f t="shared" si="90"/>
        <v>0</v>
      </c>
      <c r="N276" s="12"/>
      <c r="O276" s="141" t="s">
        <v>875</v>
      </c>
      <c r="P276" s="12"/>
      <c r="Q276" s="12"/>
      <c r="R276" s="703">
        <f t="shared" si="91"/>
        <v>-23311</v>
      </c>
      <c r="S276" s="12"/>
      <c r="T276" s="12"/>
      <c r="U276" s="12"/>
      <c r="V276" s="12"/>
      <c r="W276" s="12"/>
      <c r="X276" s="12"/>
      <c r="Y276" s="12"/>
      <c r="Z276" s="12"/>
      <c r="AA276" s="12"/>
      <c r="AB276" s="12"/>
    </row>
    <row r="277" spans="1:28" ht="13.5" hidden="1" customHeight="1" outlineLevel="1" collapsed="1">
      <c r="A277" s="12"/>
      <c r="B277" s="12"/>
      <c r="C277" s="12" t="str">
        <f>'Segment Analysis'!C21</f>
        <v>Segment 6</v>
      </c>
      <c r="D277" s="12"/>
      <c r="E277" s="769">
        <f>SUM('Segment Analysis'!W75:X75,'Segment Analysis'!Z75:AA75)</f>
        <v>0</v>
      </c>
      <c r="F277" s="12"/>
      <c r="G277" s="630" t="b">
        <f>IF($G294=Comparables!$D$86,Valuation!$E$12,IF(Valuation!$G294=Comparables!$G$86,Valuation!$E$17,IF(Valuation!$G294=Comparables!$L$86,Valuation!$E$22,IF($G294=Company_Name,$D$12))))</f>
        <v>0</v>
      </c>
      <c r="H277" s="493"/>
      <c r="I277" s="770">
        <v>0</v>
      </c>
      <c r="J277" s="493"/>
      <c r="K277" s="493">
        <f t="shared" si="89"/>
        <v>0</v>
      </c>
      <c r="L277" s="493"/>
      <c r="M277" s="85">
        <f t="shared" si="90"/>
        <v>0</v>
      </c>
      <c r="N277" s="12"/>
      <c r="O277" s="141" t="s">
        <v>876</v>
      </c>
      <c r="P277" s="12"/>
      <c r="Q277" s="12"/>
      <c r="R277" s="703">
        <f t="shared" si="91"/>
        <v>0</v>
      </c>
      <c r="S277" s="12"/>
      <c r="T277" s="12"/>
      <c r="U277" s="12"/>
      <c r="V277" s="12"/>
      <c r="W277" s="12"/>
      <c r="X277" s="12"/>
      <c r="Y277" s="12"/>
      <c r="Z277" s="12"/>
      <c r="AA277" s="12"/>
      <c r="AB277" s="12"/>
    </row>
    <row r="278" spans="1:28" ht="13.5" hidden="1" customHeight="1" outlineLevel="1" collapsed="1">
      <c r="A278" s="12"/>
      <c r="B278" s="12"/>
      <c r="C278" s="12"/>
      <c r="D278" s="12"/>
      <c r="E278" s="12"/>
      <c r="F278" s="12"/>
      <c r="G278" s="12"/>
      <c r="H278" s="12"/>
      <c r="I278" s="12"/>
      <c r="J278" s="12"/>
      <c r="K278" s="12"/>
      <c r="L278" s="12"/>
      <c r="M278" s="12"/>
      <c r="N278" s="12"/>
      <c r="O278" s="141" t="s">
        <v>877</v>
      </c>
      <c r="P278" s="12"/>
      <c r="Q278" s="12"/>
      <c r="R278" s="703">
        <f t="shared" si="91"/>
        <v>0</v>
      </c>
      <c r="S278" s="12"/>
      <c r="T278" s="12"/>
      <c r="U278" s="12"/>
      <c r="V278" s="12"/>
      <c r="W278" s="12"/>
      <c r="X278" s="12"/>
      <c r="Y278" s="12"/>
      <c r="Z278" s="12"/>
      <c r="AA278" s="12"/>
      <c r="AB278" s="12"/>
    </row>
    <row r="279" spans="1:28" ht="13.5" hidden="1" customHeight="1" outlineLevel="1" collapsed="1">
      <c r="A279" s="12"/>
      <c r="B279" s="656"/>
      <c r="C279" s="592"/>
      <c r="D279" s="12"/>
      <c r="E279" s="12"/>
      <c r="F279" s="12"/>
      <c r="G279" s="12"/>
      <c r="H279" s="12"/>
      <c r="I279" s="12"/>
      <c r="J279" s="12"/>
      <c r="K279" s="12"/>
      <c r="L279" s="12"/>
      <c r="M279" s="12"/>
      <c r="N279" s="12"/>
      <c r="O279" s="141" t="s">
        <v>878</v>
      </c>
      <c r="P279" s="100"/>
      <c r="Q279" s="12"/>
      <c r="R279" s="756">
        <f t="shared" si="91"/>
        <v>0</v>
      </c>
      <c r="S279" s="12"/>
      <c r="T279" s="12"/>
      <c r="U279" s="12"/>
      <c r="V279" s="12"/>
      <c r="W279" s="12"/>
      <c r="X279" s="12"/>
      <c r="Y279" s="12"/>
      <c r="Z279" s="12"/>
      <c r="AA279" s="12"/>
      <c r="AB279" s="12"/>
    </row>
    <row r="280" spans="1:28" ht="13.5" hidden="1" customHeight="1" outlineLevel="1" collapsed="1">
      <c r="A280" s="12"/>
      <c r="B280" s="656"/>
      <c r="C280" s="12"/>
      <c r="D280" s="69"/>
      <c r="E280" s="69"/>
      <c r="F280" s="291"/>
      <c r="G280" s="291"/>
      <c r="H280" s="291"/>
      <c r="I280" s="291"/>
      <c r="J280" s="291"/>
      <c r="K280" s="12"/>
      <c r="L280" s="12"/>
      <c r="M280" s="12"/>
      <c r="N280" s="12"/>
      <c r="O280" s="143"/>
      <c r="P280" s="12"/>
      <c r="Q280" s="101"/>
      <c r="R280" s="142"/>
      <c r="S280" s="12"/>
      <c r="T280" s="12"/>
      <c r="U280" s="12"/>
      <c r="V280" s="12"/>
      <c r="W280" s="12"/>
      <c r="X280" s="12"/>
      <c r="Y280" s="12"/>
      <c r="Z280" s="12"/>
      <c r="AA280" s="12"/>
      <c r="AB280" s="12"/>
    </row>
    <row r="281" spans="1:28" ht="13.5" hidden="1" customHeight="1" outlineLevel="1" collapsed="1">
      <c r="A281" s="12"/>
      <c r="B281" s="656"/>
      <c r="C281" s="69"/>
      <c r="D281" s="662"/>
      <c r="E281" s="662"/>
      <c r="F281" s="662"/>
      <c r="G281" s="662"/>
      <c r="H281" s="662"/>
      <c r="I281" s="662"/>
      <c r="J281" s="662"/>
      <c r="K281" s="12"/>
      <c r="L281" s="12"/>
      <c r="M281" s="12"/>
      <c r="N281" s="12"/>
      <c r="O281" s="141" t="s">
        <v>879</v>
      </c>
      <c r="P281" s="12"/>
      <c r="Q281" s="12"/>
      <c r="R281" s="751">
        <f>SUM(R272:R279)</f>
        <v>213959.86253650681</v>
      </c>
      <c r="S281" s="12"/>
      <c r="T281" s="12"/>
      <c r="U281" s="12"/>
      <c r="V281" s="12"/>
      <c r="W281" s="12"/>
      <c r="X281" s="12"/>
      <c r="Y281" s="12"/>
      <c r="Z281" s="12"/>
      <c r="AA281" s="12"/>
      <c r="AB281" s="12"/>
    </row>
    <row r="282" spans="1:28" ht="13.5" hidden="1" customHeight="1" outlineLevel="1" collapsed="1">
      <c r="A282" s="12"/>
      <c r="B282" s="12"/>
      <c r="C282" s="69"/>
      <c r="D282" s="662"/>
      <c r="E282" s="662"/>
      <c r="F282" s="662"/>
      <c r="G282" s="662"/>
      <c r="H282" s="662"/>
      <c r="I282" s="662"/>
      <c r="J282" s="662"/>
      <c r="K282" s="12"/>
      <c r="L282" s="12"/>
      <c r="M282" s="12"/>
      <c r="N282" s="12"/>
      <c r="O282" s="141" t="s">
        <v>414</v>
      </c>
      <c r="P282" s="12"/>
      <c r="Q282" s="12"/>
      <c r="R282" s="766">
        <f>Diluted_Shares</f>
        <v>707</v>
      </c>
      <c r="S282" s="12"/>
      <c r="T282" s="12"/>
      <c r="U282" s="12"/>
      <c r="V282" s="12"/>
      <c r="W282" s="12"/>
      <c r="X282" s="12"/>
      <c r="Y282" s="12"/>
      <c r="Z282" s="12"/>
      <c r="AA282" s="12"/>
      <c r="AB282" s="12"/>
    </row>
    <row r="283" spans="1:28" ht="13.5" hidden="1" customHeight="1" outlineLevel="1" collapsed="1">
      <c r="A283" s="12"/>
      <c r="B283" s="12"/>
      <c r="C283" s="12"/>
      <c r="D283" s="12"/>
      <c r="E283" s="12"/>
      <c r="F283" s="12"/>
      <c r="G283" s="12"/>
      <c r="H283" s="12"/>
      <c r="I283" s="12"/>
      <c r="J283" s="12"/>
      <c r="K283" s="12"/>
      <c r="L283" s="12"/>
      <c r="M283" s="12"/>
      <c r="N283" s="12"/>
      <c r="O283" s="141"/>
      <c r="P283" s="12"/>
      <c r="Q283" s="12"/>
      <c r="R283" s="142"/>
      <c r="S283" s="12"/>
      <c r="T283" s="12"/>
      <c r="U283" s="12"/>
      <c r="V283" s="12"/>
      <c r="W283" s="12"/>
      <c r="X283" s="12"/>
      <c r="Y283" s="12"/>
      <c r="Z283" s="12"/>
      <c r="AA283" s="12"/>
      <c r="AB283" s="12"/>
    </row>
    <row r="284" spans="1:28" ht="13.5" hidden="1" customHeight="1" outlineLevel="1" collapsed="1">
      <c r="A284" s="12"/>
      <c r="B284" s="12"/>
      <c r="C284" s="592"/>
      <c r="D284" s="12"/>
      <c r="E284" s="12"/>
      <c r="F284" s="12"/>
      <c r="G284" s="12"/>
      <c r="H284" s="12"/>
      <c r="I284" s="12"/>
      <c r="J284" s="12"/>
      <c r="K284" s="12"/>
      <c r="L284" s="12"/>
      <c r="M284" s="12"/>
      <c r="N284" s="12"/>
      <c r="O284" s="141" t="s">
        <v>871</v>
      </c>
      <c r="P284" s="12"/>
      <c r="Q284" s="12"/>
      <c r="R284" s="751">
        <f>R281/R282</f>
        <v>302.63064007992477</v>
      </c>
      <c r="S284" s="12"/>
      <c r="T284" s="12"/>
      <c r="U284" s="12"/>
      <c r="V284" s="12"/>
      <c r="W284" s="12"/>
      <c r="X284" s="12"/>
      <c r="Y284" s="12"/>
      <c r="Z284" s="12"/>
      <c r="AA284" s="12"/>
      <c r="AB284" s="12"/>
    </row>
    <row r="285" spans="1:28" ht="13.5" hidden="1" customHeight="1" outlineLevel="1" collapsed="1">
      <c r="A285" s="12"/>
      <c r="B285" s="12"/>
      <c r="C285" s="12"/>
      <c r="D285" s="69"/>
      <c r="E285" s="69"/>
      <c r="F285" s="69"/>
      <c r="G285" s="69"/>
      <c r="H285" s="69"/>
      <c r="I285" s="69"/>
      <c r="J285" s="69"/>
      <c r="K285" s="12"/>
      <c r="L285" s="12"/>
      <c r="M285" s="12"/>
      <c r="N285" s="12"/>
      <c r="O285" s="257" t="s">
        <v>872</v>
      </c>
      <c r="P285" s="100"/>
      <c r="Q285" s="100"/>
      <c r="R285" s="711">
        <f>R284/Share_Price-1</f>
        <v>0.29784132464158497</v>
      </c>
      <c r="S285" s="12"/>
      <c r="T285" s="12"/>
      <c r="U285" s="12"/>
      <c r="V285" s="12"/>
      <c r="W285" s="12"/>
      <c r="X285" s="12"/>
      <c r="Y285" s="12"/>
      <c r="Z285" s="12"/>
      <c r="AA285" s="12"/>
      <c r="AB285" s="12"/>
    </row>
    <row r="286" spans="1:28" ht="4.5" hidden="1" customHeight="1" outlineLevel="1" collapsed="1">
      <c r="A286" s="12"/>
      <c r="B286" s="12"/>
      <c r="C286" s="69"/>
      <c r="D286" s="662"/>
      <c r="E286" s="662"/>
      <c r="F286" s="662"/>
      <c r="G286" s="662"/>
      <c r="H286" s="662"/>
      <c r="I286" s="662"/>
      <c r="J286" s="662"/>
      <c r="K286" s="12"/>
      <c r="L286" s="12"/>
      <c r="M286" s="12"/>
      <c r="N286" s="12"/>
      <c r="O286" s="12"/>
      <c r="P286" s="12"/>
      <c r="Q286" s="12"/>
      <c r="R286" s="12"/>
      <c r="S286" s="12"/>
      <c r="T286" s="12"/>
      <c r="U286" s="12"/>
      <c r="V286" s="12"/>
      <c r="W286" s="12"/>
      <c r="X286" s="12"/>
      <c r="Y286" s="12"/>
      <c r="Z286" s="12"/>
      <c r="AA286" s="12"/>
      <c r="AB286" s="12"/>
    </row>
    <row r="287" spans="1:28" ht="13.5" hidden="1" customHeight="1" outlineLevel="1" collapsed="1">
      <c r="A287" s="211" t="s">
        <v>1</v>
      </c>
      <c r="B287" s="12"/>
      <c r="C287" s="458" t="s">
        <v>46</v>
      </c>
      <c r="D287" s="459"/>
      <c r="E287" s="459"/>
      <c r="F287" s="459"/>
      <c r="G287" s="771"/>
      <c r="H287" s="771"/>
      <c r="I287" s="771"/>
      <c r="J287" s="771"/>
      <c r="K287" s="771"/>
      <c r="L287" s="771"/>
      <c r="M287" s="771"/>
      <c r="N287" s="771"/>
      <c r="O287" s="771"/>
      <c r="P287" s="771"/>
      <c r="Q287" s="771"/>
      <c r="R287" s="772"/>
      <c r="S287" s="211" t="s">
        <v>1</v>
      </c>
      <c r="T287" s="12"/>
      <c r="U287" s="12"/>
      <c r="V287" s="12"/>
      <c r="W287" s="12"/>
      <c r="X287" s="12"/>
      <c r="Y287" s="12"/>
      <c r="Z287" s="12"/>
      <c r="AA287" s="12"/>
      <c r="AB287" s="12"/>
    </row>
    <row r="288" spans="1:28" ht="4.5" hidden="1" customHeight="1" outlineLevel="1" collapsed="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3.5" hidden="1" customHeight="1" outlineLevel="1" collapsed="1">
      <c r="A289" s="12"/>
      <c r="B289" s="12"/>
      <c r="C289" s="12" t="str">
        <f t="shared" ref="C289:C294" si="92">"Multiple Used for "&amp;C272</f>
        <v>Multiple Used for Home Improvement Retail</v>
      </c>
      <c r="D289" s="12"/>
      <c r="E289" s="12"/>
      <c r="F289" s="12"/>
      <c r="G289" s="35" t="s">
        <v>556</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3.5" hidden="1" customHeight="1" outlineLevel="1" collapsed="1">
      <c r="A290" s="12"/>
      <c r="B290" s="12"/>
      <c r="C290" s="12" t="str">
        <f t="shared" si="92"/>
        <v>Multiple Used for Segment 2</v>
      </c>
      <c r="D290" s="12"/>
      <c r="E290" s="12"/>
      <c r="F290" s="12"/>
      <c r="G290" s="35" t="s">
        <v>556</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3.5" hidden="1" customHeight="1" outlineLevel="1" collapsed="1">
      <c r="A291" s="12"/>
      <c r="B291" s="12"/>
      <c r="C291" s="12" t="str">
        <f t="shared" si="92"/>
        <v>Multiple Used for Segment 3</v>
      </c>
      <c r="D291" s="12"/>
      <c r="E291" s="12"/>
      <c r="F291" s="12"/>
      <c r="G291" s="35" t="s">
        <v>908</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3.5" hidden="1" customHeight="1" outlineLevel="1" collapsed="1">
      <c r="A292" s="12"/>
      <c r="B292" s="12"/>
      <c r="C292" s="12" t="str">
        <f t="shared" si="92"/>
        <v>Multiple Used for Segment 4</v>
      </c>
      <c r="D292" s="12"/>
      <c r="E292" s="12"/>
      <c r="F292" s="12"/>
      <c r="G292" s="35" t="s">
        <v>908</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3.5" hidden="1" customHeight="1" outlineLevel="1" collapsed="1">
      <c r="A293" s="12"/>
      <c r="B293" s="12"/>
      <c r="C293" s="12" t="str">
        <f t="shared" si="92"/>
        <v>Multiple Used for Segment 5</v>
      </c>
      <c r="D293" s="12"/>
      <c r="E293" s="12"/>
      <c r="F293" s="12"/>
      <c r="G293" s="35" t="s">
        <v>908</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3.5" hidden="1" customHeight="1" outlineLevel="1" collapsed="1">
      <c r="A294" s="12"/>
      <c r="B294" s="12"/>
      <c r="C294" s="12" t="str">
        <f t="shared" si="92"/>
        <v>Multiple Used for Segment 6</v>
      </c>
      <c r="D294" s="12"/>
      <c r="E294" s="12"/>
      <c r="F294" s="12"/>
      <c r="G294" s="35" t="s">
        <v>908</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3.5" customHeight="1">
      <c r="A296" s="211" t="s">
        <v>1</v>
      </c>
      <c r="B296" s="211" t="s">
        <v>1</v>
      </c>
      <c r="C296" s="773" t="s">
        <v>262</v>
      </c>
      <c r="D296" s="81"/>
      <c r="E296" s="81"/>
      <c r="F296" s="81"/>
      <c r="G296" s="82"/>
      <c r="H296" s="82"/>
      <c r="I296" s="82"/>
      <c r="J296" s="82"/>
      <c r="K296" s="82"/>
      <c r="L296" s="82"/>
      <c r="M296" s="82"/>
      <c r="N296" s="82"/>
      <c r="O296" s="82"/>
      <c r="P296" s="82"/>
      <c r="Q296" s="82"/>
      <c r="R296" s="82"/>
      <c r="S296" s="211" t="s">
        <v>1</v>
      </c>
      <c r="T296" s="12"/>
      <c r="U296" s="12"/>
      <c r="V296" s="12"/>
      <c r="W296" s="12"/>
      <c r="X296" s="12"/>
      <c r="Y296" s="12"/>
      <c r="Z296" s="12"/>
      <c r="AA296" s="12"/>
      <c r="AB296" s="12"/>
    </row>
    <row r="297" spans="1:28"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3.5" customHeight="1">
      <c r="A299" s="211"/>
      <c r="B299" s="211"/>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O270:R270"/>
    <mergeCell ref="F260:J260"/>
    <mergeCell ref="N260:R260"/>
    <mergeCell ref="D262:D266"/>
    <mergeCell ref="L262:L266"/>
    <mergeCell ref="C268:R268"/>
    <mergeCell ref="D246:D250"/>
    <mergeCell ref="L246:L250"/>
    <mergeCell ref="F252:J252"/>
    <mergeCell ref="N252:R252"/>
    <mergeCell ref="D254:D258"/>
    <mergeCell ref="L254:L258"/>
    <mergeCell ref="F236:J236"/>
    <mergeCell ref="N236:R236"/>
    <mergeCell ref="D238:D242"/>
    <mergeCell ref="L238:L242"/>
    <mergeCell ref="F244:J244"/>
    <mergeCell ref="N244:R244"/>
    <mergeCell ref="K222:L222"/>
    <mergeCell ref="M222:N222"/>
    <mergeCell ref="O222:P222"/>
    <mergeCell ref="C225:R225"/>
    <mergeCell ref="D234:J234"/>
    <mergeCell ref="L234:R234"/>
    <mergeCell ref="K220:L220"/>
    <mergeCell ref="M220:N220"/>
    <mergeCell ref="O220:P220"/>
    <mergeCell ref="K221:L221"/>
    <mergeCell ref="M221:N221"/>
    <mergeCell ref="O221:P221"/>
    <mergeCell ref="D194:F194"/>
    <mergeCell ref="H194:J194"/>
    <mergeCell ref="L194:N194"/>
    <mergeCell ref="P194:R194"/>
    <mergeCell ref="C218:R218"/>
    <mergeCell ref="F184:J184"/>
    <mergeCell ref="N184:R184"/>
    <mergeCell ref="D186:D190"/>
    <mergeCell ref="L186:L190"/>
    <mergeCell ref="C192:R192"/>
    <mergeCell ref="D170:D174"/>
    <mergeCell ref="L170:L174"/>
    <mergeCell ref="F176:J176"/>
    <mergeCell ref="N176:R176"/>
    <mergeCell ref="D178:D182"/>
    <mergeCell ref="L178:L182"/>
    <mergeCell ref="F160:J160"/>
    <mergeCell ref="N160:R160"/>
    <mergeCell ref="D162:D166"/>
    <mergeCell ref="L162:L166"/>
    <mergeCell ref="F168:J168"/>
    <mergeCell ref="N168:R168"/>
    <mergeCell ref="C140:R140"/>
    <mergeCell ref="J142:K142"/>
    <mergeCell ref="C149:R149"/>
    <mergeCell ref="D158:J158"/>
    <mergeCell ref="L158:R158"/>
    <mergeCell ref="C114:R114"/>
    <mergeCell ref="D116:F116"/>
    <mergeCell ref="H116:J116"/>
    <mergeCell ref="L116:N116"/>
    <mergeCell ref="P116:R116"/>
    <mergeCell ref="D99:D103"/>
    <mergeCell ref="L99:L103"/>
    <mergeCell ref="F105:J105"/>
    <mergeCell ref="N105:R105"/>
    <mergeCell ref="D107:D111"/>
    <mergeCell ref="L107:L111"/>
    <mergeCell ref="C90:R90"/>
    <mergeCell ref="D95:J95"/>
    <mergeCell ref="L95:R95"/>
    <mergeCell ref="F97:J97"/>
    <mergeCell ref="N97:R97"/>
    <mergeCell ref="G57:K57"/>
    <mergeCell ref="N57:R57"/>
    <mergeCell ref="X57:AB57"/>
    <mergeCell ref="C81:R81"/>
    <mergeCell ref="I83:J83"/>
    <mergeCell ref="C4:R4"/>
    <mergeCell ref="L6:R6"/>
    <mergeCell ref="C9:J9"/>
    <mergeCell ref="C14:J14"/>
    <mergeCell ref="C19:J19"/>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107" priority="1">
      <formula>$R$2="Report"</formula>
    </cfRule>
  </conditionalFormatting>
  <conditionalFormatting sqref="F92">
    <cfRule type="expression" dxfId="106" priority="2">
      <formula>F92&lt;&gt;0</formula>
    </cfRule>
    <cfRule type="expression" dxfId="105" priority="3">
      <formula>$AQ$2="Report"</formula>
    </cfRule>
    <cfRule type="expression" dxfId="104" priority="4">
      <formula>F92&lt;&gt;0</formula>
    </cfRule>
    <cfRule type="expression" dxfId="103" priority="5">
      <formula>$AQ$2="Report"</formula>
    </cfRule>
  </conditionalFormatting>
  <conditionalFormatting sqref="F121">
    <cfRule type="cellIs" dxfId="102" priority="6" operator="between">
      <formula>0.15</formula>
      <formula>0.3</formula>
    </cfRule>
  </conditionalFormatting>
  <conditionalFormatting sqref="F131:F132">
    <cfRule type="expression" dxfId="101" priority="7">
      <formula>$R$2="Report"</formula>
    </cfRule>
  </conditionalFormatting>
  <conditionalFormatting sqref="F151">
    <cfRule type="expression" dxfId="100" priority="8">
      <formula>$R$2="Report"</formula>
    </cfRule>
    <cfRule type="expression" dxfId="99" priority="9">
      <formula>F151&lt;&gt;0</formula>
    </cfRule>
    <cfRule type="expression" dxfId="98" priority="10">
      <formula>$AQ$2="Report"</formula>
    </cfRule>
  </conditionalFormatting>
  <conditionalFormatting sqref="F154">
    <cfRule type="expression" dxfId="97" priority="11">
      <formula>$R$2="Report"</formula>
    </cfRule>
    <cfRule type="expression" dxfId="96" priority="12">
      <formula>F154&lt;&gt;0</formula>
    </cfRule>
    <cfRule type="expression" dxfId="95" priority="13">
      <formula>$AQ$2="Report"</formula>
    </cfRule>
  </conditionalFormatting>
  <conditionalFormatting sqref="F199">
    <cfRule type="cellIs" dxfId="94" priority="14" operator="between">
      <formula>0.15</formula>
      <formula>0.3</formula>
    </cfRule>
  </conditionalFormatting>
  <conditionalFormatting sqref="F227">
    <cfRule type="expression" dxfId="93" priority="15">
      <formula>$R$2="Report"</formula>
    </cfRule>
  </conditionalFormatting>
  <conditionalFormatting sqref="F227:F229">
    <cfRule type="expression" dxfId="92" priority="16">
      <formula>F227&lt;&gt;0</formula>
    </cfRule>
    <cfRule type="expression" dxfId="91" priority="17">
      <formula>$AQ$2="Report"</formula>
    </cfRule>
  </conditionalFormatting>
  <conditionalFormatting sqref="F230">
    <cfRule type="expression" dxfId="90" priority="18">
      <formula>$R$2="Report"</formula>
    </cfRule>
  </conditionalFormatting>
  <conditionalFormatting sqref="F230:F231">
    <cfRule type="expression" dxfId="89" priority="20">
      <formula>$AQ$2="Report"</formula>
    </cfRule>
    <cfRule type="expression" dxfId="88" priority="19">
      <formula>F230&lt;&gt;0</formula>
    </cfRule>
  </conditionalFormatting>
  <conditionalFormatting sqref="G58:S59 G60:K60 M60:R60 G61:S77 K79 R79 L127:L133">
    <cfRule type="expression" dxfId="87" priority="21">
      <formula>$R$4=1</formula>
    </cfRule>
  </conditionalFormatting>
  <conditionalFormatting sqref="H98 E101">
    <cfRule type="expression" dxfId="86" priority="22">
      <formula>$R$2="Report"</formula>
    </cfRule>
  </conditionalFormatting>
  <conditionalFormatting sqref="H144">
    <cfRule type="cellIs" dxfId="85" priority="23" operator="equal">
      <formula>"FALSE"</formula>
    </cfRule>
  </conditionalFormatting>
  <conditionalFormatting sqref="H222">
    <cfRule type="cellIs" dxfId="84" priority="24" operator="equal">
      <formula>"FALSE"</formula>
    </cfRule>
  </conditionalFormatting>
  <conditionalFormatting sqref="H31:I31">
    <cfRule type="expression" dxfId="83" priority="25">
      <formula>$AF$11="On"</formula>
    </cfRule>
  </conditionalFormatting>
  <conditionalFormatting sqref="J84:J87">
    <cfRule type="expression" dxfId="82" priority="26">
      <formula>$R$2="Report"</formula>
    </cfRule>
  </conditionalFormatting>
  <conditionalFormatting sqref="K92">
    <cfRule type="expression" dxfId="81" priority="27">
      <formula>K92&lt;&gt;0</formula>
    </cfRule>
    <cfRule type="expression" dxfId="80" priority="28">
      <formula>$AQ$2="Report"</formula>
    </cfRule>
    <cfRule type="expression" dxfId="79" priority="29">
      <formula>K92&lt;&gt;0</formula>
    </cfRule>
    <cfRule type="expression" dxfId="78" priority="30">
      <formula>$AQ$2="Report"</formula>
    </cfRule>
  </conditionalFormatting>
  <conditionalFormatting sqref="L9:L10">
    <cfRule type="expression" dxfId="77" priority="31">
      <formula>$R$2="Report"</formula>
    </cfRule>
    <cfRule type="cellIs" dxfId="76" priority="32" operator="between">
      <formula>0.15</formula>
      <formula>0.3</formula>
    </cfRule>
  </conditionalFormatting>
  <conditionalFormatting sqref="L12:L15">
    <cfRule type="expression" dxfId="75" priority="33">
      <formula>$R$2="Report"</formula>
    </cfRule>
    <cfRule type="cellIs" dxfId="74" priority="34" operator="between">
      <formula>0.15</formula>
      <formula>0.3</formula>
    </cfRule>
  </conditionalFormatting>
  <conditionalFormatting sqref="L17:L20">
    <cfRule type="expression" dxfId="73" priority="35">
      <formula>$R$2="Report"</formula>
    </cfRule>
    <cfRule type="cellIs" dxfId="72" priority="36" operator="between">
      <formula>0.15</formula>
      <formula>0.3</formula>
    </cfRule>
  </conditionalFormatting>
  <conditionalFormatting sqref="L22">
    <cfRule type="expression" dxfId="71" priority="37">
      <formula>$R$2="Report"</formula>
    </cfRule>
    <cfRule type="cellIs" dxfId="70" priority="38" operator="between">
      <formula>0.15</formula>
      <formula>0.3</formula>
    </cfRule>
  </conditionalFormatting>
  <conditionalFormatting sqref="L151">
    <cfRule type="expression" dxfId="69" priority="39">
      <formula>$R$2="Report"</formula>
    </cfRule>
  </conditionalFormatting>
  <conditionalFormatting sqref="L151:L153">
    <cfRule type="expression" dxfId="68" priority="41">
      <formula>$AQ$2="Report"</formula>
    </cfRule>
    <cfRule type="expression" dxfId="67" priority="40">
      <formula>L151&lt;&gt;0</formula>
    </cfRule>
  </conditionalFormatting>
  <conditionalFormatting sqref="L154">
    <cfRule type="expression" dxfId="66" priority="42">
      <formula>$R$2="Report"</formula>
    </cfRule>
  </conditionalFormatting>
  <conditionalFormatting sqref="L154:L155">
    <cfRule type="expression" dxfId="65" priority="43">
      <formula>L154&lt;&gt;0</formula>
    </cfRule>
    <cfRule type="expression" dxfId="64" priority="44">
      <formula>$AQ$2="Report"</formula>
    </cfRule>
  </conditionalFormatting>
  <conditionalFormatting sqref="L205:L211">
    <cfRule type="expression" dxfId="63" priority="45">
      <formula>$R$4=1</formula>
    </cfRule>
  </conditionalFormatting>
  <conditionalFormatting sqref="L227">
    <cfRule type="expression" dxfId="62" priority="46">
      <formula>$R$2="Report"</formula>
    </cfRule>
  </conditionalFormatting>
  <conditionalFormatting sqref="L227:L229">
    <cfRule type="expression" dxfId="61" priority="47">
      <formula>L227&lt;&gt;0</formula>
    </cfRule>
    <cfRule type="expression" dxfId="60" priority="48">
      <formula>$AQ$2="Report"</formula>
    </cfRule>
  </conditionalFormatting>
  <conditionalFormatting sqref="L230">
    <cfRule type="expression" dxfId="59" priority="49">
      <formula>$R$2="Report"</formula>
    </cfRule>
  </conditionalFormatting>
  <conditionalFormatting sqref="L230:L231">
    <cfRule type="expression" dxfId="58" priority="50">
      <formula>L230&lt;&gt;0</formula>
    </cfRule>
    <cfRule type="expression" dxfId="57" priority="51">
      <formula>$AQ$2="Report"</formula>
    </cfRule>
  </conditionalFormatting>
  <conditionalFormatting sqref="N121">
    <cfRule type="cellIs" dxfId="56" priority="52" operator="between">
      <formula>0.15</formula>
      <formula>0.3</formula>
    </cfRule>
  </conditionalFormatting>
  <conditionalFormatting sqref="N127:N132">
    <cfRule type="expression" dxfId="55" priority="53">
      <formula>$R$4=1</formula>
    </cfRule>
  </conditionalFormatting>
  <conditionalFormatting sqref="N199">
    <cfRule type="cellIs" dxfId="54" priority="54" operator="between">
      <formula>0.15</formula>
      <formula>0.3</formula>
    </cfRule>
  </conditionalFormatting>
  <conditionalFormatting sqref="N205:N210">
    <cfRule type="expression" dxfId="53" priority="55">
      <formula>$R$4=1</formula>
    </cfRule>
  </conditionalFormatting>
  <conditionalFormatting sqref="N99:R103">
    <cfRule type="cellIs" dxfId="52" priority="56" operator="between">
      <formula>0.15</formula>
      <formula>0.3</formula>
    </cfRule>
  </conditionalFormatting>
  <conditionalFormatting sqref="N107:R111">
    <cfRule type="cellIs" dxfId="51" priority="57" operator="between">
      <formula>0.15</formula>
      <formula>0.3</formula>
    </cfRule>
  </conditionalFormatting>
  <conditionalFormatting sqref="N162:R166">
    <cfRule type="cellIs" dxfId="50" priority="58" operator="between">
      <formula>0.15</formula>
      <formula>0.3</formula>
    </cfRule>
  </conditionalFormatting>
  <conditionalFormatting sqref="N170:R174">
    <cfRule type="cellIs" dxfId="49" priority="59" operator="between">
      <formula>0.15</formula>
      <formula>0.3</formula>
    </cfRule>
  </conditionalFormatting>
  <conditionalFormatting sqref="N178:R182">
    <cfRule type="cellIs" dxfId="48" priority="60" operator="between">
      <formula>0.15</formula>
      <formula>0.3</formula>
    </cfRule>
  </conditionalFormatting>
  <conditionalFormatting sqref="N186:R190">
    <cfRule type="cellIs" dxfId="47" priority="61" operator="between">
      <formula>0.15</formula>
      <formula>0.3</formula>
    </cfRule>
  </conditionalFormatting>
  <conditionalFormatting sqref="N238:R242">
    <cfRule type="cellIs" dxfId="46" priority="62" operator="between">
      <formula>0.15</formula>
      <formula>0.3</formula>
    </cfRule>
  </conditionalFormatting>
  <conditionalFormatting sqref="N246:R250">
    <cfRule type="cellIs" dxfId="45" priority="63" operator="between">
      <formula>0.15</formula>
      <formula>0.3</formula>
    </cfRule>
  </conditionalFormatting>
  <conditionalFormatting sqref="N254:R258">
    <cfRule type="cellIs" dxfId="44" priority="64" operator="between">
      <formula>0.15</formula>
      <formula>0.3</formula>
    </cfRule>
  </conditionalFormatting>
  <conditionalFormatting sqref="N262:R267">
    <cfRule type="cellIs" dxfId="43" priority="65" operator="between">
      <formula>0.15</formula>
      <formula>0.3</formula>
    </cfRule>
  </conditionalFormatting>
  <conditionalFormatting sqref="O274:O280">
    <cfRule type="expression" dxfId="42" priority="66">
      <formula>$R$4=1</formula>
    </cfRule>
  </conditionalFormatting>
  <conditionalFormatting sqref="P92">
    <cfRule type="expression" dxfId="41" priority="67">
      <formula>P92&lt;&gt;0</formula>
    </cfRule>
    <cfRule type="expression" dxfId="40" priority="68">
      <formula>$AQ$2="Report"</formula>
    </cfRule>
  </conditionalFormatting>
  <conditionalFormatting sqref="P127:P133">
    <cfRule type="expression" dxfId="39" priority="69">
      <formula>$R$4=1</formula>
    </cfRule>
  </conditionalFormatting>
  <conditionalFormatting sqref="P205:P211">
    <cfRule type="expression" dxfId="38" priority="70">
      <formula>$R$4=1</formula>
    </cfRule>
  </conditionalFormatting>
  <conditionalFormatting sqref="R127:R132">
    <cfRule type="expression" dxfId="37" priority="71">
      <formula>$R$4=1</formula>
    </cfRule>
  </conditionalFormatting>
  <conditionalFormatting sqref="R151:R154">
    <cfRule type="expression" dxfId="36" priority="72">
      <formula>$R$2="Report"</formula>
    </cfRule>
    <cfRule type="expression" dxfId="35" priority="73">
      <formula>R151&lt;&gt;0</formula>
    </cfRule>
    <cfRule type="expression" dxfId="34" priority="74">
      <formula>$AQ$2="Report"</formula>
    </cfRule>
  </conditionalFormatting>
  <conditionalFormatting sqref="R205:R210">
    <cfRule type="expression" dxfId="33" priority="75">
      <formula>$R$4=1</formula>
    </cfRule>
  </conditionalFormatting>
  <conditionalFormatting sqref="R227:R230">
    <cfRule type="expression" dxfId="32" priority="76">
      <formula>$R$2="Report"</formula>
    </cfRule>
    <cfRule type="expression" dxfId="31" priority="77">
      <formula>R227&lt;&gt;0</formula>
    </cfRule>
    <cfRule type="expression" dxfId="30" priority="78">
      <formula>$AQ$2="Report"</formula>
    </cfRule>
  </conditionalFormatting>
  <conditionalFormatting sqref="R274:R279">
    <cfRule type="expression" dxfId="29" priority="79">
      <formula>$R$4=1</formula>
    </cfRule>
  </conditionalFormatting>
  <conditionalFormatting sqref="X58:AB77 AB79">
    <cfRule type="expression" dxfId="28" priority="80">
      <formula>$R$4=1</formula>
    </cfRule>
  </conditionalFormatting>
  <conditionalFormatting sqref="AB59:AB79">
    <cfRule type="expression" dxfId="27" priority="81">
      <formula>$R$2="Report"</formula>
    </cfRule>
  </conditionalFormatting>
  <dataValidations count="9">
    <dataValidation type="list" allowBlank="1" showErrorMessage="1" sqref="D24 G222 G144" xr:uid="{00000000-0002-0000-0D00-000000000000}">
      <formula1>"LTM,NTM"</formula1>
    </dataValidation>
    <dataValidation type="list" allowBlank="1" showErrorMessage="1" sqref="G142:G143" xr:uid="{00000000-0002-0000-0D00-000001000000}">
      <formula1>"1 Year,2 Year,3 Year,5 Year"</formula1>
    </dataValidation>
    <dataValidation type="list" allowBlank="1" showErrorMessage="1" sqref="G145:G146 G223:G224" xr:uid="{00000000-0002-0000-0D00-000003000000}">
      <formula1>$B$9:$B$11</formula1>
    </dataValidation>
    <dataValidation type="list" allowBlank="1" showErrorMessage="1" sqref="G220" xr:uid="{00000000-0002-0000-0D00-000004000000}">
      <formula1>"2002-2008,2009-2018,2002-2018"</formula1>
    </dataValidation>
    <dataValidation type="list" allowBlank="1" showErrorMessage="1" sqref="G221" xr:uid="{00000000-0002-0000-0D00-000005000000}">
      <formula1>"Early Cycle,Mid Cycle,Late Cycle,Full Cycle"</formula1>
    </dataValidation>
    <dataValidation type="list" allowBlank="1" showErrorMessage="1" sqref="G289:G294" xr:uid="{00000000-0002-0000-0D00-000008000000}">
      <formula1>$B$9:$B$12</formula1>
    </dataValidation>
    <dataValidation type="list" allowBlank="1" showErrorMessage="1" sqref="G83" xr:uid="{00000000-0002-0000-0D00-000009000000}">
      <formula1>"Yes,No"</formula1>
    </dataValidation>
    <dataValidation type="list" allowBlank="1" showErrorMessage="1" sqref="G86"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s>
  <sheetData>
    <row r="1" spans="1:87" ht="19.5" customHeight="1">
      <c r="A1" s="7"/>
      <c r="B1" s="7"/>
      <c r="C1" s="774" t="str">
        <f ca="1">Company_Name&amp;" - "&amp;MID(CELL("filename",A1),FIND("]",CELL("filename",A1))+1,255)&amp;": "&amp;Case_Scenario&amp;" Case"</f>
        <v>NETFLIX INC - Multiples Data: Base Case</v>
      </c>
      <c r="D1" s="7"/>
      <c r="E1" s="7"/>
      <c r="F1" s="7"/>
      <c r="G1" s="7"/>
      <c r="H1" s="7"/>
      <c r="I1" s="7"/>
      <c r="J1" s="7"/>
      <c r="K1" s="175"/>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row>
    <row r="2" spans="1:87" ht="15" customHeight="1">
      <c r="A2" s="4"/>
      <c r="B2" s="4"/>
      <c r="C2" s="10" t="str">
        <f>Cover!C2</f>
        <v>$ in Millions Except Per Share Data</v>
      </c>
      <c r="D2" s="4"/>
      <c r="E2" s="4"/>
      <c r="F2" s="4"/>
      <c r="G2" s="4"/>
      <c r="H2" s="4"/>
      <c r="I2" s="4"/>
      <c r="J2" s="4"/>
      <c r="K2" s="189"/>
      <c r="L2" s="775"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5"/>
      <c r="B3" s="12"/>
      <c r="C3" s="249"/>
      <c r="D3" s="12"/>
      <c r="E3" s="12"/>
      <c r="F3" s="12"/>
      <c r="G3" s="12"/>
      <c r="H3" s="12"/>
      <c r="I3" s="12"/>
      <c r="J3" s="12"/>
      <c r="K3" s="6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4.25" customHeight="1">
      <c r="A4" s="12"/>
      <c r="B4" s="12"/>
      <c r="C4" s="12"/>
      <c r="D4" s="12"/>
      <c r="E4" s="12"/>
      <c r="F4" s="12"/>
      <c r="G4" s="12"/>
      <c r="H4" s="12"/>
      <c r="I4" s="12"/>
      <c r="J4" s="12"/>
      <c r="K4" s="69"/>
      <c r="L4" s="927" t="str">
        <f>Comparables!S88</f>
        <v>Primary Peer Group</v>
      </c>
      <c r="M4" s="883"/>
      <c r="N4" s="883"/>
      <c r="O4" s="883"/>
      <c r="P4" s="883"/>
      <c r="Q4" s="883"/>
      <c r="R4" s="883"/>
      <c r="S4" s="883"/>
      <c r="T4" s="883"/>
      <c r="U4" s="883"/>
      <c r="V4" s="883"/>
      <c r="W4" s="883"/>
      <c r="X4" s="883"/>
      <c r="Y4" s="883"/>
      <c r="Z4" s="883"/>
      <c r="AA4" s="883"/>
      <c r="AB4" s="883"/>
      <c r="AC4" s="883"/>
      <c r="AD4" s="883"/>
      <c r="AE4" s="883"/>
      <c r="AF4" s="883"/>
      <c r="AG4" s="883"/>
      <c r="AH4" s="883"/>
      <c r="AI4" s="883"/>
      <c r="AJ4" s="12"/>
      <c r="AK4" s="12"/>
      <c r="AL4" s="927" t="str">
        <f>Comparables!S89</f>
        <v>Defense Peer Group</v>
      </c>
      <c r="AM4" s="883"/>
      <c r="AN4" s="883"/>
      <c r="AO4" s="883"/>
      <c r="AP4" s="883"/>
      <c r="AQ4" s="883"/>
      <c r="AR4" s="883"/>
      <c r="AS4" s="883"/>
      <c r="AT4" s="883"/>
      <c r="AU4" s="883"/>
      <c r="AV4" s="883"/>
      <c r="AW4" s="883"/>
      <c r="AX4" s="883"/>
      <c r="AY4" s="883"/>
      <c r="AZ4" s="883"/>
      <c r="BA4" s="883"/>
      <c r="BB4" s="883"/>
      <c r="BC4" s="883"/>
      <c r="BD4" s="883"/>
      <c r="BE4" s="883"/>
      <c r="BF4" s="883"/>
      <c r="BG4" s="883"/>
      <c r="BH4" s="883"/>
      <c r="BI4" s="883"/>
      <c r="BJ4" s="12"/>
      <c r="BK4" s="12"/>
      <c r="BL4" s="927" t="str">
        <f>Comparables!S90</f>
        <v>Cap. Goods Peer Group</v>
      </c>
      <c r="BM4" s="883"/>
      <c r="BN4" s="883"/>
      <c r="BO4" s="883"/>
      <c r="BP4" s="883"/>
      <c r="BQ4" s="883"/>
      <c r="BR4" s="883"/>
      <c r="BS4" s="883"/>
      <c r="BT4" s="883"/>
      <c r="BU4" s="883"/>
      <c r="BV4" s="883"/>
      <c r="BW4" s="883"/>
      <c r="BX4" s="883"/>
      <c r="BY4" s="883"/>
      <c r="BZ4" s="883"/>
      <c r="CA4" s="883"/>
      <c r="CB4" s="883"/>
      <c r="CC4" s="883"/>
      <c r="CD4" s="883"/>
      <c r="CE4" s="883"/>
      <c r="CF4" s="883"/>
      <c r="CG4" s="883"/>
      <c r="CH4" s="883"/>
      <c r="CI4" s="883"/>
    </row>
    <row r="5" spans="1:87" ht="14.25" customHeight="1">
      <c r="A5" s="211" t="s">
        <v>1</v>
      </c>
      <c r="B5" s="12"/>
      <c r="C5" s="773" t="s">
        <v>34</v>
      </c>
      <c r="D5" s="81"/>
      <c r="E5" s="81"/>
      <c r="F5" s="81"/>
      <c r="G5" s="81"/>
      <c r="H5" s="82"/>
      <c r="I5" s="149"/>
      <c r="J5" s="12"/>
      <c r="K5" s="211"/>
      <c r="L5" s="928" t="s">
        <v>910</v>
      </c>
      <c r="M5" s="883"/>
      <c r="N5" s="883"/>
      <c r="O5" s="883"/>
      <c r="P5" s="883"/>
      <c r="Q5" s="883"/>
      <c r="R5" s="927" t="s">
        <v>911</v>
      </c>
      <c r="S5" s="883"/>
      <c r="T5" s="883"/>
      <c r="U5" s="883"/>
      <c r="V5" s="883"/>
      <c r="W5" s="883"/>
      <c r="X5" s="927" t="s">
        <v>912</v>
      </c>
      <c r="Y5" s="883"/>
      <c r="Z5" s="883"/>
      <c r="AA5" s="883"/>
      <c r="AB5" s="883"/>
      <c r="AC5" s="883"/>
      <c r="AD5" s="927" t="s">
        <v>913</v>
      </c>
      <c r="AE5" s="883"/>
      <c r="AF5" s="883"/>
      <c r="AG5" s="883"/>
      <c r="AH5" s="883"/>
      <c r="AI5" s="883"/>
      <c r="AJ5" s="12"/>
      <c r="AK5" s="12"/>
      <c r="AL5" s="928" t="s">
        <v>910</v>
      </c>
      <c r="AM5" s="883"/>
      <c r="AN5" s="883"/>
      <c r="AO5" s="883"/>
      <c r="AP5" s="883"/>
      <c r="AQ5" s="883"/>
      <c r="AR5" s="927" t="s">
        <v>911</v>
      </c>
      <c r="AS5" s="883"/>
      <c r="AT5" s="883"/>
      <c r="AU5" s="883"/>
      <c r="AV5" s="883"/>
      <c r="AW5" s="883"/>
      <c r="AX5" s="927" t="s">
        <v>912</v>
      </c>
      <c r="AY5" s="883"/>
      <c r="AZ5" s="883"/>
      <c r="BA5" s="883"/>
      <c r="BB5" s="883"/>
      <c r="BC5" s="883"/>
      <c r="BD5" s="927" t="s">
        <v>913</v>
      </c>
      <c r="BE5" s="883"/>
      <c r="BF5" s="883"/>
      <c r="BG5" s="883"/>
      <c r="BH5" s="883"/>
      <c r="BI5" s="883"/>
      <c r="BJ5" s="12"/>
      <c r="BK5" s="12"/>
      <c r="BL5" s="928" t="s">
        <v>910</v>
      </c>
      <c r="BM5" s="883"/>
      <c r="BN5" s="883"/>
      <c r="BO5" s="883"/>
      <c r="BP5" s="883"/>
      <c r="BQ5" s="883"/>
      <c r="BR5" s="927" t="s">
        <v>911</v>
      </c>
      <c r="BS5" s="883"/>
      <c r="BT5" s="883"/>
      <c r="BU5" s="883"/>
      <c r="BV5" s="883"/>
      <c r="BW5" s="883"/>
      <c r="BX5" s="927" t="s">
        <v>912</v>
      </c>
      <c r="BY5" s="883"/>
      <c r="BZ5" s="883"/>
      <c r="CA5" s="883"/>
      <c r="CB5" s="883"/>
      <c r="CC5" s="883"/>
      <c r="CD5" s="927" t="s">
        <v>913</v>
      </c>
      <c r="CE5" s="883"/>
      <c r="CF5" s="883"/>
      <c r="CG5" s="883"/>
      <c r="CH5" s="883"/>
      <c r="CI5" s="883"/>
    </row>
    <row r="6" spans="1:87" ht="14.25" customHeight="1">
      <c r="A6" s="12"/>
      <c r="B6" s="12"/>
      <c r="C6" s="773" t="str">
        <f>Company_Name</f>
        <v>NETFLIX INC</v>
      </c>
      <c r="D6" s="81"/>
      <c r="E6" s="81"/>
      <c r="F6" s="81"/>
      <c r="G6" s="81"/>
      <c r="H6" s="82"/>
      <c r="I6" s="776" t="str">
        <f>Last_FQR</f>
        <v>2Q</v>
      </c>
      <c r="J6" s="12"/>
      <c r="K6" s="211"/>
      <c r="L6" s="777" t="str">
        <f>Comparables!E88</f>
        <v>NETFLIX INC</v>
      </c>
      <c r="M6" s="778" t="str">
        <f>Comparables!$E$92</f>
        <v>The Home Depot, Inc.</v>
      </c>
      <c r="N6" s="778" t="str">
        <f>Comparables!$E$96</f>
        <v>Apple</v>
      </c>
      <c r="O6" s="778" t="str">
        <f>Comparables!$E$100</f>
        <v>Microsoft</v>
      </c>
      <c r="P6" s="778" t="str">
        <f>Comparables!$E$104</f>
        <v>Broadcom</v>
      </c>
      <c r="Q6" s="778" t="str">
        <f>Comparables!$E$108</f>
        <v>Disney</v>
      </c>
      <c r="R6" s="778" t="str">
        <f>$L$6</f>
        <v>NETFLIX INC</v>
      </c>
      <c r="S6" s="778" t="str">
        <f t="shared" ref="S6:W6" si="0">M6</f>
        <v>The Home Depot, Inc.</v>
      </c>
      <c r="T6" s="778" t="str">
        <f t="shared" si="0"/>
        <v>Apple</v>
      </c>
      <c r="U6" s="778" t="str">
        <f t="shared" si="0"/>
        <v>Microsoft</v>
      </c>
      <c r="V6" s="778" t="str">
        <f t="shared" si="0"/>
        <v>Broadcom</v>
      </c>
      <c r="W6" s="778" t="str">
        <f t="shared" si="0"/>
        <v>Disney</v>
      </c>
      <c r="X6" s="778" t="str">
        <f t="shared" ref="X6:AC6" si="1">L6</f>
        <v>NETFLIX INC</v>
      </c>
      <c r="Y6" s="778" t="str">
        <f t="shared" si="1"/>
        <v>The Home Depot, Inc.</v>
      </c>
      <c r="Z6" s="778" t="str">
        <f t="shared" si="1"/>
        <v>Apple</v>
      </c>
      <c r="AA6" s="778" t="str">
        <f t="shared" si="1"/>
        <v>Microsoft</v>
      </c>
      <c r="AB6" s="778" t="str">
        <f t="shared" si="1"/>
        <v>Broadcom</v>
      </c>
      <c r="AC6" s="778" t="str">
        <f t="shared" si="1"/>
        <v>Disney</v>
      </c>
      <c r="AD6" s="778" t="str">
        <f t="shared" ref="AD6:AI6" si="2">L6</f>
        <v>NETFLIX INC</v>
      </c>
      <c r="AE6" s="778" t="str">
        <f t="shared" si="2"/>
        <v>The Home Depot, Inc.</v>
      </c>
      <c r="AF6" s="778" t="str">
        <f t="shared" si="2"/>
        <v>Apple</v>
      </c>
      <c r="AG6" s="778" t="str">
        <f t="shared" si="2"/>
        <v>Microsoft</v>
      </c>
      <c r="AH6" s="778" t="str">
        <f t="shared" si="2"/>
        <v>Broadcom</v>
      </c>
      <c r="AI6" s="778" t="str">
        <f t="shared" si="2"/>
        <v>Disney</v>
      </c>
      <c r="AJ6" s="12"/>
      <c r="AK6" s="12"/>
      <c r="AL6" s="777" t="str">
        <f>AD6</f>
        <v>NETFLIX INC</v>
      </c>
      <c r="AM6" s="778" t="str">
        <f>Comparables!I$92</f>
        <v>Raytheon</v>
      </c>
      <c r="AN6" s="778" t="str">
        <f>Comparables!$I$96</f>
        <v>Boeing</v>
      </c>
      <c r="AO6" s="778" t="str">
        <f>Comparables!$I$100</f>
        <v>Huntington Ingalls</v>
      </c>
      <c r="AP6" s="778" t="str">
        <f>Comparables!$I$104</f>
        <v>Lockheed Martin</v>
      </c>
      <c r="AQ6" s="778" t="str">
        <f>Comparables!$I$108</f>
        <v>Northrop Grumman</v>
      </c>
      <c r="AR6" s="778" t="str">
        <f>$AL$6</f>
        <v>NETFLIX INC</v>
      </c>
      <c r="AS6" s="778" t="str">
        <f t="shared" ref="AS6:AW6" si="3">AM6</f>
        <v>Raytheon</v>
      </c>
      <c r="AT6" s="778" t="str">
        <f t="shared" si="3"/>
        <v>Boeing</v>
      </c>
      <c r="AU6" s="778" t="str">
        <f t="shared" si="3"/>
        <v>Huntington Ingalls</v>
      </c>
      <c r="AV6" s="778" t="str">
        <f t="shared" si="3"/>
        <v>Lockheed Martin</v>
      </c>
      <c r="AW6" s="779" t="str">
        <f t="shared" si="3"/>
        <v>Northrop Grumman</v>
      </c>
      <c r="AX6" s="778" t="s">
        <v>914</v>
      </c>
      <c r="AY6" s="778" t="str">
        <f t="shared" ref="AY6:BC6" si="4">AS6</f>
        <v>Raytheon</v>
      </c>
      <c r="AZ6" s="778" t="str">
        <f t="shared" si="4"/>
        <v>Boeing</v>
      </c>
      <c r="BA6" s="778" t="str">
        <f t="shared" si="4"/>
        <v>Huntington Ingalls</v>
      </c>
      <c r="BB6" s="778" t="str">
        <f t="shared" si="4"/>
        <v>Lockheed Martin</v>
      </c>
      <c r="BC6" s="779" t="str">
        <f t="shared" si="4"/>
        <v>Northrop Grumman</v>
      </c>
      <c r="BD6" s="778" t="s">
        <v>914</v>
      </c>
      <c r="BE6" s="778" t="str">
        <f t="shared" ref="BE6:BI6" si="5">AY6</f>
        <v>Raytheon</v>
      </c>
      <c r="BF6" s="778" t="str">
        <f t="shared" si="5"/>
        <v>Boeing</v>
      </c>
      <c r="BG6" s="778" t="str">
        <f t="shared" si="5"/>
        <v>Huntington Ingalls</v>
      </c>
      <c r="BH6" s="778" t="str">
        <f t="shared" si="5"/>
        <v>Lockheed Martin</v>
      </c>
      <c r="BI6" s="779" t="str">
        <f t="shared" si="5"/>
        <v>Northrop Grumman</v>
      </c>
      <c r="BJ6" s="12"/>
      <c r="BK6" s="12"/>
      <c r="BL6" s="777" t="str">
        <f>BD6</f>
        <v>Lowe's Companies, Inc.</v>
      </c>
      <c r="BM6" s="778" t="str">
        <f>Comparables!N$92</f>
        <v>3M Company</v>
      </c>
      <c r="BN6" s="778" t="str">
        <f>Comparables!$N$96</f>
        <v>General Electric</v>
      </c>
      <c r="BO6" s="778" t="str">
        <f>Comparables!$N$100</f>
        <v>Honeywell</v>
      </c>
      <c r="BP6" s="778" t="str">
        <f>Comparables!$N$104</f>
        <v>Roper Technologies</v>
      </c>
      <c r="BQ6" s="780" t="str">
        <f>Comparables!$N$108</f>
        <v>Emerson Electric</v>
      </c>
      <c r="BR6" s="778" t="s">
        <v>914</v>
      </c>
      <c r="BS6" s="778" t="str">
        <f t="shared" ref="BS6:BW6" si="6">BM6</f>
        <v>3M Company</v>
      </c>
      <c r="BT6" s="778" t="str">
        <f t="shared" si="6"/>
        <v>General Electric</v>
      </c>
      <c r="BU6" s="778" t="str">
        <f t="shared" si="6"/>
        <v>Honeywell</v>
      </c>
      <c r="BV6" s="778" t="str">
        <f t="shared" si="6"/>
        <v>Roper Technologies</v>
      </c>
      <c r="BW6" s="779" t="str">
        <f t="shared" si="6"/>
        <v>Emerson Electric</v>
      </c>
      <c r="BX6" s="778" t="str">
        <f>$BD$6</f>
        <v>Lowe's Companies, Inc.</v>
      </c>
      <c r="BY6" s="778" t="str">
        <f t="shared" ref="BY6:CC6" si="7">BS6</f>
        <v>3M Company</v>
      </c>
      <c r="BZ6" s="778" t="str">
        <f t="shared" si="7"/>
        <v>General Electric</v>
      </c>
      <c r="CA6" s="778" t="str">
        <f t="shared" si="7"/>
        <v>Honeywell</v>
      </c>
      <c r="CB6" s="778" t="str">
        <f t="shared" si="7"/>
        <v>Roper Technologies</v>
      </c>
      <c r="CC6" s="779" t="str">
        <f t="shared" si="7"/>
        <v>Emerson Electric</v>
      </c>
      <c r="CD6" s="778" t="str">
        <f>$BD$6</f>
        <v>Lowe's Companies, Inc.</v>
      </c>
      <c r="CE6" s="778" t="str">
        <f t="shared" ref="CE6:CI6" si="8">BY6</f>
        <v>3M Company</v>
      </c>
      <c r="CF6" s="778" t="str">
        <f t="shared" si="8"/>
        <v>General Electric</v>
      </c>
      <c r="CG6" s="778" t="str">
        <f t="shared" si="8"/>
        <v>Honeywell</v>
      </c>
      <c r="CH6" s="778" t="str">
        <f t="shared" si="8"/>
        <v>Roper Technologies</v>
      </c>
      <c r="CI6" s="779" t="str">
        <f t="shared" si="8"/>
        <v>Emerson Electric</v>
      </c>
    </row>
    <row r="7" spans="1:87" ht="14.25" customHeight="1">
      <c r="A7" s="12"/>
      <c r="B7" s="12"/>
      <c r="C7" s="781" t="s">
        <v>915</v>
      </c>
      <c r="D7" s="781"/>
      <c r="E7" s="781"/>
      <c r="F7" s="781"/>
      <c r="G7" s="781"/>
      <c r="H7" s="781"/>
      <c r="I7" s="69" t="str">
        <f>LEFT(I6)</f>
        <v>2</v>
      </c>
      <c r="J7" s="12"/>
      <c r="K7" s="69"/>
      <c r="L7" s="777" t="str">
        <f>Ticker</f>
        <v>NFLX</v>
      </c>
      <c r="M7" s="778" t="str">
        <f>Comparables!$E$93</f>
        <v>HD</v>
      </c>
      <c r="N7" s="778" t="str">
        <f>Comparables!$E$97</f>
        <v>""</v>
      </c>
      <c r="O7" s="778" t="str">
        <f>Comparables!$E$101</f>
        <v>""</v>
      </c>
      <c r="P7" s="778" t="str">
        <f>Comparables!$E$105</f>
        <v>""</v>
      </c>
      <c r="Q7" s="778" t="str">
        <f>Comparables!$E$109</f>
        <v>""</v>
      </c>
      <c r="R7" s="778" t="str">
        <f t="shared" ref="R7:W7" si="9">L7</f>
        <v>NFLX</v>
      </c>
      <c r="S7" s="778" t="str">
        <f t="shared" si="9"/>
        <v>HD</v>
      </c>
      <c r="T7" s="778" t="str">
        <f t="shared" si="9"/>
        <v>""</v>
      </c>
      <c r="U7" s="778" t="str">
        <f t="shared" si="9"/>
        <v>""</v>
      </c>
      <c r="V7" s="778" t="str">
        <f t="shared" si="9"/>
        <v>""</v>
      </c>
      <c r="W7" s="778" t="str">
        <f t="shared" si="9"/>
        <v>""</v>
      </c>
      <c r="X7" s="778" t="str">
        <f t="shared" ref="X7:AC7" si="10">L7</f>
        <v>NFLX</v>
      </c>
      <c r="Y7" s="778" t="str">
        <f t="shared" si="10"/>
        <v>HD</v>
      </c>
      <c r="Z7" s="778" t="str">
        <f t="shared" si="10"/>
        <v>""</v>
      </c>
      <c r="AA7" s="778" t="str">
        <f t="shared" si="10"/>
        <v>""</v>
      </c>
      <c r="AB7" s="778" t="str">
        <f t="shared" si="10"/>
        <v>""</v>
      </c>
      <c r="AC7" s="778" t="str">
        <f t="shared" si="10"/>
        <v>""</v>
      </c>
      <c r="AD7" s="778" t="str">
        <f t="shared" ref="AD7:AI7" si="11">L7</f>
        <v>NFLX</v>
      </c>
      <c r="AE7" s="778" t="str">
        <f t="shared" si="11"/>
        <v>HD</v>
      </c>
      <c r="AF7" s="778" t="str">
        <f t="shared" si="11"/>
        <v>""</v>
      </c>
      <c r="AG7" s="778" t="str">
        <f t="shared" si="11"/>
        <v>""</v>
      </c>
      <c r="AH7" s="778" t="str">
        <f t="shared" si="11"/>
        <v>""</v>
      </c>
      <c r="AI7" s="778" t="str">
        <f t="shared" si="11"/>
        <v>""</v>
      </c>
      <c r="AJ7" s="12"/>
      <c r="AK7" s="12"/>
      <c r="AL7" s="777" t="str">
        <f>Ticker</f>
        <v>NFLX</v>
      </c>
      <c r="AM7" s="778" t="str">
        <f>Comparables!$I$93</f>
        <v>RTX</v>
      </c>
      <c r="AN7" s="778" t="str">
        <f>Comparables!$I$97</f>
        <v>BA</v>
      </c>
      <c r="AO7" s="778" t="str">
        <f>Comparables!$I$101</f>
        <v>HII</v>
      </c>
      <c r="AP7" s="778" t="str">
        <f>Comparables!$I$105</f>
        <v>LMT</v>
      </c>
      <c r="AQ7" s="778" t="str">
        <f>Comparables!$I$109</f>
        <v>NOC</v>
      </c>
      <c r="AR7" s="778" t="str">
        <f>$AL$7</f>
        <v>NFLX</v>
      </c>
      <c r="AS7" s="778" t="str">
        <f t="shared" ref="AS7:AW7" si="12">AM7</f>
        <v>RTX</v>
      </c>
      <c r="AT7" s="778" t="str">
        <f t="shared" si="12"/>
        <v>BA</v>
      </c>
      <c r="AU7" s="778" t="str">
        <f t="shared" si="12"/>
        <v>HII</v>
      </c>
      <c r="AV7" s="778" t="str">
        <f t="shared" si="12"/>
        <v>LMT</v>
      </c>
      <c r="AW7" s="780" t="str">
        <f t="shared" si="12"/>
        <v>NOC</v>
      </c>
      <c r="AX7" s="778" t="s">
        <v>498</v>
      </c>
      <c r="AY7" s="778" t="str">
        <f t="shared" ref="AY7:BC7" si="13">AS7</f>
        <v>RTX</v>
      </c>
      <c r="AZ7" s="778" t="str">
        <f t="shared" si="13"/>
        <v>BA</v>
      </c>
      <c r="BA7" s="778" t="str">
        <f t="shared" si="13"/>
        <v>HII</v>
      </c>
      <c r="BB7" s="778" t="str">
        <f t="shared" si="13"/>
        <v>LMT</v>
      </c>
      <c r="BC7" s="780" t="str">
        <f t="shared" si="13"/>
        <v>NOC</v>
      </c>
      <c r="BD7" s="778" t="s">
        <v>498</v>
      </c>
      <c r="BE7" s="778" t="str">
        <f t="shared" ref="BE7:BI7" si="14">AY7</f>
        <v>RTX</v>
      </c>
      <c r="BF7" s="778" t="str">
        <f t="shared" si="14"/>
        <v>BA</v>
      </c>
      <c r="BG7" s="778" t="str">
        <f t="shared" si="14"/>
        <v>HII</v>
      </c>
      <c r="BH7" s="778" t="str">
        <f t="shared" si="14"/>
        <v>LMT</v>
      </c>
      <c r="BI7" s="780" t="str">
        <f t="shared" si="14"/>
        <v>NOC</v>
      </c>
      <c r="BJ7" s="12"/>
      <c r="BK7" s="12"/>
      <c r="BL7" s="777" t="str">
        <f>Ticker</f>
        <v>NFLX</v>
      </c>
      <c r="BM7" s="778" t="str">
        <f>Comparables!$N$93</f>
        <v>MMM</v>
      </c>
      <c r="BN7" s="778" t="str">
        <f>Comparables!$N$97</f>
        <v>GE</v>
      </c>
      <c r="BO7" s="778" t="str">
        <f>Comparables!$N$101</f>
        <v>HON</v>
      </c>
      <c r="BP7" s="778" t="str">
        <f>Comparables!$N$105</f>
        <v>ROP</v>
      </c>
      <c r="BQ7" s="780" t="str">
        <f>Comparables!$N$109</f>
        <v>EMR</v>
      </c>
      <c r="BR7" s="778" t="s">
        <v>498</v>
      </c>
      <c r="BS7" s="778" t="str">
        <f t="shared" ref="BS7:BW7" si="15">BM7</f>
        <v>MMM</v>
      </c>
      <c r="BT7" s="778" t="str">
        <f t="shared" si="15"/>
        <v>GE</v>
      </c>
      <c r="BU7" s="778" t="str">
        <f t="shared" si="15"/>
        <v>HON</v>
      </c>
      <c r="BV7" s="778" t="str">
        <f t="shared" si="15"/>
        <v>ROP</v>
      </c>
      <c r="BW7" s="780" t="str">
        <f t="shared" si="15"/>
        <v>EMR</v>
      </c>
      <c r="BX7" s="778" t="str">
        <f>$BD$7</f>
        <v>LOW</v>
      </c>
      <c r="BY7" s="778" t="str">
        <f t="shared" ref="BY7:CC7" si="16">BS7</f>
        <v>MMM</v>
      </c>
      <c r="BZ7" s="778" t="str">
        <f t="shared" si="16"/>
        <v>GE</v>
      </c>
      <c r="CA7" s="778" t="str">
        <f t="shared" si="16"/>
        <v>HON</v>
      </c>
      <c r="CB7" s="778" t="str">
        <f t="shared" si="16"/>
        <v>ROP</v>
      </c>
      <c r="CC7" s="780" t="str">
        <f t="shared" si="16"/>
        <v>EMR</v>
      </c>
      <c r="CD7" s="778" t="str">
        <f>$BD$7</f>
        <v>LOW</v>
      </c>
      <c r="CE7" s="778" t="str">
        <f t="shared" ref="CE7:CI7" si="17">BY7</f>
        <v>MMM</v>
      </c>
      <c r="CF7" s="778" t="str">
        <f t="shared" si="17"/>
        <v>GE</v>
      </c>
      <c r="CG7" s="778" t="str">
        <f t="shared" si="17"/>
        <v>HON</v>
      </c>
      <c r="CH7" s="778" t="str">
        <f t="shared" si="17"/>
        <v>ROP</v>
      </c>
      <c r="CI7" s="780" t="str">
        <f t="shared" si="17"/>
        <v>EMR</v>
      </c>
    </row>
    <row r="8" spans="1:87" ht="14.25" customHeight="1">
      <c r="A8" s="12"/>
      <c r="B8" s="12"/>
      <c r="C8" s="69"/>
      <c r="D8" s="12"/>
      <c r="E8" s="69" t="s">
        <v>910</v>
      </c>
      <c r="F8" s="69" t="s">
        <v>911</v>
      </c>
      <c r="G8" s="69" t="s">
        <v>912</v>
      </c>
      <c r="H8" s="69" t="s">
        <v>913</v>
      </c>
      <c r="I8" s="69">
        <f>IF(I7="1",4,I7-1)</f>
        <v>1</v>
      </c>
      <c r="J8" s="586">
        <v>2004</v>
      </c>
      <c r="K8" s="291" t="str">
        <f t="shared" ref="K8:K85" si="18">I8&amp;"Q"&amp;RIGHT(J8,2)</f>
        <v>1Q04</v>
      </c>
      <c r="L8" s="782">
        <v>31.0959</v>
      </c>
      <c r="M8" s="715">
        <v>26.6159</v>
      </c>
      <c r="N8" s="715">
        <v>37.682200000000002</v>
      </c>
      <c r="O8" s="715">
        <v>37.682200000000002</v>
      </c>
      <c r="P8" s="715">
        <v>37.682200000000002</v>
      </c>
      <c r="Q8" s="783">
        <v>37.682200000000002</v>
      </c>
      <c r="R8" s="782">
        <v>26.8322</v>
      </c>
      <c r="S8" s="715">
        <v>23.424700000000001</v>
      </c>
      <c r="T8" s="715">
        <v>31.7712</v>
      </c>
      <c r="U8" s="715">
        <v>31.7712</v>
      </c>
      <c r="V8" s="715">
        <v>31.7712</v>
      </c>
      <c r="W8" s="783">
        <v>31.7712</v>
      </c>
      <c r="X8" s="782">
        <v>14.7082</v>
      </c>
      <c r="Y8" s="715">
        <v>13.625400000000001</v>
      </c>
      <c r="Z8" s="715">
        <v>19.7715</v>
      </c>
      <c r="AA8" s="715">
        <v>19.7715</v>
      </c>
      <c r="AB8" s="715">
        <v>19.7715</v>
      </c>
      <c r="AC8" s="783">
        <v>19.7715</v>
      </c>
      <c r="AD8" s="715"/>
      <c r="AE8" s="715"/>
      <c r="AF8" s="715">
        <v>19.7715</v>
      </c>
      <c r="AG8" s="715">
        <v>19.7715</v>
      </c>
      <c r="AH8" s="715">
        <v>19.7715</v>
      </c>
      <c r="AI8" s="783">
        <v>19.7715</v>
      </c>
      <c r="AJ8" s="12"/>
      <c r="AK8" s="291" t="str">
        <f t="shared" ref="AK8:AK84" si="19">$K8</f>
        <v>1Q04</v>
      </c>
      <c r="AL8" s="782">
        <f t="shared" ref="AL8:AL84" si="20">L8</f>
        <v>31.0959</v>
      </c>
      <c r="AM8" s="715">
        <v>31.637362450861499</v>
      </c>
      <c r="AN8" s="715">
        <v>57.324279925525097</v>
      </c>
      <c r="AO8" s="715">
        <v>29.532374100719402</v>
      </c>
      <c r="AP8" s="715">
        <v>19.820675105485201</v>
      </c>
      <c r="AQ8" s="783"/>
      <c r="AR8" s="782">
        <f t="shared" ref="AR8:AR84" si="21">R8</f>
        <v>26.8322</v>
      </c>
      <c r="AS8" s="715">
        <v>24.162819974821701</v>
      </c>
      <c r="AT8" s="715">
        <v>15.5671617478749</v>
      </c>
      <c r="AU8" s="715">
        <v>19.4273544723142</v>
      </c>
      <c r="AV8" s="715">
        <v>18.1932610379551</v>
      </c>
      <c r="AW8" s="783"/>
      <c r="AX8" s="782">
        <f t="shared" ref="AX8:AX84" si="22">X8</f>
        <v>14.7082</v>
      </c>
      <c r="AY8" s="715">
        <v>13.3943921309475</v>
      </c>
      <c r="AZ8" s="715">
        <v>10.1673549788865</v>
      </c>
      <c r="BA8" s="715">
        <v>16.4177867910307</v>
      </c>
      <c r="BB8" s="715">
        <v>11.5907362783901</v>
      </c>
      <c r="BC8" s="783">
        <v>9.9936780551287896</v>
      </c>
      <c r="BD8" s="782"/>
      <c r="BE8" s="715"/>
      <c r="BF8" s="715"/>
      <c r="BG8" s="715"/>
      <c r="BH8" s="715"/>
      <c r="BI8" s="783"/>
      <c r="BJ8" s="12"/>
      <c r="BK8" s="291" t="str">
        <f t="shared" ref="BK8:BK84" si="23">$K8</f>
        <v>1Q04</v>
      </c>
      <c r="BL8" s="782">
        <f t="shared" ref="BL8:BL84" si="24">AL8</f>
        <v>31.0959</v>
      </c>
      <c r="BM8" s="715">
        <v>24.088983050847499</v>
      </c>
      <c r="BN8" s="715">
        <v>198.04347826086999</v>
      </c>
      <c r="BO8" s="715">
        <v>24.656757042957398</v>
      </c>
      <c r="BP8" s="715">
        <v>18.308107166803701</v>
      </c>
      <c r="BQ8" s="783">
        <v>18.366336633663401</v>
      </c>
      <c r="BR8" s="782">
        <f t="shared" ref="BR8:BR84" si="25">AR8</f>
        <v>26.8322</v>
      </c>
      <c r="BS8" s="715">
        <v>21.340090090090101</v>
      </c>
      <c r="BT8" s="715">
        <v>59.3098958333333</v>
      </c>
      <c r="BU8" s="715">
        <v>21.8971197871046</v>
      </c>
      <c r="BV8" s="715">
        <v>15.649971332448199</v>
      </c>
      <c r="BW8" s="783">
        <v>17.207792207792199</v>
      </c>
      <c r="BX8" s="782">
        <f t="shared" ref="BX8:BX84" si="26">AX8</f>
        <v>14.7082</v>
      </c>
      <c r="BY8" s="715">
        <v>9.9573483267269101</v>
      </c>
      <c r="BZ8" s="715"/>
      <c r="CA8" s="715">
        <v>14.827128694622299</v>
      </c>
      <c r="CB8" s="715">
        <v>10.0353539604855</v>
      </c>
      <c r="CC8" s="783">
        <v>9.4322991306432105</v>
      </c>
      <c r="CD8" s="782"/>
      <c r="CE8" s="715"/>
      <c r="CF8" s="715"/>
      <c r="CG8" s="715"/>
      <c r="CH8" s="715"/>
      <c r="CI8" s="783"/>
    </row>
    <row r="9" spans="1:87" ht="14.25" customHeight="1">
      <c r="A9" s="12"/>
      <c r="B9" s="12"/>
      <c r="C9" s="12" t="s">
        <v>884</v>
      </c>
      <c r="D9" s="12"/>
      <c r="E9" s="662">
        <f>AVERAGE(L81:L86)</f>
        <v>19.53543333333333</v>
      </c>
      <c r="F9" s="662">
        <f>AVERAGE(R81:R86)</f>
        <v>18.597966666666668</v>
      </c>
      <c r="G9" s="662">
        <f>AVERAGE(X81:X86)</f>
        <v>13.0505</v>
      </c>
      <c r="H9" s="662">
        <f>AVERAGE(AD81:AD86)</f>
        <v>12.356400000000001</v>
      </c>
      <c r="I9" s="69">
        <f>IF(I8=4,1,I8+1)</f>
        <v>2</v>
      </c>
      <c r="J9" s="5">
        <f t="shared" ref="J9:J85" si="27">IF(I9=1,J8+1,J8)</f>
        <v>2004</v>
      </c>
      <c r="K9" s="291" t="str">
        <f t="shared" si="18"/>
        <v>2Q04</v>
      </c>
      <c r="L9" s="782">
        <v>25.398800000000001</v>
      </c>
      <c r="M9" s="715">
        <v>17.5168</v>
      </c>
      <c r="N9" s="715">
        <v>26.6159</v>
      </c>
      <c r="O9" s="715">
        <v>26.6159</v>
      </c>
      <c r="P9" s="715">
        <v>26.6159</v>
      </c>
      <c r="Q9" s="783">
        <v>26.6159</v>
      </c>
      <c r="R9" s="782">
        <v>23.684200000000001</v>
      </c>
      <c r="S9" s="715">
        <v>16.415099999999999</v>
      </c>
      <c r="T9" s="715">
        <v>23.424700000000001</v>
      </c>
      <c r="U9" s="715">
        <v>23.424700000000001</v>
      </c>
      <c r="V9" s="715">
        <v>23.424700000000001</v>
      </c>
      <c r="W9" s="783">
        <v>23.424700000000001</v>
      </c>
      <c r="X9" s="782">
        <v>11.6632</v>
      </c>
      <c r="Y9" s="715">
        <v>8.7786000000000008</v>
      </c>
      <c r="Z9" s="715">
        <v>13.625400000000001</v>
      </c>
      <c r="AA9" s="715">
        <v>13.625400000000001</v>
      </c>
      <c r="AB9" s="715">
        <v>13.625400000000001</v>
      </c>
      <c r="AC9" s="783">
        <v>13.625400000000001</v>
      </c>
      <c r="AD9" s="715"/>
      <c r="AE9" s="715"/>
      <c r="AF9" s="715">
        <v>13.625400000000001</v>
      </c>
      <c r="AG9" s="715">
        <v>13.625400000000001</v>
      </c>
      <c r="AH9" s="715">
        <v>13.625400000000001</v>
      </c>
      <c r="AI9" s="783">
        <v>13.625400000000001</v>
      </c>
      <c r="AJ9" s="12"/>
      <c r="AK9" s="291" t="str">
        <f t="shared" si="19"/>
        <v>2Q04</v>
      </c>
      <c r="AL9" s="782">
        <f t="shared" si="20"/>
        <v>25.398800000000001</v>
      </c>
      <c r="AM9" s="715">
        <v>33.7378642338589</v>
      </c>
      <c r="AN9" s="715">
        <v>65.206127397706098</v>
      </c>
      <c r="AO9" s="715">
        <v>25.3105590062112</v>
      </c>
      <c r="AP9" s="715">
        <v>21.441532278677698</v>
      </c>
      <c r="AQ9" s="783"/>
      <c r="AR9" s="782">
        <f t="shared" si="21"/>
        <v>23.684200000000001</v>
      </c>
      <c r="AS9" s="715">
        <v>27.5903136165145</v>
      </c>
      <c r="AT9" s="715">
        <v>17.0317268699309</v>
      </c>
      <c r="AU9" s="715">
        <v>18.744250229990801</v>
      </c>
      <c r="AV9" s="715">
        <v>20.404834996162698</v>
      </c>
      <c r="AW9" s="783"/>
      <c r="AX9" s="782">
        <f t="shared" si="22"/>
        <v>11.6632</v>
      </c>
      <c r="AY9" s="715">
        <v>15.4589819476129</v>
      </c>
      <c r="AZ9" s="715">
        <v>9.6315659597678493</v>
      </c>
      <c r="BA9" s="715">
        <v>16.510245053120101</v>
      </c>
      <c r="BB9" s="715">
        <v>12.6637918478585</v>
      </c>
      <c r="BC9" s="783">
        <v>10.578875904655099</v>
      </c>
      <c r="BD9" s="782"/>
      <c r="BE9" s="715"/>
      <c r="BF9" s="715"/>
      <c r="BG9" s="715"/>
      <c r="BH9" s="715"/>
      <c r="BI9" s="783"/>
      <c r="BJ9" s="12"/>
      <c r="BK9" s="291" t="str">
        <f t="shared" si="23"/>
        <v>2Q04</v>
      </c>
      <c r="BL9" s="782">
        <f t="shared" si="24"/>
        <v>25.398800000000001</v>
      </c>
      <c r="BM9" s="715">
        <v>22.662037037036999</v>
      </c>
      <c r="BN9" s="715">
        <v>171.07142857142901</v>
      </c>
      <c r="BO9" s="715">
        <v>18.492949119205299</v>
      </c>
      <c r="BP9" s="715">
        <v>16.853791886242298</v>
      </c>
      <c r="BQ9" s="783">
        <v>16.5206812652068</v>
      </c>
      <c r="BR9" s="782">
        <f t="shared" si="25"/>
        <v>23.684200000000001</v>
      </c>
      <c r="BS9" s="715">
        <v>19.627105052125099</v>
      </c>
      <c r="BT9" s="715">
        <v>55.439814814814802</v>
      </c>
      <c r="BU9" s="715">
        <v>16.882922110036301</v>
      </c>
      <c r="BV9" s="715">
        <v>14.339053379060401</v>
      </c>
      <c r="BW9" s="783">
        <v>15.68853974122</v>
      </c>
      <c r="BX9" s="782">
        <f t="shared" si="26"/>
        <v>11.6632</v>
      </c>
      <c r="BY9" s="715">
        <v>7.8904420478266601</v>
      </c>
      <c r="BZ9" s="715"/>
      <c r="CA9" s="715">
        <v>10.898874644551899</v>
      </c>
      <c r="CB9" s="715">
        <v>9.5320641300941595</v>
      </c>
      <c r="CC9" s="783">
        <v>8.65171889647252</v>
      </c>
      <c r="CD9" s="782"/>
      <c r="CE9" s="715"/>
      <c r="CF9" s="715"/>
      <c r="CG9" s="715"/>
      <c r="CH9" s="715"/>
      <c r="CI9" s="783"/>
    </row>
    <row r="10" spans="1:87" ht="14.25" customHeight="1">
      <c r="A10" s="12"/>
      <c r="B10" s="12"/>
      <c r="C10" s="12" t="s">
        <v>886</v>
      </c>
      <c r="D10" s="12"/>
      <c r="E10" s="662">
        <f>AVERAGE(L77:L86)</f>
        <v>19.247509999999998</v>
      </c>
      <c r="F10" s="662">
        <f>AVERAGE(R77:R86)</f>
        <v>18.625129999999999</v>
      </c>
      <c r="G10" s="662">
        <f>AVERAGE(X77:X86)</f>
        <v>13.67243</v>
      </c>
      <c r="H10" s="662">
        <f>AVERAGE(AD77:AD86)</f>
        <v>12.432619999999998</v>
      </c>
      <c r="I10" s="69">
        <f>IF(I9+1=5,1,I9+1)</f>
        <v>3</v>
      </c>
      <c r="J10" s="5">
        <f t="shared" si="27"/>
        <v>2004</v>
      </c>
      <c r="K10" s="291" t="str">
        <f t="shared" si="18"/>
        <v>3Q04</v>
      </c>
      <c r="L10" s="782">
        <v>21.5517</v>
      </c>
      <c r="M10" s="715">
        <v>15.397399999999999</v>
      </c>
      <c r="N10" s="715">
        <v>17.5168</v>
      </c>
      <c r="O10" s="715">
        <v>17.5168</v>
      </c>
      <c r="P10" s="715">
        <v>17.5168</v>
      </c>
      <c r="Q10" s="783">
        <v>17.5168</v>
      </c>
      <c r="R10" s="782">
        <v>21.043800000000001</v>
      </c>
      <c r="S10" s="715">
        <v>15.2994</v>
      </c>
      <c r="T10" s="715">
        <v>16.415099999999999</v>
      </c>
      <c r="U10" s="715">
        <v>16.415099999999999</v>
      </c>
      <c r="V10" s="715">
        <v>16.415099999999999</v>
      </c>
      <c r="W10" s="783">
        <v>16.415099999999999</v>
      </c>
      <c r="X10" s="782">
        <v>9.2073</v>
      </c>
      <c r="Y10" s="715">
        <v>7.8781999999999996</v>
      </c>
      <c r="Z10" s="715">
        <v>8.7786000000000008</v>
      </c>
      <c r="AA10" s="715">
        <v>8.7786000000000008</v>
      </c>
      <c r="AB10" s="715">
        <v>8.7786000000000008</v>
      </c>
      <c r="AC10" s="783">
        <v>8.7786000000000008</v>
      </c>
      <c r="AD10" s="715"/>
      <c r="AE10" s="715"/>
      <c r="AF10" s="715">
        <v>8.7786000000000008</v>
      </c>
      <c r="AG10" s="715">
        <v>8.7786000000000008</v>
      </c>
      <c r="AH10" s="715">
        <v>8.7786000000000008</v>
      </c>
      <c r="AI10" s="783">
        <v>8.7786000000000008</v>
      </c>
      <c r="AJ10" s="12"/>
      <c r="AK10" s="291" t="str">
        <f t="shared" si="19"/>
        <v>3Q04</v>
      </c>
      <c r="AL10" s="782">
        <f t="shared" si="20"/>
        <v>21.5517</v>
      </c>
      <c r="AM10" s="715">
        <v>28.240174554882401</v>
      </c>
      <c r="AN10" s="715">
        <v>61.521475380223102</v>
      </c>
      <c r="AO10" s="715">
        <v>15.668449197860999</v>
      </c>
      <c r="AP10" s="715">
        <v>15.640384615384599</v>
      </c>
      <c r="AQ10" s="783"/>
      <c r="AR10" s="782">
        <f t="shared" si="21"/>
        <v>21.043800000000001</v>
      </c>
      <c r="AS10" s="715">
        <v>25.460629921259802</v>
      </c>
      <c r="AT10" s="715">
        <v>17.211126753747301</v>
      </c>
      <c r="AU10" s="715">
        <v>13.5710977304308</v>
      </c>
      <c r="AV10" s="715">
        <v>15.6947124662293</v>
      </c>
      <c r="AW10" s="783"/>
      <c r="AX10" s="782">
        <f t="shared" si="22"/>
        <v>9.2073</v>
      </c>
      <c r="AY10" s="715">
        <v>14.158169978354501</v>
      </c>
      <c r="AZ10" s="715">
        <v>9.5083560163820504</v>
      </c>
      <c r="BA10" s="715">
        <v>8.8106054983290107</v>
      </c>
      <c r="BB10" s="715">
        <v>9.70905162045044</v>
      </c>
      <c r="BC10" s="783">
        <v>6.7470807153880097</v>
      </c>
      <c r="BD10" s="782"/>
      <c r="BE10" s="715"/>
      <c r="BF10" s="715"/>
      <c r="BG10" s="715"/>
      <c r="BH10" s="715"/>
      <c r="BI10" s="783"/>
      <c r="BJ10" s="12"/>
      <c r="BK10" s="291" t="str">
        <f t="shared" si="23"/>
        <v>3Q04</v>
      </c>
      <c r="BL10" s="782">
        <f t="shared" si="24"/>
        <v>21.5517</v>
      </c>
      <c r="BM10" s="715">
        <v>17.073394495412799</v>
      </c>
      <c r="BN10" s="715">
        <v>77.033898305084804</v>
      </c>
      <c r="BO10" s="715">
        <v>14.902419503144699</v>
      </c>
      <c r="BP10" s="715">
        <v>10.058718431346</v>
      </c>
      <c r="BQ10" s="783">
        <v>13.45</v>
      </c>
      <c r="BR10" s="782">
        <f t="shared" si="25"/>
        <v>21.043800000000001</v>
      </c>
      <c r="BS10" s="715">
        <v>18.371174728529098</v>
      </c>
      <c r="BT10" s="715">
        <v>42.6360225140713</v>
      </c>
      <c r="BU10" s="715">
        <v>14.395411306196801</v>
      </c>
      <c r="BV10" s="715">
        <v>10.177874029743</v>
      </c>
      <c r="BW10" s="783">
        <v>12.8503184713376</v>
      </c>
      <c r="BX10" s="782">
        <f t="shared" si="26"/>
        <v>9.2073</v>
      </c>
      <c r="BY10" s="715">
        <v>6.2963293631215604</v>
      </c>
      <c r="BZ10" s="715"/>
      <c r="CA10" s="715">
        <v>9.2373047125244803</v>
      </c>
      <c r="CB10" s="715">
        <v>6.1883074259171602</v>
      </c>
      <c r="CC10" s="783">
        <v>7.0093251329130304</v>
      </c>
      <c r="CD10" s="782"/>
      <c r="CE10" s="715"/>
      <c r="CF10" s="715"/>
      <c r="CG10" s="715"/>
      <c r="CH10" s="715"/>
      <c r="CI10" s="783"/>
    </row>
    <row r="11" spans="1:87" ht="14.25" customHeight="1">
      <c r="A11" s="12"/>
      <c r="B11" s="12"/>
      <c r="C11" s="12" t="s">
        <v>881</v>
      </c>
      <c r="D11" s="12"/>
      <c r="E11" s="662">
        <f>AVERAGE(L73:L86)</f>
        <v>19.09469285714286</v>
      </c>
      <c r="F11" s="662">
        <f>AVERAGE(R73:R86)</f>
        <v>18.758692857142854</v>
      </c>
      <c r="G11" s="662">
        <f>AVERAGE(X73:X86)</f>
        <v>14.044407142857143</v>
      </c>
      <c r="H11" s="662">
        <f>AVERAGE(AD73:AD86)</f>
        <v>12.439849999999998</v>
      </c>
      <c r="I11" s="69">
        <f>IF(I10=4,1,I10+1)</f>
        <v>4</v>
      </c>
      <c r="J11" s="5">
        <f t="shared" si="27"/>
        <v>2004</v>
      </c>
      <c r="K11" s="291" t="str">
        <f t="shared" si="18"/>
        <v>4Q04</v>
      </c>
      <c r="L11" s="782">
        <v>21.946200000000001</v>
      </c>
      <c r="M11" s="715">
        <v>15.615399999999999</v>
      </c>
      <c r="N11" s="715">
        <v>15.397399999999999</v>
      </c>
      <c r="O11" s="715">
        <v>15.397399999999999</v>
      </c>
      <c r="P11" s="715">
        <v>15.397399999999999</v>
      </c>
      <c r="Q11" s="783">
        <v>15.397399999999999</v>
      </c>
      <c r="R11" s="782">
        <v>18.6053</v>
      </c>
      <c r="S11" s="715">
        <v>14.2958</v>
      </c>
      <c r="T11" s="715">
        <v>15.2994</v>
      </c>
      <c r="U11" s="715">
        <v>15.2994</v>
      </c>
      <c r="V11" s="715">
        <v>15.2994</v>
      </c>
      <c r="W11" s="783">
        <v>15.2994</v>
      </c>
      <c r="X11" s="782">
        <v>9.5079999999999991</v>
      </c>
      <c r="Y11" s="715">
        <v>8.2772000000000006</v>
      </c>
      <c r="Z11" s="715">
        <v>7.8781999999999996</v>
      </c>
      <c r="AA11" s="715">
        <v>7.8781999999999996</v>
      </c>
      <c r="AB11" s="715">
        <v>7.8781999999999996</v>
      </c>
      <c r="AC11" s="783">
        <v>7.8781999999999996</v>
      </c>
      <c r="AD11" s="715"/>
      <c r="AE11" s="715"/>
      <c r="AF11" s="715">
        <v>7.8781999999999996</v>
      </c>
      <c r="AG11" s="715">
        <v>7.8781999999999996</v>
      </c>
      <c r="AH11" s="715">
        <v>7.8781999999999996</v>
      </c>
      <c r="AI11" s="783">
        <v>7.8781999999999996</v>
      </c>
      <c r="AJ11" s="12"/>
      <c r="AK11" s="291" t="str">
        <f t="shared" si="19"/>
        <v>4Q04</v>
      </c>
      <c r="AL11" s="782">
        <f t="shared" si="20"/>
        <v>21.946200000000001</v>
      </c>
      <c r="AM11" s="715">
        <v>22.470817037238</v>
      </c>
      <c r="AN11" s="715">
        <v>38.275667123239401</v>
      </c>
      <c r="AO11" s="715">
        <v>16.6216216216216</v>
      </c>
      <c r="AP11" s="715">
        <v>15.0037807183365</v>
      </c>
      <c r="AQ11" s="783"/>
      <c r="AR11" s="782">
        <f t="shared" si="21"/>
        <v>18.6053</v>
      </c>
      <c r="AS11" s="715">
        <v>22.647058823529399</v>
      </c>
      <c r="AT11" s="715">
        <v>14.7843172547043</v>
      </c>
      <c r="AU11" s="715">
        <v>14.5047169811321</v>
      </c>
      <c r="AV11" s="715">
        <v>15.3283120896099</v>
      </c>
      <c r="AW11" s="783"/>
      <c r="AX11" s="782">
        <f t="shared" si="22"/>
        <v>9.5079999999999991</v>
      </c>
      <c r="AY11" s="715">
        <v>12.438216454011799</v>
      </c>
      <c r="AZ11" s="715">
        <v>12.8718399686108</v>
      </c>
      <c r="BA11" s="715">
        <v>9.5505458050116392</v>
      </c>
      <c r="BB11" s="715">
        <v>9.3855530309703301</v>
      </c>
      <c r="BC11" s="783">
        <v>5.7445343172853498</v>
      </c>
      <c r="BD11" s="782"/>
      <c r="BE11" s="715"/>
      <c r="BF11" s="715"/>
      <c r="BG11" s="715"/>
      <c r="BH11" s="715"/>
      <c r="BI11" s="783"/>
      <c r="BJ11" s="12"/>
      <c r="BK11" s="291" t="str">
        <f t="shared" si="23"/>
        <v>4Q04</v>
      </c>
      <c r="BL11" s="782">
        <f t="shared" si="24"/>
        <v>21.946200000000001</v>
      </c>
      <c r="BM11" s="715">
        <v>19.878260869565199</v>
      </c>
      <c r="BN11" s="715">
        <v>33.713235294117602</v>
      </c>
      <c r="BO11" s="715">
        <v>15.5009745629139</v>
      </c>
      <c r="BP11" s="715">
        <v>11.424029243356999</v>
      </c>
      <c r="BQ11" s="783">
        <v>14.0772727272727</v>
      </c>
      <c r="BR11" s="782">
        <f t="shared" si="25"/>
        <v>18.6053</v>
      </c>
      <c r="BS11" s="715">
        <v>21.8546845124283</v>
      </c>
      <c r="BT11" s="715">
        <v>19.362331081081098</v>
      </c>
      <c r="BU11" s="715">
        <v>15.470238988764001</v>
      </c>
      <c r="BV11" s="715">
        <v>11.4012267897774</v>
      </c>
      <c r="BW11" s="783">
        <v>14.0581025873808</v>
      </c>
      <c r="BX11" s="782">
        <f t="shared" si="26"/>
        <v>9.5079999999999991</v>
      </c>
      <c r="BY11" s="715">
        <v>5.6028124647543498</v>
      </c>
      <c r="BZ11" s="715"/>
      <c r="CA11" s="715">
        <v>10.262349948648</v>
      </c>
      <c r="CB11" s="715">
        <v>7.1636422617175199</v>
      </c>
      <c r="CC11" s="783">
        <v>7.5613132749682803</v>
      </c>
      <c r="CD11" s="782"/>
      <c r="CE11" s="715"/>
      <c r="CF11" s="715"/>
      <c r="CG11" s="715"/>
      <c r="CH11" s="715"/>
      <c r="CI11" s="783"/>
    </row>
    <row r="12" spans="1:87" ht="14.25" customHeight="1">
      <c r="A12" s="12"/>
      <c r="B12" s="12"/>
      <c r="C12" s="12" t="s">
        <v>887</v>
      </c>
      <c r="D12" s="12"/>
      <c r="E12" s="662">
        <f>AVERAGE(L65:L86)</f>
        <v>19.295113636363638</v>
      </c>
      <c r="F12" s="662">
        <f>AVERAGE(R65:R86)</f>
        <v>18.396150000000002</v>
      </c>
      <c r="G12" s="662">
        <f>AVERAGE(X65:X86)</f>
        <v>12.976963636363633</v>
      </c>
      <c r="H12" s="662">
        <f>AVERAGE(AD65:AD86)</f>
        <v>11.666890909090908</v>
      </c>
      <c r="I12" s="69">
        <f>I8</f>
        <v>1</v>
      </c>
      <c r="J12" s="5">
        <f t="shared" si="27"/>
        <v>2005</v>
      </c>
      <c r="K12" s="291" t="str">
        <f t="shared" si="18"/>
        <v>1Q05</v>
      </c>
      <c r="L12" s="782">
        <v>22.369800000000001</v>
      </c>
      <c r="M12" s="715">
        <v>20.830200000000001</v>
      </c>
      <c r="N12" s="715">
        <v>15.615399999999999</v>
      </c>
      <c r="O12" s="715">
        <v>15.615399999999999</v>
      </c>
      <c r="P12" s="715">
        <v>15.615399999999999</v>
      </c>
      <c r="Q12" s="783">
        <v>15.615399999999999</v>
      </c>
      <c r="R12" s="782">
        <v>19.611899999999999</v>
      </c>
      <c r="S12" s="715">
        <v>19.1114</v>
      </c>
      <c r="T12" s="715">
        <v>14.2958</v>
      </c>
      <c r="U12" s="715">
        <v>14.2958</v>
      </c>
      <c r="V12" s="715">
        <v>14.2958</v>
      </c>
      <c r="W12" s="783">
        <v>14.2958</v>
      </c>
      <c r="X12" s="782">
        <v>9.4788999999999994</v>
      </c>
      <c r="Y12" s="715">
        <v>10.655900000000001</v>
      </c>
      <c r="Z12" s="715">
        <v>8.2772000000000006</v>
      </c>
      <c r="AA12" s="715">
        <v>8.2772000000000006</v>
      </c>
      <c r="AB12" s="715">
        <v>8.2772000000000006</v>
      </c>
      <c r="AC12" s="783">
        <v>8.2772000000000006</v>
      </c>
      <c r="AD12" s="715"/>
      <c r="AE12" s="715"/>
      <c r="AF12" s="715">
        <v>8.2772000000000006</v>
      </c>
      <c r="AG12" s="715">
        <v>8.2772000000000006</v>
      </c>
      <c r="AH12" s="715">
        <v>8.2772000000000006</v>
      </c>
      <c r="AI12" s="783">
        <v>8.2772000000000006</v>
      </c>
      <c r="AJ12" s="12"/>
      <c r="AK12" s="291" t="str">
        <f t="shared" si="19"/>
        <v>1Q05</v>
      </c>
      <c r="AL12" s="782">
        <f t="shared" si="20"/>
        <v>22.369800000000001</v>
      </c>
      <c r="AM12" s="715">
        <v>18.1488548131938</v>
      </c>
      <c r="AN12" s="715">
        <v>13.8276219685405</v>
      </c>
      <c r="AO12" s="715">
        <v>16.211428571428598</v>
      </c>
      <c r="AP12" s="715">
        <v>10.4695817490494</v>
      </c>
      <c r="AQ12" s="783"/>
      <c r="AR12" s="782">
        <f t="shared" si="21"/>
        <v>19.611899999999999</v>
      </c>
      <c r="AS12" s="715">
        <v>21.5940054495913</v>
      </c>
      <c r="AT12" s="715">
        <v>20.175185023328101</v>
      </c>
      <c r="AU12" s="715">
        <v>16.455916473317899</v>
      </c>
      <c r="AV12" s="715">
        <v>10.935266084193801</v>
      </c>
      <c r="AW12" s="783"/>
      <c r="AX12" s="782">
        <f t="shared" si="22"/>
        <v>9.4788999999999994</v>
      </c>
      <c r="AY12" s="715">
        <v>10.3640936852251</v>
      </c>
      <c r="AZ12" s="715">
        <v>10.863550802600701</v>
      </c>
      <c r="BA12" s="715">
        <v>9.7585633130094198</v>
      </c>
      <c r="BB12" s="715">
        <v>7.4360441182740997</v>
      </c>
      <c r="BC12" s="783">
        <v>5.3877467970278898</v>
      </c>
      <c r="BD12" s="782"/>
      <c r="BE12" s="715"/>
      <c r="BF12" s="715"/>
      <c r="BG12" s="715"/>
      <c r="BH12" s="715"/>
      <c r="BI12" s="783"/>
      <c r="BJ12" s="12"/>
      <c r="BK12" s="291" t="str">
        <f t="shared" si="23"/>
        <v>1Q05</v>
      </c>
      <c r="BL12" s="782">
        <f t="shared" si="24"/>
        <v>22.369800000000001</v>
      </c>
      <c r="BM12" s="715">
        <v>20.163934426229499</v>
      </c>
      <c r="BN12" s="715">
        <v>21.811111111111099</v>
      </c>
      <c r="BO12" s="715">
        <v>16.562101824324301</v>
      </c>
      <c r="BP12" s="715">
        <v>10.874209654104501</v>
      </c>
      <c r="BQ12" s="783">
        <v>12.84</v>
      </c>
      <c r="BR12" s="782">
        <f t="shared" si="25"/>
        <v>19.611899999999999</v>
      </c>
      <c r="BS12" s="715">
        <v>21.8278615794144</v>
      </c>
      <c r="BT12" s="715">
        <v>16.523569023568999</v>
      </c>
      <c r="BU12" s="715">
        <v>15.253211387678901</v>
      </c>
      <c r="BV12" s="715">
        <v>12.452401747198699</v>
      </c>
      <c r="BW12" s="783">
        <v>12.3093310609288</v>
      </c>
      <c r="BX12" s="782">
        <f t="shared" si="26"/>
        <v>9.4788999999999994</v>
      </c>
      <c r="BY12" s="715">
        <v>6.9375454261654701</v>
      </c>
      <c r="BZ12" s="715"/>
      <c r="CA12" s="715">
        <v>10.9533057003254</v>
      </c>
      <c r="CB12" s="715">
        <v>6.9655827047635199</v>
      </c>
      <c r="CC12" s="783">
        <v>7.0399312759850696</v>
      </c>
      <c r="CD12" s="782"/>
      <c r="CE12" s="715"/>
      <c r="CF12" s="715"/>
      <c r="CG12" s="715"/>
      <c r="CH12" s="715"/>
      <c r="CI12" s="783"/>
    </row>
    <row r="13" spans="1:87" ht="14.25" customHeight="1">
      <c r="A13" s="12"/>
      <c r="B13" s="12"/>
      <c r="C13" s="781" t="s">
        <v>916</v>
      </c>
      <c r="D13" s="781"/>
      <c r="E13" s="781"/>
      <c r="F13" s="781"/>
      <c r="G13" s="781"/>
      <c r="H13" s="781"/>
      <c r="I13" s="69">
        <f>IF(I12=4,1,I12+1)</f>
        <v>2</v>
      </c>
      <c r="J13" s="5">
        <f t="shared" si="27"/>
        <v>2005</v>
      </c>
      <c r="K13" s="291" t="str">
        <f t="shared" si="18"/>
        <v>2Q05</v>
      </c>
      <c r="L13" s="782">
        <v>25.194199999999999</v>
      </c>
      <c r="M13" s="715">
        <v>19.303000000000001</v>
      </c>
      <c r="N13" s="715">
        <v>20.830200000000001</v>
      </c>
      <c r="O13" s="715">
        <v>20.830200000000001</v>
      </c>
      <c r="P13" s="715">
        <v>20.830200000000001</v>
      </c>
      <c r="Q13" s="783">
        <v>20.830200000000001</v>
      </c>
      <c r="R13" s="782">
        <v>22.743200000000002</v>
      </c>
      <c r="S13" s="715">
        <v>18.086300000000001</v>
      </c>
      <c r="T13" s="715">
        <v>19.1114</v>
      </c>
      <c r="U13" s="715">
        <v>19.1114</v>
      </c>
      <c r="V13" s="715">
        <v>19.1114</v>
      </c>
      <c r="W13" s="783">
        <v>19.1114</v>
      </c>
      <c r="X13" s="782">
        <v>11.075900000000001</v>
      </c>
      <c r="Y13" s="715">
        <v>10.096399999999999</v>
      </c>
      <c r="Z13" s="715">
        <v>10.655900000000001</v>
      </c>
      <c r="AA13" s="715">
        <v>10.655900000000001</v>
      </c>
      <c r="AB13" s="715">
        <v>10.655900000000001</v>
      </c>
      <c r="AC13" s="783">
        <v>10.655900000000001</v>
      </c>
      <c r="AD13" s="715"/>
      <c r="AE13" s="715"/>
      <c r="AF13" s="715">
        <v>10.655900000000001</v>
      </c>
      <c r="AG13" s="715">
        <v>10.655900000000001</v>
      </c>
      <c r="AH13" s="715">
        <v>10.655900000000001</v>
      </c>
      <c r="AI13" s="783">
        <v>10.655900000000001</v>
      </c>
      <c r="AJ13" s="12"/>
      <c r="AK13" s="291" t="str">
        <f t="shared" si="19"/>
        <v>2Q05</v>
      </c>
      <c r="AL13" s="782">
        <f t="shared" si="20"/>
        <v>25.194199999999999</v>
      </c>
      <c r="AM13" s="715">
        <v>18.0189389708436</v>
      </c>
      <c r="AN13" s="715">
        <v>14.365974350033699</v>
      </c>
      <c r="AO13" s="715">
        <v>20.147239263803701</v>
      </c>
      <c r="AP13" s="715">
        <v>14.105058365758801</v>
      </c>
      <c r="AQ13" s="783"/>
      <c r="AR13" s="782">
        <f t="shared" si="21"/>
        <v>22.743200000000002</v>
      </c>
      <c r="AS13" s="715">
        <v>20.6736201651456</v>
      </c>
      <c r="AT13" s="715">
        <v>19.424412156575698</v>
      </c>
      <c r="AU13" s="715">
        <v>18.960739030023099</v>
      </c>
      <c r="AV13" s="715">
        <v>14.905427631578901</v>
      </c>
      <c r="AW13" s="783"/>
      <c r="AX13" s="782">
        <f t="shared" si="22"/>
        <v>11.075900000000001</v>
      </c>
      <c r="AY13" s="715">
        <v>10.3669599181416</v>
      </c>
      <c r="AZ13" s="715">
        <v>11.1857641603841</v>
      </c>
      <c r="BA13" s="715">
        <v>10.7758521211248</v>
      </c>
      <c r="BB13" s="715">
        <v>9.5850161557941806</v>
      </c>
      <c r="BC13" s="783">
        <v>5.6929665138237198</v>
      </c>
      <c r="BD13" s="782"/>
      <c r="BE13" s="715"/>
      <c r="BF13" s="715"/>
      <c r="BG13" s="715"/>
      <c r="BH13" s="715"/>
      <c r="BI13" s="783"/>
      <c r="BJ13" s="12"/>
      <c r="BK13" s="291" t="str">
        <f t="shared" si="23"/>
        <v>2Q05</v>
      </c>
      <c r="BL13" s="782">
        <f t="shared" si="24"/>
        <v>25.194199999999999</v>
      </c>
      <c r="BM13" s="715">
        <v>18.491694352159499</v>
      </c>
      <c r="BN13" s="715">
        <v>20.043859649122801</v>
      </c>
      <c r="BO13" s="715">
        <v>19.4145705295775</v>
      </c>
      <c r="BP13" s="715">
        <v>15.1250091313676</v>
      </c>
      <c r="BQ13" s="783">
        <v>15.635761589404</v>
      </c>
      <c r="BR13" s="782">
        <f t="shared" si="25"/>
        <v>22.743200000000002</v>
      </c>
      <c r="BS13" s="715">
        <v>24.498239436619698</v>
      </c>
      <c r="BT13" s="715">
        <v>19.664371772805499</v>
      </c>
      <c r="BU13" s="715">
        <v>17.284445236363599</v>
      </c>
      <c r="BV13" s="715">
        <v>16.4381128180137</v>
      </c>
      <c r="BW13" s="783">
        <v>15.291450777202099</v>
      </c>
      <c r="BX13" s="782">
        <f t="shared" si="26"/>
        <v>11.075900000000001</v>
      </c>
      <c r="BY13" s="715">
        <v>7.8802383832311698</v>
      </c>
      <c r="BZ13" s="715"/>
      <c r="CA13" s="715">
        <v>12.503325778467699</v>
      </c>
      <c r="CB13" s="715">
        <v>9.0789445856969593</v>
      </c>
      <c r="CC13" s="783">
        <v>8.2831119078969699</v>
      </c>
      <c r="CD13" s="782"/>
      <c r="CE13" s="715"/>
      <c r="CF13" s="715"/>
      <c r="CG13" s="715"/>
      <c r="CH13" s="715"/>
      <c r="CI13" s="783"/>
    </row>
    <row r="14" spans="1:87" ht="14.25" customHeight="1">
      <c r="A14" s="12"/>
      <c r="B14" s="12"/>
      <c r="C14" s="69"/>
      <c r="D14" s="12"/>
      <c r="E14" s="69" t="s">
        <v>910</v>
      </c>
      <c r="F14" s="69" t="s">
        <v>911</v>
      </c>
      <c r="G14" s="69" t="s">
        <v>912</v>
      </c>
      <c r="H14" s="69" t="s">
        <v>913</v>
      </c>
      <c r="I14" s="69">
        <f>IF(I13+1=5,1,I13+1)</f>
        <v>3</v>
      </c>
      <c r="J14" s="5">
        <f t="shared" si="27"/>
        <v>2005</v>
      </c>
      <c r="K14" s="291" t="str">
        <f t="shared" si="18"/>
        <v>3Q05</v>
      </c>
      <c r="L14" s="782">
        <v>25.408300000000001</v>
      </c>
      <c r="M14" s="715">
        <v>20.28</v>
      </c>
      <c r="N14" s="715">
        <v>19.303000000000001</v>
      </c>
      <c r="O14" s="715">
        <v>19.303000000000001</v>
      </c>
      <c r="P14" s="715">
        <v>19.303000000000001</v>
      </c>
      <c r="Q14" s="783">
        <v>19.303000000000001</v>
      </c>
      <c r="R14" s="782">
        <v>23.792999999999999</v>
      </c>
      <c r="S14" s="715">
        <v>19.5</v>
      </c>
      <c r="T14" s="715">
        <v>18.086300000000001</v>
      </c>
      <c r="U14" s="715">
        <v>18.086300000000001</v>
      </c>
      <c r="V14" s="715">
        <v>18.086300000000001</v>
      </c>
      <c r="W14" s="783">
        <v>18.086300000000001</v>
      </c>
      <c r="X14" s="782">
        <v>12.2065</v>
      </c>
      <c r="Y14" s="715">
        <v>10.345499999999999</v>
      </c>
      <c r="Z14" s="715">
        <v>10.096399999999999</v>
      </c>
      <c r="AA14" s="715">
        <v>10.096399999999999</v>
      </c>
      <c r="AB14" s="715">
        <v>10.096399999999999</v>
      </c>
      <c r="AC14" s="783">
        <v>10.096399999999999</v>
      </c>
      <c r="AD14" s="715"/>
      <c r="AE14" s="715"/>
      <c r="AF14" s="715">
        <v>10.096399999999999</v>
      </c>
      <c r="AG14" s="715">
        <v>10.096399999999999</v>
      </c>
      <c r="AH14" s="715">
        <v>10.096399999999999</v>
      </c>
      <c r="AI14" s="783">
        <v>10.096399999999999</v>
      </c>
      <c r="AJ14" s="12"/>
      <c r="AK14" s="291" t="str">
        <f t="shared" si="19"/>
        <v>3Q05</v>
      </c>
      <c r="AL14" s="782">
        <f t="shared" si="20"/>
        <v>25.408300000000001</v>
      </c>
      <c r="AM14" s="715">
        <v>17.481060195594502</v>
      </c>
      <c r="AN14" s="715">
        <v>15.522261708394099</v>
      </c>
      <c r="AO14" s="715">
        <v>18.6666666666667</v>
      </c>
      <c r="AP14" s="715">
        <v>15.4574257425743</v>
      </c>
      <c r="AQ14" s="783"/>
      <c r="AR14" s="782">
        <f t="shared" si="21"/>
        <v>23.792999999999999</v>
      </c>
      <c r="AS14" s="715">
        <v>19.755993150684901</v>
      </c>
      <c r="AT14" s="715">
        <v>18.1815152343096</v>
      </c>
      <c r="AU14" s="715">
        <v>16.147635524798201</v>
      </c>
      <c r="AV14" s="715">
        <v>15.731559854897201</v>
      </c>
      <c r="AW14" s="783"/>
      <c r="AX14" s="782">
        <f t="shared" si="22"/>
        <v>12.2065</v>
      </c>
      <c r="AY14" s="715">
        <v>10.126900781465899</v>
      </c>
      <c r="AZ14" s="715">
        <v>10.116232479017301</v>
      </c>
      <c r="BA14" s="715">
        <v>11.263662924116799</v>
      </c>
      <c r="BB14" s="715">
        <v>11.3925268271013</v>
      </c>
      <c r="BC14" s="783">
        <v>6.4459823516460197</v>
      </c>
      <c r="BD14" s="782"/>
      <c r="BE14" s="715"/>
      <c r="BF14" s="715"/>
      <c r="BG14" s="715"/>
      <c r="BH14" s="715"/>
      <c r="BI14" s="783"/>
      <c r="BJ14" s="12"/>
      <c r="BK14" s="291" t="str">
        <f t="shared" si="23"/>
        <v>3Q05</v>
      </c>
      <c r="BL14" s="782">
        <f t="shared" si="24"/>
        <v>25.408300000000001</v>
      </c>
      <c r="BM14" s="715">
        <v>21.9936102236422</v>
      </c>
      <c r="BN14" s="715">
        <v>19.817843866171</v>
      </c>
      <c r="BO14" s="715">
        <v>20.3226270304026</v>
      </c>
      <c r="BP14" s="715">
        <v>15.776895731784901</v>
      </c>
      <c r="BQ14" s="783">
        <v>16.8366013071895</v>
      </c>
      <c r="BR14" s="782">
        <f t="shared" si="25"/>
        <v>23.792999999999999</v>
      </c>
      <c r="BS14" s="715">
        <v>22.049967969250499</v>
      </c>
      <c r="BT14" s="715">
        <v>20.922291993720599</v>
      </c>
      <c r="BU14" s="715">
        <v>18.2631639477374</v>
      </c>
      <c r="BV14" s="715">
        <v>15.9982552382258</v>
      </c>
      <c r="BW14" s="783">
        <v>16.612209802235601</v>
      </c>
      <c r="BX14" s="782">
        <f t="shared" si="26"/>
        <v>12.2065</v>
      </c>
      <c r="BY14" s="715">
        <v>9.1184251053912302</v>
      </c>
      <c r="BZ14" s="715"/>
      <c r="CA14" s="715">
        <v>19.213044156261599</v>
      </c>
      <c r="CB14" s="715">
        <v>9.1039461729045499</v>
      </c>
      <c r="CC14" s="783">
        <v>9.1789122762902302</v>
      </c>
      <c r="CD14" s="782"/>
      <c r="CE14" s="715"/>
      <c r="CF14" s="715"/>
      <c r="CG14" s="715"/>
      <c r="CH14" s="715"/>
      <c r="CI14" s="783"/>
    </row>
    <row r="15" spans="1:87" ht="14.25" customHeight="1">
      <c r="A15" s="12"/>
      <c r="B15" s="12"/>
      <c r="C15" s="12" t="s">
        <v>917</v>
      </c>
      <c r="D15" s="12"/>
      <c r="E15" s="662">
        <f>AVERAGE(L8:L75)</f>
        <v>19.798161538461539</v>
      </c>
      <c r="F15" s="662">
        <f>AVERAGE(R8:R75)</f>
        <v>18.242857352941172</v>
      </c>
      <c r="G15" s="662">
        <f>AVERAGE(X8:X75)</f>
        <v>9.7261569230769247</v>
      </c>
      <c r="H15" s="662">
        <f>AVERAGE(AD8:AD75)</f>
        <v>8.8286145454545455</v>
      </c>
      <c r="I15" s="69">
        <f>IF(I14=4,1,I14+1)</f>
        <v>4</v>
      </c>
      <c r="J15" s="5">
        <f t="shared" si="27"/>
        <v>2005</v>
      </c>
      <c r="K15" s="291" t="str">
        <f t="shared" si="18"/>
        <v>4Q05</v>
      </c>
      <c r="L15" s="782">
        <v>24.836300000000001</v>
      </c>
      <c r="M15" s="715">
        <v>19.9786</v>
      </c>
      <c r="N15" s="715">
        <v>20.28</v>
      </c>
      <c r="O15" s="715">
        <v>20.28</v>
      </c>
      <c r="P15" s="715">
        <v>20.28</v>
      </c>
      <c r="Q15" s="783">
        <v>20.28</v>
      </c>
      <c r="R15" s="782">
        <v>21.1492</v>
      </c>
      <c r="S15" s="715">
        <v>17.807400000000001</v>
      </c>
      <c r="T15" s="715">
        <v>19.5</v>
      </c>
      <c r="U15" s="715">
        <v>19.5</v>
      </c>
      <c r="V15" s="715">
        <v>19.5</v>
      </c>
      <c r="W15" s="783">
        <v>19.5</v>
      </c>
      <c r="X15" s="782">
        <v>11.7912</v>
      </c>
      <c r="Y15" s="715">
        <v>10.542199999999999</v>
      </c>
      <c r="Z15" s="715">
        <v>10.345499999999999</v>
      </c>
      <c r="AA15" s="715">
        <v>10.345499999999999</v>
      </c>
      <c r="AB15" s="715">
        <v>10.345499999999999</v>
      </c>
      <c r="AC15" s="783">
        <v>10.345499999999999</v>
      </c>
      <c r="AD15" s="715"/>
      <c r="AE15" s="715"/>
      <c r="AF15" s="715">
        <v>10.345499999999999</v>
      </c>
      <c r="AG15" s="715">
        <v>10.345499999999999</v>
      </c>
      <c r="AH15" s="715">
        <v>10.345499999999999</v>
      </c>
      <c r="AI15" s="783">
        <v>10.345499999999999</v>
      </c>
      <c r="AJ15" s="12"/>
      <c r="AK15" s="291" t="str">
        <f t="shared" si="19"/>
        <v>4Q05</v>
      </c>
      <c r="AL15" s="782">
        <f t="shared" si="20"/>
        <v>24.836300000000001</v>
      </c>
      <c r="AM15" s="715">
        <v>20.078124513820502</v>
      </c>
      <c r="AN15" s="715">
        <v>19.315413680224101</v>
      </c>
      <c r="AO15" s="715">
        <v>17.880952380952401</v>
      </c>
      <c r="AP15" s="715">
        <v>18.0419162535235</v>
      </c>
      <c r="AQ15" s="783"/>
      <c r="AR15" s="782">
        <f t="shared" si="21"/>
        <v>21.1492</v>
      </c>
      <c r="AS15" s="715">
        <v>22.1075268817204</v>
      </c>
      <c r="AT15" s="715">
        <v>20.1782706468125</v>
      </c>
      <c r="AU15" s="715">
        <v>22.7059712773999</v>
      </c>
      <c r="AV15" s="715">
        <v>18.128760529482602</v>
      </c>
      <c r="AW15" s="783"/>
      <c r="AX15" s="782">
        <f t="shared" si="22"/>
        <v>11.7912</v>
      </c>
      <c r="AY15" s="715">
        <v>10.883162475821999</v>
      </c>
      <c r="AZ15" s="715">
        <v>10.544632455636799</v>
      </c>
      <c r="BA15" s="715">
        <v>11.294114858806999</v>
      </c>
      <c r="BB15" s="715">
        <v>12.066726493507501</v>
      </c>
      <c r="BC15" s="783">
        <v>7.7573009425963004</v>
      </c>
      <c r="BD15" s="782"/>
      <c r="BE15" s="715"/>
      <c r="BF15" s="715"/>
      <c r="BG15" s="715"/>
      <c r="BH15" s="715"/>
      <c r="BI15" s="783"/>
      <c r="BJ15" s="12"/>
      <c r="BK15" s="291" t="str">
        <f t="shared" si="23"/>
        <v>4Q05</v>
      </c>
      <c r="BL15" s="782">
        <f t="shared" si="24"/>
        <v>24.836300000000001</v>
      </c>
      <c r="BM15" s="715">
        <v>25.7826086956522</v>
      </c>
      <c r="BN15" s="715">
        <v>24.640151515151501</v>
      </c>
      <c r="BO15" s="715">
        <v>19.212624682247601</v>
      </c>
      <c r="BP15" s="715">
        <v>20.142684472859901</v>
      </c>
      <c r="BQ15" s="783">
        <v>20.206823027718599</v>
      </c>
      <c r="BR15" s="782">
        <f t="shared" si="25"/>
        <v>21.1492</v>
      </c>
      <c r="BS15" s="715">
        <v>26.7117117117117</v>
      </c>
      <c r="BT15" s="715">
        <v>18.660355708548501</v>
      </c>
      <c r="BU15" s="715">
        <v>19.187866219072198</v>
      </c>
      <c r="BV15" s="715">
        <v>20.479692063782899</v>
      </c>
      <c r="BW15" s="783">
        <v>20.328185328185299</v>
      </c>
      <c r="BX15" s="782">
        <f t="shared" si="26"/>
        <v>11.7912</v>
      </c>
      <c r="BY15" s="715">
        <v>10.555738507716701</v>
      </c>
      <c r="BZ15" s="715"/>
      <c r="CA15" s="715">
        <v>12.0164333674176</v>
      </c>
      <c r="CB15" s="715">
        <v>11.1252626809564</v>
      </c>
      <c r="CC15" s="783">
        <v>10.547352379232899</v>
      </c>
      <c r="CD15" s="782"/>
      <c r="CE15" s="715"/>
      <c r="CF15" s="715"/>
      <c r="CG15" s="715"/>
      <c r="CH15" s="715"/>
      <c r="CI15" s="783"/>
    </row>
    <row r="16" spans="1:87" ht="14.25" customHeight="1">
      <c r="A16" s="12"/>
      <c r="B16" s="12"/>
      <c r="C16" s="12" t="s">
        <v>918</v>
      </c>
      <c r="D16" s="12"/>
      <c r="E16" s="662">
        <f t="shared" ref="E16:H16" si="28">AVERAGE(E20,E24)</f>
        <v>20.521407291666662</v>
      </c>
      <c r="F16" s="662">
        <f t="shared" si="28"/>
        <v>18.89432708333333</v>
      </c>
      <c r="G16" s="662">
        <f t="shared" si="28"/>
        <v>9.2752281249999999</v>
      </c>
      <c r="H16" s="662" t="e">
        <f t="shared" si="28"/>
        <v>#DIV/0!</v>
      </c>
      <c r="I16" s="69">
        <f>I12</f>
        <v>1</v>
      </c>
      <c r="J16" s="5">
        <f t="shared" si="27"/>
        <v>2006</v>
      </c>
      <c r="K16" s="291" t="str">
        <f t="shared" si="18"/>
        <v>1Q06</v>
      </c>
      <c r="L16" s="782">
        <v>22.553599999999999</v>
      </c>
      <c r="M16" s="715">
        <v>17.867999999999999</v>
      </c>
      <c r="N16" s="715">
        <v>19.9786</v>
      </c>
      <c r="O16" s="715">
        <v>19.9786</v>
      </c>
      <c r="P16" s="715">
        <v>19.9786</v>
      </c>
      <c r="Q16" s="783">
        <v>19.9786</v>
      </c>
      <c r="R16" s="782">
        <v>19.319900000000001</v>
      </c>
      <c r="S16" s="715">
        <v>16.311399999999999</v>
      </c>
      <c r="T16" s="715">
        <v>17.807400000000001</v>
      </c>
      <c r="U16" s="715">
        <v>17.807400000000001</v>
      </c>
      <c r="V16" s="715">
        <v>17.807400000000001</v>
      </c>
      <c r="W16" s="783">
        <v>17.807400000000001</v>
      </c>
      <c r="X16" s="782">
        <v>10.676500000000001</v>
      </c>
      <c r="Y16" s="715">
        <v>9.1232000000000006</v>
      </c>
      <c r="Z16" s="715">
        <v>10.542199999999999</v>
      </c>
      <c r="AA16" s="715">
        <v>10.542199999999999</v>
      </c>
      <c r="AB16" s="715">
        <v>10.542199999999999</v>
      </c>
      <c r="AC16" s="783">
        <v>10.542199999999999</v>
      </c>
      <c r="AD16" s="715"/>
      <c r="AE16" s="715"/>
      <c r="AF16" s="715">
        <v>10.542199999999999</v>
      </c>
      <c r="AG16" s="715">
        <v>10.542199999999999</v>
      </c>
      <c r="AH16" s="715">
        <v>10.542199999999999</v>
      </c>
      <c r="AI16" s="783">
        <v>10.542199999999999</v>
      </c>
      <c r="AJ16" s="12"/>
      <c r="AK16" s="291" t="str">
        <f t="shared" si="19"/>
        <v>1Q06</v>
      </c>
      <c r="AL16" s="782">
        <f t="shared" si="20"/>
        <v>22.553599999999999</v>
      </c>
      <c r="AM16" s="715">
        <v>17.157894413887298</v>
      </c>
      <c r="AN16" s="715">
        <v>17.964677885175998</v>
      </c>
      <c r="AO16" s="715">
        <v>18.993939393939399</v>
      </c>
      <c r="AP16" s="715">
        <v>17.830339406209301</v>
      </c>
      <c r="AQ16" s="783"/>
      <c r="AR16" s="782">
        <f t="shared" si="21"/>
        <v>19.319900000000001</v>
      </c>
      <c r="AS16" s="715">
        <v>18.046658758402501</v>
      </c>
      <c r="AT16" s="715">
        <v>15.2884330339041</v>
      </c>
      <c r="AU16" s="715">
        <v>24.200772200772199</v>
      </c>
      <c r="AV16" s="715">
        <v>15.957484816005699</v>
      </c>
      <c r="AW16" s="783"/>
      <c r="AX16" s="782">
        <f t="shared" si="22"/>
        <v>10.676500000000001</v>
      </c>
      <c r="AY16" s="715">
        <v>9.4015377156013002</v>
      </c>
      <c r="AZ16" s="715">
        <v>10.175973794278899</v>
      </c>
      <c r="BA16" s="715">
        <v>12.1605676983264</v>
      </c>
      <c r="BB16" s="715">
        <v>12.000659807003</v>
      </c>
      <c r="BC16" s="783">
        <v>8.8729452528333503</v>
      </c>
      <c r="BD16" s="782"/>
      <c r="BE16" s="715"/>
      <c r="BF16" s="715"/>
      <c r="BG16" s="715"/>
      <c r="BH16" s="715"/>
      <c r="BI16" s="783"/>
      <c r="BJ16" s="12"/>
      <c r="BK16" s="291" t="str">
        <f t="shared" si="23"/>
        <v>1Q06</v>
      </c>
      <c r="BL16" s="782">
        <f t="shared" si="24"/>
        <v>22.553599999999999</v>
      </c>
      <c r="BM16" s="715">
        <v>19.718204488778099</v>
      </c>
      <c r="BN16" s="715">
        <v>22.7993421052632</v>
      </c>
      <c r="BO16" s="715">
        <v>18.9273500743124</v>
      </c>
      <c r="BP16" s="715">
        <v>19.892149685577898</v>
      </c>
      <c r="BQ16" s="783">
        <v>18.054393305439302</v>
      </c>
      <c r="BR16" s="782">
        <f t="shared" si="25"/>
        <v>19.319900000000001</v>
      </c>
      <c r="BS16" s="715">
        <v>17.784525416104401</v>
      </c>
      <c r="BT16" s="715">
        <v>17.2756729810568</v>
      </c>
      <c r="BU16" s="715">
        <v>18.698147054174601</v>
      </c>
      <c r="BV16" s="715">
        <v>21.0760513346214</v>
      </c>
      <c r="BW16" s="783">
        <v>16.551591868047598</v>
      </c>
      <c r="BX16" s="782">
        <f t="shared" si="26"/>
        <v>10.676500000000001</v>
      </c>
      <c r="BY16" s="715">
        <v>9.0262166141813296</v>
      </c>
      <c r="BZ16" s="715"/>
      <c r="CA16" s="715">
        <v>11.641835977457299</v>
      </c>
      <c r="CB16" s="715">
        <v>11.3025559147528</v>
      </c>
      <c r="CC16" s="783">
        <v>10.010972737361801</v>
      </c>
      <c r="CD16" s="782"/>
      <c r="CE16" s="715"/>
      <c r="CF16" s="715"/>
      <c r="CG16" s="715"/>
      <c r="CH16" s="715"/>
      <c r="CI16" s="783"/>
    </row>
    <row r="17" spans="1:87" ht="14.25" customHeight="1">
      <c r="A17" s="12"/>
      <c r="B17" s="12"/>
      <c r="C17" s="12" t="s">
        <v>919</v>
      </c>
      <c r="D17" s="12"/>
      <c r="E17" s="662">
        <f t="shared" ref="E17:H17" si="29">AVERAGE(E21,E25)</f>
        <v>20.795365624999999</v>
      </c>
      <c r="F17" s="662">
        <f t="shared" si="29"/>
        <v>18.852084374999997</v>
      </c>
      <c r="G17" s="662">
        <f t="shared" si="29"/>
        <v>9.8875666666666646</v>
      </c>
      <c r="H17" s="662">
        <f t="shared" si="29"/>
        <v>8.9681772321428568</v>
      </c>
      <c r="I17" s="69">
        <f>IF(I16=4,1,I16+1)</f>
        <v>2</v>
      </c>
      <c r="J17" s="5">
        <f t="shared" si="27"/>
        <v>2006</v>
      </c>
      <c r="K17" s="291" t="str">
        <f t="shared" si="18"/>
        <v>2Q06</v>
      </c>
      <c r="L17" s="782">
        <v>21.827300000000001</v>
      </c>
      <c r="M17" s="715">
        <v>18.578199999999999</v>
      </c>
      <c r="N17" s="715">
        <v>17.867999999999999</v>
      </c>
      <c r="O17" s="715">
        <v>17.867999999999999</v>
      </c>
      <c r="P17" s="715">
        <v>17.867999999999999</v>
      </c>
      <c r="Q17" s="783">
        <v>17.867999999999999</v>
      </c>
      <c r="R17" s="782">
        <v>20.099900000000002</v>
      </c>
      <c r="S17" s="715">
        <v>17.697500000000002</v>
      </c>
      <c r="T17" s="715">
        <v>16.311399999999999</v>
      </c>
      <c r="U17" s="715">
        <v>16.311399999999999</v>
      </c>
      <c r="V17" s="715">
        <v>16.311399999999999</v>
      </c>
      <c r="W17" s="783">
        <v>16.311399999999999</v>
      </c>
      <c r="X17" s="782">
        <v>9.9769000000000005</v>
      </c>
      <c r="Y17" s="715">
        <v>9.6114999999999995</v>
      </c>
      <c r="Z17" s="715">
        <v>9.1232000000000006</v>
      </c>
      <c r="AA17" s="715">
        <v>9.1232000000000006</v>
      </c>
      <c r="AB17" s="715">
        <v>9.1232000000000006</v>
      </c>
      <c r="AC17" s="783">
        <v>9.1232000000000006</v>
      </c>
      <c r="AD17" s="715"/>
      <c r="AE17" s="715"/>
      <c r="AF17" s="715">
        <v>9.1232000000000006</v>
      </c>
      <c r="AG17" s="715">
        <v>9.1232000000000006</v>
      </c>
      <c r="AH17" s="715">
        <v>9.1232000000000006</v>
      </c>
      <c r="AI17" s="783">
        <v>9.1232000000000006</v>
      </c>
      <c r="AJ17" s="12"/>
      <c r="AK17" s="291" t="str">
        <f t="shared" si="19"/>
        <v>2Q06</v>
      </c>
      <c r="AL17" s="782">
        <f t="shared" si="20"/>
        <v>21.827300000000001</v>
      </c>
      <c r="AM17" s="715">
        <v>19.1470584543003</v>
      </c>
      <c r="AN17" s="715">
        <v>18.700749834614999</v>
      </c>
      <c r="AO17" s="715">
        <v>22.639240506329099</v>
      </c>
      <c r="AP17" s="715">
        <v>19.022988401484302</v>
      </c>
      <c r="AQ17" s="783">
        <v>24.914772727272702</v>
      </c>
      <c r="AR17" s="782">
        <f t="shared" si="21"/>
        <v>20.099900000000002</v>
      </c>
      <c r="AS17" s="715">
        <v>19.727272727272702</v>
      </c>
      <c r="AT17" s="715">
        <v>16.5025248069106</v>
      </c>
      <c r="AU17" s="715">
        <v>26.437546193643801</v>
      </c>
      <c r="AV17" s="715">
        <v>17.162115451088798</v>
      </c>
      <c r="AW17" s="783"/>
      <c r="AX17" s="782">
        <f t="shared" si="22"/>
        <v>9.9769000000000005</v>
      </c>
      <c r="AY17" s="715">
        <v>9.9524539902565294</v>
      </c>
      <c r="AZ17" s="715">
        <v>10.214673565937</v>
      </c>
      <c r="BA17" s="715">
        <v>12.613183018927501</v>
      </c>
      <c r="BB17" s="715">
        <v>12.097290373279501</v>
      </c>
      <c r="BC17" s="783">
        <v>8.0199614628731695</v>
      </c>
      <c r="BD17" s="782"/>
      <c r="BE17" s="715"/>
      <c r="BF17" s="715"/>
      <c r="BG17" s="715"/>
      <c r="BH17" s="715"/>
      <c r="BI17" s="783"/>
      <c r="BJ17" s="12"/>
      <c r="BK17" s="291" t="str">
        <f t="shared" si="23"/>
        <v>2Q06</v>
      </c>
      <c r="BL17" s="782">
        <f t="shared" si="24"/>
        <v>21.827300000000001</v>
      </c>
      <c r="BM17" s="715">
        <v>18.0136054421769</v>
      </c>
      <c r="BN17" s="715">
        <v>18.218181818181801</v>
      </c>
      <c r="BO17" s="715">
        <v>20.093254993699901</v>
      </c>
      <c r="BP17" s="715">
        <v>20.512852509027699</v>
      </c>
      <c r="BQ17" s="783">
        <v>18.295999999999999</v>
      </c>
      <c r="BR17" s="782">
        <f t="shared" si="25"/>
        <v>20.099900000000002</v>
      </c>
      <c r="BS17" s="715">
        <v>14.443636363636401</v>
      </c>
      <c r="BT17" s="715">
        <v>14.955223880597</v>
      </c>
      <c r="BU17" s="715">
        <v>19.8499333078394</v>
      </c>
      <c r="BV17" s="715">
        <v>21.835848005852899</v>
      </c>
      <c r="BW17" s="783">
        <v>17.3652239939256</v>
      </c>
      <c r="BX17" s="782">
        <f t="shared" si="26"/>
        <v>9.9769000000000005</v>
      </c>
      <c r="BY17" s="715">
        <v>8.5879729980468706</v>
      </c>
      <c r="BZ17" s="715"/>
      <c r="CA17" s="715">
        <v>13.557481281982801</v>
      </c>
      <c r="CB17" s="715">
        <v>12.8221316954229</v>
      </c>
      <c r="CC17" s="783">
        <v>9.8900476159815405</v>
      </c>
      <c r="CD17" s="782"/>
      <c r="CE17" s="715"/>
      <c r="CF17" s="715"/>
      <c r="CG17" s="715"/>
      <c r="CH17" s="715"/>
      <c r="CI17" s="783"/>
    </row>
    <row r="18" spans="1:87" ht="14.25" customHeight="1">
      <c r="A18" s="12"/>
      <c r="B18" s="12"/>
      <c r="C18" s="12" t="s">
        <v>920</v>
      </c>
      <c r="D18" s="12"/>
      <c r="E18" s="662">
        <f t="shared" ref="E18:H18" si="30">AVERAGE(E22,E26)</f>
        <v>17.294518402777776</v>
      </c>
      <c r="F18" s="662">
        <f t="shared" si="30"/>
        <v>16.837352083333336</v>
      </c>
      <c r="G18" s="662">
        <f t="shared" si="30"/>
        <v>9.4221694444444442</v>
      </c>
      <c r="H18" s="662">
        <f t="shared" si="30"/>
        <v>8.9706677083333339</v>
      </c>
      <c r="I18" s="69">
        <f>IF(I17+1=5,1,I17+1)</f>
        <v>3</v>
      </c>
      <c r="J18" s="5">
        <f t="shared" si="27"/>
        <v>2006</v>
      </c>
      <c r="K18" s="291" t="str">
        <f t="shared" si="18"/>
        <v>3Q06</v>
      </c>
      <c r="L18" s="782">
        <v>22.15</v>
      </c>
      <c r="M18" s="715">
        <v>19.339400000000001</v>
      </c>
      <c r="N18" s="715">
        <v>18.578199999999999</v>
      </c>
      <c r="O18" s="715">
        <v>18.578199999999999</v>
      </c>
      <c r="P18" s="715">
        <v>18.578199999999999</v>
      </c>
      <c r="Q18" s="783">
        <v>18.578199999999999</v>
      </c>
      <c r="R18" s="782">
        <v>21.204000000000001</v>
      </c>
      <c r="S18" s="715">
        <v>18.936599999999999</v>
      </c>
      <c r="T18" s="715">
        <v>17.697500000000002</v>
      </c>
      <c r="U18" s="715">
        <v>17.697500000000002</v>
      </c>
      <c r="V18" s="715">
        <v>17.697500000000002</v>
      </c>
      <c r="W18" s="783">
        <v>17.697500000000002</v>
      </c>
      <c r="X18" s="782">
        <v>10.2601</v>
      </c>
      <c r="Y18" s="715">
        <v>10.2606</v>
      </c>
      <c r="Z18" s="715">
        <v>9.6114999999999995</v>
      </c>
      <c r="AA18" s="715">
        <v>9.6114999999999995</v>
      </c>
      <c r="AB18" s="715">
        <v>9.6114999999999995</v>
      </c>
      <c r="AC18" s="783">
        <v>9.6114999999999995</v>
      </c>
      <c r="AD18" s="715"/>
      <c r="AE18" s="715"/>
      <c r="AF18" s="715">
        <v>9.6114999999999995</v>
      </c>
      <c r="AG18" s="715">
        <v>9.6114999999999995</v>
      </c>
      <c r="AH18" s="715">
        <v>9.6114999999999995</v>
      </c>
      <c r="AI18" s="783">
        <v>9.6114999999999995</v>
      </c>
      <c r="AJ18" s="12"/>
      <c r="AK18" s="291" t="str">
        <f t="shared" si="19"/>
        <v>3Q06</v>
      </c>
      <c r="AL18" s="782">
        <f t="shared" si="20"/>
        <v>22.15</v>
      </c>
      <c r="AM18" s="715">
        <v>20.283636187782001</v>
      </c>
      <c r="AN18" s="715">
        <v>17.005201226041201</v>
      </c>
      <c r="AO18" s="715">
        <v>24.346153846153801</v>
      </c>
      <c r="AP18" s="715">
        <v>18.768382056819298</v>
      </c>
      <c r="AQ18" s="783">
        <v>25.539772727272702</v>
      </c>
      <c r="AR18" s="782">
        <f t="shared" si="21"/>
        <v>21.204000000000001</v>
      </c>
      <c r="AS18" s="715">
        <v>20.782414307004501</v>
      </c>
      <c r="AT18" s="715">
        <v>16.131976461153702</v>
      </c>
      <c r="AU18" s="715">
        <v>27.8241758241758</v>
      </c>
      <c r="AV18" s="715">
        <v>17.287504232983402</v>
      </c>
      <c r="AW18" s="783"/>
      <c r="AX18" s="782">
        <f t="shared" si="22"/>
        <v>10.2601</v>
      </c>
      <c r="AY18" s="715">
        <v>10.247520184527399</v>
      </c>
      <c r="AZ18" s="715">
        <v>9.5174318423695201</v>
      </c>
      <c r="BA18" s="715">
        <v>12.277601123113399</v>
      </c>
      <c r="BB18" s="715">
        <v>11.477847628534301</v>
      </c>
      <c r="BC18" s="783">
        <v>8.1771807700558199</v>
      </c>
      <c r="BD18" s="782"/>
      <c r="BE18" s="715"/>
      <c r="BF18" s="715"/>
      <c r="BG18" s="715"/>
      <c r="BH18" s="715"/>
      <c r="BI18" s="783"/>
      <c r="BJ18" s="12"/>
      <c r="BK18" s="291" t="str">
        <f t="shared" si="23"/>
        <v>3Q06</v>
      </c>
      <c r="BL18" s="782">
        <f t="shared" si="24"/>
        <v>22.15</v>
      </c>
      <c r="BM18" s="715">
        <v>15.8366141732283</v>
      </c>
      <c r="BN18" s="715">
        <v>14.6371882086168</v>
      </c>
      <c r="BO18" s="715">
        <v>21.097269288888899</v>
      </c>
      <c r="BP18" s="715">
        <v>19.287461801637502</v>
      </c>
      <c r="BQ18" s="783">
        <v>17.820610687022899</v>
      </c>
      <c r="BR18" s="782">
        <f t="shared" si="25"/>
        <v>21.204000000000001</v>
      </c>
      <c r="BS18" s="715">
        <v>14.143811533052</v>
      </c>
      <c r="BT18" s="715">
        <v>12.577942322681199</v>
      </c>
      <c r="BU18" s="715">
        <v>20.494490166349198</v>
      </c>
      <c r="BV18" s="715">
        <v>20.296556117062099</v>
      </c>
      <c r="BW18" s="783">
        <v>17.0215092963908</v>
      </c>
      <c r="BX18" s="782">
        <f t="shared" si="26"/>
        <v>10.2601</v>
      </c>
      <c r="BY18" s="715">
        <v>8.0824033735712799</v>
      </c>
      <c r="BZ18" s="715"/>
      <c r="CA18" s="715">
        <v>13.695778645739599</v>
      </c>
      <c r="CB18" s="715">
        <v>12.8479606538945</v>
      </c>
      <c r="CC18" s="783">
        <v>9.6001621190547795</v>
      </c>
      <c r="CD18" s="782"/>
      <c r="CE18" s="715"/>
      <c r="CF18" s="715"/>
      <c r="CG18" s="715"/>
      <c r="CH18" s="715"/>
      <c r="CI18" s="783"/>
    </row>
    <row r="19" spans="1:87" ht="14.25" customHeight="1">
      <c r="A19" s="12"/>
      <c r="B19" s="12"/>
      <c r="C19" s="12" t="s">
        <v>921</v>
      </c>
      <c r="D19" s="12"/>
      <c r="E19" s="662">
        <f>AVERAGE(L8:L35)</f>
        <v>19.619195999999999</v>
      </c>
      <c r="F19" s="662">
        <f>AVERAGE(R8:R35)</f>
        <v>17.960307142857143</v>
      </c>
      <c r="G19" s="662">
        <f>AVERAGE(X8:X35)</f>
        <v>9.2594799999999999</v>
      </c>
      <c r="H19" s="662">
        <f>AVERAGE(AD8:AD35)</f>
        <v>7.4631999999999996</v>
      </c>
      <c r="I19" s="69">
        <f>IF(I18=4,1,I18+1)</f>
        <v>4</v>
      </c>
      <c r="J19" s="5">
        <f t="shared" si="27"/>
        <v>2006</v>
      </c>
      <c r="K19" s="291" t="str">
        <f t="shared" si="18"/>
        <v>4Q06</v>
      </c>
      <c r="L19" s="782">
        <v>20.684799999999999</v>
      </c>
      <c r="M19" s="715">
        <v>16.920400000000001</v>
      </c>
      <c r="N19" s="715">
        <v>19.339400000000001</v>
      </c>
      <c r="O19" s="715">
        <v>19.339400000000001</v>
      </c>
      <c r="P19" s="715">
        <v>19.339400000000001</v>
      </c>
      <c r="Q19" s="783">
        <v>19.339400000000001</v>
      </c>
      <c r="R19" s="782">
        <v>16.7912</v>
      </c>
      <c r="S19" s="715">
        <v>16.927800000000001</v>
      </c>
      <c r="T19" s="715">
        <v>18.936599999999999</v>
      </c>
      <c r="U19" s="715">
        <v>18.936599999999999</v>
      </c>
      <c r="V19" s="715">
        <v>18.936599999999999</v>
      </c>
      <c r="W19" s="783">
        <v>18.936599999999999</v>
      </c>
      <c r="X19" s="782">
        <v>9.6935000000000002</v>
      </c>
      <c r="Y19" s="715">
        <v>9.0824999999999996</v>
      </c>
      <c r="Z19" s="715">
        <v>10.2606</v>
      </c>
      <c r="AA19" s="715">
        <v>10.2606</v>
      </c>
      <c r="AB19" s="715">
        <v>10.2606</v>
      </c>
      <c r="AC19" s="783">
        <v>10.2606</v>
      </c>
      <c r="AD19" s="715"/>
      <c r="AE19" s="715"/>
      <c r="AF19" s="715">
        <v>10.2606</v>
      </c>
      <c r="AG19" s="715">
        <v>10.2606</v>
      </c>
      <c r="AH19" s="715">
        <v>10.2606</v>
      </c>
      <c r="AI19" s="783">
        <v>10.2606</v>
      </c>
      <c r="AJ19" s="12"/>
      <c r="AK19" s="291" t="str">
        <f t="shared" si="19"/>
        <v>4Q06</v>
      </c>
      <c r="AL19" s="782">
        <f t="shared" si="20"/>
        <v>20.684799999999999</v>
      </c>
      <c r="AM19" s="715">
        <v>19.491227907120301</v>
      </c>
      <c r="AN19" s="715">
        <v>16.688389388832501</v>
      </c>
      <c r="AO19" s="715">
        <v>24.732484076433099</v>
      </c>
      <c r="AP19" s="715">
        <v>17.491638377558701</v>
      </c>
      <c r="AQ19" s="783">
        <v>16.232394366197202</v>
      </c>
      <c r="AR19" s="782">
        <f t="shared" si="21"/>
        <v>16.7912</v>
      </c>
      <c r="AS19" s="715">
        <v>20.362903225806399</v>
      </c>
      <c r="AT19" s="715">
        <v>16.26994082613</v>
      </c>
      <c r="AU19" s="715">
        <v>29.327794561933501</v>
      </c>
      <c r="AV19" s="715">
        <v>17.329357190192201</v>
      </c>
      <c r="AW19" s="783"/>
      <c r="AX19" s="782">
        <f t="shared" si="22"/>
        <v>9.6935000000000002</v>
      </c>
      <c r="AY19" s="715">
        <v>10.7674086640521</v>
      </c>
      <c r="AZ19" s="715">
        <v>8.6047449158160294</v>
      </c>
      <c r="BA19" s="715">
        <v>12.2104350605702</v>
      </c>
      <c r="BB19" s="715">
        <v>10.269674631440299</v>
      </c>
      <c r="BC19" s="783">
        <v>5.4010331768011701</v>
      </c>
      <c r="BD19" s="782"/>
      <c r="BE19" s="715"/>
      <c r="BF19" s="715"/>
      <c r="BG19" s="715"/>
      <c r="BH19" s="715"/>
      <c r="BI19" s="783"/>
      <c r="BJ19" s="12"/>
      <c r="BK19" s="291" t="str">
        <f t="shared" si="23"/>
        <v>4Q06</v>
      </c>
      <c r="BL19" s="782">
        <f t="shared" si="24"/>
        <v>20.684799999999999</v>
      </c>
      <c r="BM19" s="715">
        <v>17.258407079645998</v>
      </c>
      <c r="BN19" s="715">
        <v>13.3333333333333</v>
      </c>
      <c r="BO19" s="715">
        <v>21.792345403726699</v>
      </c>
      <c r="BP19" s="715">
        <v>18.221841239066201</v>
      </c>
      <c r="BQ19" s="783">
        <v>19.210037174721201</v>
      </c>
      <c r="BR19" s="782">
        <f t="shared" si="25"/>
        <v>16.7912</v>
      </c>
      <c r="BS19" s="715">
        <v>16.9937260369467</v>
      </c>
      <c r="BT19" s="715">
        <v>12.330129267484301</v>
      </c>
      <c r="BU19" s="715">
        <v>22.206124113924101</v>
      </c>
      <c r="BV19" s="715">
        <v>20.0418586755485</v>
      </c>
      <c r="BW19" s="783">
        <v>18.797744634412499</v>
      </c>
      <c r="BX19" s="782">
        <f t="shared" si="26"/>
        <v>9.6935000000000002</v>
      </c>
      <c r="BY19" s="715">
        <v>9.0195886328454105</v>
      </c>
      <c r="BZ19" s="715"/>
      <c r="CA19" s="715">
        <v>13.8749350159271</v>
      </c>
      <c r="CB19" s="715">
        <v>13.6789537402863</v>
      </c>
      <c r="CC19" s="783">
        <v>10.451056246976799</v>
      </c>
      <c r="CD19" s="782"/>
      <c r="CE19" s="715"/>
      <c r="CF19" s="715"/>
      <c r="CG19" s="715"/>
      <c r="CH19" s="715"/>
      <c r="CI19" s="783"/>
    </row>
    <row r="20" spans="1:87" ht="14.25" customHeight="1">
      <c r="A20" s="12"/>
      <c r="B20" s="12"/>
      <c r="C20" s="12" t="s">
        <v>922</v>
      </c>
      <c r="D20" s="12"/>
      <c r="E20" s="662">
        <f>AVERAGE(L8:L19)</f>
        <v>23.75140833333333</v>
      </c>
      <c r="F20" s="662">
        <f>AVERAGE(R8:R19)</f>
        <v>21.239816666666666</v>
      </c>
      <c r="G20" s="662">
        <f>AVERAGE(X8:X19)</f>
        <v>10.85385</v>
      </c>
      <c r="H20" s="662" t="e">
        <f>AVERAGE(AD8:AD19)</f>
        <v>#DIV/0!</v>
      </c>
      <c r="I20" s="69">
        <f>I16</f>
        <v>1</v>
      </c>
      <c r="J20" s="5">
        <f t="shared" si="27"/>
        <v>2007</v>
      </c>
      <c r="K20" s="291" t="str">
        <f t="shared" si="18"/>
        <v>1Q07</v>
      </c>
      <c r="L20" s="782">
        <v>19.938400000000001</v>
      </c>
      <c r="M20" s="715">
        <v>16.413499999999999</v>
      </c>
      <c r="N20" s="715">
        <v>16.920400000000001</v>
      </c>
      <c r="O20" s="715">
        <v>16.920400000000001</v>
      </c>
      <c r="P20" s="715">
        <v>16.920400000000001</v>
      </c>
      <c r="Q20" s="783">
        <v>16.920400000000001</v>
      </c>
      <c r="R20" s="782">
        <v>17.557300000000001</v>
      </c>
      <c r="S20" s="715">
        <v>15.1953</v>
      </c>
      <c r="T20" s="715">
        <v>16.927800000000001</v>
      </c>
      <c r="U20" s="715">
        <v>16.927800000000001</v>
      </c>
      <c r="V20" s="715">
        <v>16.927800000000001</v>
      </c>
      <c r="W20" s="783">
        <v>16.927800000000001</v>
      </c>
      <c r="X20" s="782">
        <v>9.2974999999999994</v>
      </c>
      <c r="Y20" s="715">
        <v>8.6582000000000008</v>
      </c>
      <c r="Z20" s="715">
        <v>9.0824999999999996</v>
      </c>
      <c r="AA20" s="715">
        <v>9.0824999999999996</v>
      </c>
      <c r="AB20" s="715">
        <v>9.0824999999999996</v>
      </c>
      <c r="AC20" s="783">
        <v>9.0824999999999996</v>
      </c>
      <c r="AD20" s="715"/>
      <c r="AE20" s="715">
        <v>8.0135000000000005</v>
      </c>
      <c r="AF20" s="715">
        <v>9.0824999999999996</v>
      </c>
      <c r="AG20" s="715">
        <v>9.0824999999999996</v>
      </c>
      <c r="AH20" s="715">
        <v>9.0824999999999996</v>
      </c>
      <c r="AI20" s="783">
        <v>9.0824999999999996</v>
      </c>
      <c r="AJ20" s="12"/>
      <c r="AK20" s="291" t="str">
        <f t="shared" si="19"/>
        <v>1Q07</v>
      </c>
      <c r="AL20" s="782">
        <f t="shared" si="20"/>
        <v>19.938400000000001</v>
      </c>
      <c r="AM20" s="715">
        <v>20.3533331715796</v>
      </c>
      <c r="AN20" s="715">
        <v>14.8843352711246</v>
      </c>
      <c r="AO20" s="715">
        <v>21.6201117318436</v>
      </c>
      <c r="AP20" s="715">
        <v>17.9013373644136</v>
      </c>
      <c r="AQ20" s="783">
        <v>18.274647887323901</v>
      </c>
      <c r="AR20" s="782">
        <f t="shared" si="21"/>
        <v>17.557300000000001</v>
      </c>
      <c r="AS20" s="715">
        <v>18.275965279856301</v>
      </c>
      <c r="AT20" s="715">
        <v>13.572467583702901</v>
      </c>
      <c r="AU20" s="715">
        <v>20.5087440381558</v>
      </c>
      <c r="AV20" s="715">
        <v>15.719530102789999</v>
      </c>
      <c r="AW20" s="783">
        <v>13.586387434555</v>
      </c>
      <c r="AX20" s="782">
        <f t="shared" si="22"/>
        <v>9.2974999999999994</v>
      </c>
      <c r="AY20" s="715">
        <v>10.377498226542199</v>
      </c>
      <c r="AZ20" s="715">
        <v>8.3226000907228208</v>
      </c>
      <c r="BA20" s="715">
        <v>11.631107683498801</v>
      </c>
      <c r="BB20" s="715">
        <v>10.5217939917218</v>
      </c>
      <c r="BC20" s="783">
        <v>6.0220379057999196</v>
      </c>
      <c r="BD20" s="782"/>
      <c r="BE20" s="715"/>
      <c r="BF20" s="715"/>
      <c r="BG20" s="715"/>
      <c r="BH20" s="715"/>
      <c r="BI20" s="783">
        <v>6.3204672990607103</v>
      </c>
      <c r="BJ20" s="12"/>
      <c r="BK20" s="291" t="str">
        <f t="shared" si="23"/>
        <v>1Q07</v>
      </c>
      <c r="BL20" s="782">
        <f t="shared" si="24"/>
        <v>19.938400000000001</v>
      </c>
      <c r="BM20" s="715">
        <v>14.9411764705882</v>
      </c>
      <c r="BN20" s="715">
        <v>11.6545138888889</v>
      </c>
      <c r="BO20" s="715">
        <v>21.396744125925899</v>
      </c>
      <c r="BP20" s="715">
        <v>17.890914484230301</v>
      </c>
      <c r="BQ20" s="783">
        <v>18.1860465116279</v>
      </c>
      <c r="BR20" s="782">
        <f t="shared" si="25"/>
        <v>17.557300000000001</v>
      </c>
      <c r="BS20" s="715">
        <v>12.515740487270699</v>
      </c>
      <c r="BT20" s="715">
        <v>11.2219993313273</v>
      </c>
      <c r="BU20" s="715">
        <v>19.171861440265499</v>
      </c>
      <c r="BV20" s="715">
        <v>17.571433868440501</v>
      </c>
      <c r="BW20" s="783">
        <v>16.753460777851</v>
      </c>
      <c r="BX20" s="782">
        <f t="shared" si="26"/>
        <v>9.2974999999999994</v>
      </c>
      <c r="BY20" s="715">
        <v>8.2738549462753905</v>
      </c>
      <c r="BZ20" s="715"/>
      <c r="CA20" s="715">
        <v>13.808439568671201</v>
      </c>
      <c r="CB20" s="715">
        <v>13.7812305778841</v>
      </c>
      <c r="CC20" s="783">
        <v>10.06424152212</v>
      </c>
      <c r="CD20" s="782"/>
      <c r="CE20" s="715"/>
      <c r="CF20" s="715"/>
      <c r="CG20" s="715">
        <v>27.8906291783535</v>
      </c>
      <c r="CH20" s="715"/>
      <c r="CI20" s="783"/>
    </row>
    <row r="21" spans="1:87" ht="14.25" customHeight="1">
      <c r="A21" s="12"/>
      <c r="B21" s="12"/>
      <c r="C21" s="12" t="s">
        <v>923</v>
      </c>
      <c r="D21" s="12"/>
      <c r="E21" s="662">
        <f>AVERAGE(L16:L27)</f>
        <v>19.173399999999997</v>
      </c>
      <c r="F21" s="662">
        <f>AVERAGE(R16:R27)</f>
        <v>17.364974999999998</v>
      </c>
      <c r="G21" s="662">
        <f>AVERAGE(X16:X27)</f>
        <v>9.2426083333333313</v>
      </c>
      <c r="H21" s="662">
        <f>AVERAGE(AD16:AD27)</f>
        <v>8.0392857142857128</v>
      </c>
      <c r="I21" s="69">
        <f>IF(I20=4,1,I20+1)</f>
        <v>2</v>
      </c>
      <c r="J21" s="5">
        <f t="shared" si="27"/>
        <v>2007</v>
      </c>
      <c r="K21" s="291" t="str">
        <f t="shared" si="18"/>
        <v>2Q07</v>
      </c>
      <c r="L21" s="782">
        <v>20.909099999999999</v>
      </c>
      <c r="M21" s="715">
        <v>15.317299999999999</v>
      </c>
      <c r="N21" s="715">
        <v>16.413499999999999</v>
      </c>
      <c r="O21" s="715">
        <v>16.413499999999999</v>
      </c>
      <c r="P21" s="715">
        <v>16.413499999999999</v>
      </c>
      <c r="Q21" s="783">
        <v>16.413499999999999</v>
      </c>
      <c r="R21" s="782">
        <v>19.064499999999999</v>
      </c>
      <c r="S21" s="715">
        <v>15.478899999999999</v>
      </c>
      <c r="T21" s="715">
        <v>15.1953</v>
      </c>
      <c r="U21" s="715">
        <v>15.1953</v>
      </c>
      <c r="V21" s="715">
        <v>15.1953</v>
      </c>
      <c r="W21" s="783">
        <v>15.1953</v>
      </c>
      <c r="X21" s="782">
        <v>10.166</v>
      </c>
      <c r="Y21" s="715">
        <v>8.1684000000000001</v>
      </c>
      <c r="Z21" s="715">
        <v>8.6582000000000008</v>
      </c>
      <c r="AA21" s="715">
        <v>8.6582000000000008</v>
      </c>
      <c r="AB21" s="715">
        <v>8.6582000000000008</v>
      </c>
      <c r="AC21" s="783">
        <v>8.6582000000000008</v>
      </c>
      <c r="AD21" s="715">
        <v>7.9340999999999999</v>
      </c>
      <c r="AE21" s="715">
        <v>7.7404999999999999</v>
      </c>
      <c r="AF21" s="715">
        <v>8.6582000000000008</v>
      </c>
      <c r="AG21" s="715">
        <v>8.6582000000000008</v>
      </c>
      <c r="AH21" s="715">
        <v>8.6582000000000008</v>
      </c>
      <c r="AI21" s="783">
        <v>8.6582000000000008</v>
      </c>
      <c r="AJ21" s="12"/>
      <c r="AK21" s="291" t="str">
        <f t="shared" si="19"/>
        <v>2Q07</v>
      </c>
      <c r="AL21" s="782">
        <f t="shared" si="20"/>
        <v>20.909099999999999</v>
      </c>
      <c r="AM21" s="715">
        <v>19.657575771777999</v>
      </c>
      <c r="AN21" s="715">
        <v>14.2796521296296</v>
      </c>
      <c r="AO21" s="715">
        <v>20.0615384615385</v>
      </c>
      <c r="AP21" s="715">
        <v>17.115624757709501</v>
      </c>
      <c r="AQ21" s="783">
        <v>16.214689265536698</v>
      </c>
      <c r="AR21" s="782">
        <f t="shared" si="21"/>
        <v>19.064499999999999</v>
      </c>
      <c r="AS21" s="715">
        <v>18.304176072234799</v>
      </c>
      <c r="AT21" s="715">
        <v>13.1036807777778</v>
      </c>
      <c r="AU21" s="715">
        <v>19.928680590932199</v>
      </c>
      <c r="AV21" s="715">
        <v>15.7024082568807</v>
      </c>
      <c r="AW21" s="783">
        <v>15.026178010471201</v>
      </c>
      <c r="AX21" s="782">
        <f t="shared" si="22"/>
        <v>10.166</v>
      </c>
      <c r="AY21" s="715">
        <v>10.022293535005</v>
      </c>
      <c r="AZ21" s="715">
        <v>7.9050144379231897</v>
      </c>
      <c r="BA21" s="715">
        <v>10.9872619593073</v>
      </c>
      <c r="BB21" s="715"/>
      <c r="BC21" s="783">
        <v>8.8058295051038105</v>
      </c>
      <c r="BD21" s="782"/>
      <c r="BE21" s="715"/>
      <c r="BF21" s="715"/>
      <c r="BG21" s="715"/>
      <c r="BH21" s="715"/>
      <c r="BI21" s="783">
        <v>8.5192492549377103</v>
      </c>
      <c r="BJ21" s="12"/>
      <c r="BK21" s="291" t="str">
        <f t="shared" si="23"/>
        <v>2Q07</v>
      </c>
      <c r="BL21" s="782">
        <f t="shared" si="24"/>
        <v>20.909099999999999</v>
      </c>
      <c r="BM21" s="715">
        <v>14.161961367013401</v>
      </c>
      <c r="BN21" s="715">
        <v>10.411764705882399</v>
      </c>
      <c r="BO21" s="715">
        <v>20.1862794</v>
      </c>
      <c r="BP21" s="715">
        <v>16.6056425073082</v>
      </c>
      <c r="BQ21" s="783">
        <v>17.615780445969101</v>
      </c>
      <c r="BR21" s="782">
        <f t="shared" si="25"/>
        <v>19.064499999999999</v>
      </c>
      <c r="BS21" s="715">
        <v>12.073726881175601</v>
      </c>
      <c r="BT21" s="715">
        <v>10.378763866878</v>
      </c>
      <c r="BU21" s="715">
        <v>18.371407065637101</v>
      </c>
      <c r="BV21" s="715">
        <v>17.0522490295096</v>
      </c>
      <c r="BW21" s="783">
        <v>16.825032765399701</v>
      </c>
      <c r="BX21" s="782">
        <f t="shared" si="26"/>
        <v>10.166</v>
      </c>
      <c r="BY21" s="715">
        <v>7.9850694368241601</v>
      </c>
      <c r="BZ21" s="715"/>
      <c r="CA21" s="715">
        <v>12.9726266960503</v>
      </c>
      <c r="CB21" s="715">
        <v>12.827709382321499</v>
      </c>
      <c r="CC21" s="783">
        <v>10.1722518312873</v>
      </c>
      <c r="CD21" s="782"/>
      <c r="CE21" s="715">
        <v>7.8171070404282004</v>
      </c>
      <c r="CF21" s="715"/>
      <c r="CG21" s="715">
        <v>26.766116185278602</v>
      </c>
      <c r="CH21" s="715"/>
      <c r="CI21" s="783">
        <v>9.8004068720064108</v>
      </c>
    </row>
    <row r="22" spans="1:87" ht="14.25" customHeight="1">
      <c r="A22" s="12"/>
      <c r="B22" s="12"/>
      <c r="C22" s="12" t="s">
        <v>924</v>
      </c>
      <c r="D22" s="12"/>
      <c r="E22" s="662">
        <f>AVERAGE(L24:L35)</f>
        <v>13.922155555555555</v>
      </c>
      <c r="F22" s="662">
        <f>AVERAGE(R24:R35)</f>
        <v>14.719041666666669</v>
      </c>
      <c r="G22" s="662">
        <f>AVERAGE(X24:X35)</f>
        <v>6.9323888888888892</v>
      </c>
      <c r="H22" s="662">
        <f>AVERAGE(AD24:AD35)</f>
        <v>7.1372416666666672</v>
      </c>
      <c r="I22" s="69">
        <f>IF(I21+1=5,1,I21+1)</f>
        <v>3</v>
      </c>
      <c r="J22" s="5">
        <f t="shared" si="27"/>
        <v>2007</v>
      </c>
      <c r="K22" s="291" t="str">
        <f t="shared" si="18"/>
        <v>3Q07</v>
      </c>
      <c r="L22" s="782">
        <v>20.637799999999999</v>
      </c>
      <c r="M22" s="715">
        <v>15.509600000000001</v>
      </c>
      <c r="N22" s="715">
        <v>15.317299999999999</v>
      </c>
      <c r="O22" s="715">
        <v>15.317299999999999</v>
      </c>
      <c r="P22" s="715">
        <v>15.317299999999999</v>
      </c>
      <c r="Q22" s="783">
        <v>15.317299999999999</v>
      </c>
      <c r="R22" s="782">
        <v>19.089300000000001</v>
      </c>
      <c r="S22" s="715">
        <v>15.438599999999999</v>
      </c>
      <c r="T22" s="715">
        <v>15.478899999999999</v>
      </c>
      <c r="U22" s="715">
        <v>15.478899999999999</v>
      </c>
      <c r="V22" s="715">
        <v>15.478899999999999</v>
      </c>
      <c r="W22" s="783">
        <v>15.478899999999999</v>
      </c>
      <c r="X22" s="782">
        <v>10.0884</v>
      </c>
      <c r="Y22" s="715">
        <v>8.3894000000000002</v>
      </c>
      <c r="Z22" s="715">
        <v>8.1684000000000001</v>
      </c>
      <c r="AA22" s="715">
        <v>8.1684000000000001</v>
      </c>
      <c r="AB22" s="715">
        <v>8.1684000000000001</v>
      </c>
      <c r="AC22" s="783">
        <v>8.1684000000000001</v>
      </c>
      <c r="AD22" s="715">
        <v>10.341799999999999</v>
      </c>
      <c r="AE22" s="715">
        <v>8.1549999999999994</v>
      </c>
      <c r="AF22" s="715">
        <v>8.1684000000000001</v>
      </c>
      <c r="AG22" s="715">
        <v>8.1684000000000001</v>
      </c>
      <c r="AH22" s="715">
        <v>8.1684000000000001</v>
      </c>
      <c r="AI22" s="783">
        <v>8.1684000000000001</v>
      </c>
      <c r="AJ22" s="12"/>
      <c r="AK22" s="291" t="str">
        <f t="shared" si="19"/>
        <v>3Q07</v>
      </c>
      <c r="AL22" s="782">
        <f t="shared" si="20"/>
        <v>20.637799999999999</v>
      </c>
      <c r="AM22" s="715">
        <v>17.098039215686299</v>
      </c>
      <c r="AN22" s="715">
        <v>14.6741425193452</v>
      </c>
      <c r="AO22" s="715">
        <v>18.546341463414599</v>
      </c>
      <c r="AP22" s="715">
        <v>17.503660322108299</v>
      </c>
      <c r="AQ22" s="783">
        <v>19.406779661017001</v>
      </c>
      <c r="AR22" s="782">
        <f t="shared" si="21"/>
        <v>19.089300000000001</v>
      </c>
      <c r="AS22" s="715">
        <v>16.0758493547538</v>
      </c>
      <c r="AT22" s="715">
        <v>12.507640503551499</v>
      </c>
      <c r="AU22" s="715">
        <v>19.000499750124899</v>
      </c>
      <c r="AV22" s="715">
        <v>16.852269523541</v>
      </c>
      <c r="AW22" s="783">
        <v>16.202830188679201</v>
      </c>
      <c r="AX22" s="782">
        <f t="shared" si="22"/>
        <v>10.0884</v>
      </c>
      <c r="AY22" s="715">
        <v>8.8558565987507194</v>
      </c>
      <c r="AZ22" s="715">
        <v>7.8630487779520299</v>
      </c>
      <c r="BA22" s="715">
        <v>10.2621107586187</v>
      </c>
      <c r="BB22" s="715"/>
      <c r="BC22" s="783">
        <v>10.1926114955517</v>
      </c>
      <c r="BD22" s="782">
        <f t="shared" ref="BD22:BD84" si="31">AD22</f>
        <v>10.341799999999999</v>
      </c>
      <c r="BE22" s="715">
        <v>8.0205296136061097</v>
      </c>
      <c r="BF22" s="715">
        <v>7.3318871095675799</v>
      </c>
      <c r="BG22" s="715">
        <v>9.4429422682377293</v>
      </c>
      <c r="BH22" s="715">
        <v>9.4176624276580192</v>
      </c>
      <c r="BI22" s="783">
        <v>10.2188931136207</v>
      </c>
      <c r="BJ22" s="12"/>
      <c r="BK22" s="291" t="str">
        <f t="shared" si="23"/>
        <v>3Q07</v>
      </c>
      <c r="BL22" s="782">
        <f t="shared" si="24"/>
        <v>20.637799999999999</v>
      </c>
      <c r="BM22" s="715">
        <v>16.296809986130398</v>
      </c>
      <c r="BN22" s="715">
        <v>9.7763578274760405</v>
      </c>
      <c r="BO22" s="715">
        <v>19.038432140000001</v>
      </c>
      <c r="BP22" s="715">
        <v>16.227314266132101</v>
      </c>
      <c r="BQ22" s="783">
        <v>17.222591362126199</v>
      </c>
      <c r="BR22" s="782">
        <f t="shared" si="25"/>
        <v>19.089300000000001</v>
      </c>
      <c r="BS22" s="715">
        <v>14.2458777885548</v>
      </c>
      <c r="BT22" s="715">
        <v>10.662020905923301</v>
      </c>
      <c r="BU22" s="715">
        <v>17.822320835903099</v>
      </c>
      <c r="BV22" s="715">
        <v>17.000043516900298</v>
      </c>
      <c r="BW22" s="783">
        <v>16.869508623495001</v>
      </c>
      <c r="BX22" s="782">
        <f t="shared" si="26"/>
        <v>10.0884</v>
      </c>
      <c r="BY22" s="715">
        <v>8.8394808862530994</v>
      </c>
      <c r="BZ22" s="715"/>
      <c r="CA22" s="715">
        <v>12.158388083180601</v>
      </c>
      <c r="CB22" s="715">
        <v>12.5701333982331</v>
      </c>
      <c r="CC22" s="783">
        <v>10.029459341426101</v>
      </c>
      <c r="CD22" s="782">
        <f t="shared" ref="CD22:CD84" si="32">BD22</f>
        <v>10.341799999999999</v>
      </c>
      <c r="CE22" s="715">
        <v>8.3839336764004795</v>
      </c>
      <c r="CF22" s="715">
        <v>5.3382169469856402</v>
      </c>
      <c r="CG22" s="715">
        <v>9.8634688285857202</v>
      </c>
      <c r="CH22" s="715">
        <v>10.4046216084725</v>
      </c>
      <c r="CI22" s="783">
        <v>9.7352923736149606</v>
      </c>
    </row>
    <row r="23" spans="1:87" ht="14.25" customHeight="1">
      <c r="A23" s="12"/>
      <c r="B23" s="12"/>
      <c r="C23" s="12" t="s">
        <v>925</v>
      </c>
      <c r="D23" s="12"/>
      <c r="E23" s="662">
        <f>AVERAGE(L36:L75)</f>
        <v>19.910015000000001</v>
      </c>
      <c r="F23" s="662">
        <f>AVERAGE(R36:R75)</f>
        <v>18.440642500000003</v>
      </c>
      <c r="G23" s="662">
        <f>AVERAGE(X36:X75)</f>
        <v>10.017830000000002</v>
      </c>
      <c r="H23" s="662">
        <f>AVERAGE(AD36:AD75)</f>
        <v>9.3406449999999985</v>
      </c>
      <c r="I23" s="69">
        <f>IF(I22=4,1,I22+1)</f>
        <v>4</v>
      </c>
      <c r="J23" s="5">
        <f t="shared" si="27"/>
        <v>2007</v>
      </c>
      <c r="K23" s="291" t="str">
        <f t="shared" si="18"/>
        <v>4Q07</v>
      </c>
      <c r="L23" s="782">
        <v>18.6783</v>
      </c>
      <c r="M23" s="715">
        <v>15.438000000000001</v>
      </c>
      <c r="N23" s="715">
        <v>15.509600000000001</v>
      </c>
      <c r="O23" s="715">
        <v>15.509600000000001</v>
      </c>
      <c r="P23" s="715">
        <v>15.509600000000001</v>
      </c>
      <c r="Q23" s="783">
        <v>15.509600000000001</v>
      </c>
      <c r="R23" s="782">
        <v>15.671200000000001</v>
      </c>
      <c r="S23" s="715">
        <v>13.8416</v>
      </c>
      <c r="T23" s="715">
        <v>15.438599999999999</v>
      </c>
      <c r="U23" s="715">
        <v>15.438599999999999</v>
      </c>
      <c r="V23" s="715">
        <v>15.438599999999999</v>
      </c>
      <c r="W23" s="783">
        <v>15.438599999999999</v>
      </c>
      <c r="X23" s="782">
        <v>9.2973999999999997</v>
      </c>
      <c r="Y23" s="715">
        <v>8.4868000000000006</v>
      </c>
      <c r="Z23" s="715">
        <v>8.3894000000000002</v>
      </c>
      <c r="AA23" s="715">
        <v>8.3894000000000002</v>
      </c>
      <c r="AB23" s="715">
        <v>8.3894000000000002</v>
      </c>
      <c r="AC23" s="783">
        <v>8.3894000000000002</v>
      </c>
      <c r="AD23" s="715">
        <v>8.0251999999999999</v>
      </c>
      <c r="AE23" s="715">
        <v>7.5449999999999999</v>
      </c>
      <c r="AF23" s="715">
        <v>8.3894000000000002</v>
      </c>
      <c r="AG23" s="715">
        <v>8.3894000000000002</v>
      </c>
      <c r="AH23" s="715">
        <v>8.3894000000000002</v>
      </c>
      <c r="AI23" s="783">
        <v>8.3894000000000002</v>
      </c>
      <c r="AJ23" s="12"/>
      <c r="AK23" s="291" t="str">
        <f t="shared" si="19"/>
        <v>4Q07</v>
      </c>
      <c r="AL23" s="782">
        <f t="shared" si="20"/>
        <v>18.6783</v>
      </c>
      <c r="AM23" s="715">
        <v>17.098039215686299</v>
      </c>
      <c r="AN23" s="715">
        <v>14.9398530326027</v>
      </c>
      <c r="AO23" s="715">
        <v>19.119047619047599</v>
      </c>
      <c r="AP23" s="715">
        <v>15.9287709497207</v>
      </c>
      <c r="AQ23" s="783">
        <v>27.464028776978399</v>
      </c>
      <c r="AR23" s="782">
        <f t="shared" si="21"/>
        <v>15.671200000000001</v>
      </c>
      <c r="AS23" s="715">
        <v>16.072240464763802</v>
      </c>
      <c r="AT23" s="715">
        <v>14.7619013451543</v>
      </c>
      <c r="AU23" s="715">
        <v>19.575816674792801</v>
      </c>
      <c r="AV23" s="715">
        <v>15.822697003329599</v>
      </c>
      <c r="AW23" s="783">
        <v>18.007075471698101</v>
      </c>
      <c r="AX23" s="782">
        <f t="shared" si="22"/>
        <v>9.2973999999999997</v>
      </c>
      <c r="AY23" s="715">
        <v>8.1439398810986905</v>
      </c>
      <c r="AZ23" s="715">
        <v>8.5150689679768199</v>
      </c>
      <c r="BA23" s="715">
        <v>9.9994970091627806</v>
      </c>
      <c r="BB23" s="715">
        <v>9.5163443593071904</v>
      </c>
      <c r="BC23" s="783">
        <v>11.144456998288</v>
      </c>
      <c r="BD23" s="782">
        <f t="shared" si="31"/>
        <v>8.0251999999999999</v>
      </c>
      <c r="BE23" s="715">
        <v>7.8900350889566901</v>
      </c>
      <c r="BF23" s="715">
        <v>7.6970174886784104</v>
      </c>
      <c r="BG23" s="715">
        <v>8.5520770337793497</v>
      </c>
      <c r="BH23" s="715">
        <v>8.1433103036042898</v>
      </c>
      <c r="BI23" s="783">
        <v>8.6945418722643506</v>
      </c>
      <c r="BJ23" s="12"/>
      <c r="BK23" s="291" t="str">
        <f t="shared" si="23"/>
        <v>4Q07</v>
      </c>
      <c r="BL23" s="782">
        <f t="shared" si="24"/>
        <v>18.6783</v>
      </c>
      <c r="BM23" s="715">
        <v>14.3172242874845</v>
      </c>
      <c r="BN23" s="715">
        <v>11.886561954624799</v>
      </c>
      <c r="BO23" s="715">
        <v>19.2524923257143</v>
      </c>
      <c r="BP23" s="715">
        <v>15.485629159936201</v>
      </c>
      <c r="BQ23" s="783">
        <v>17.805732484076401</v>
      </c>
      <c r="BR23" s="782">
        <f t="shared" si="25"/>
        <v>15.671200000000001</v>
      </c>
      <c r="BS23" s="715">
        <v>14.6401419158642</v>
      </c>
      <c r="BT23" s="715">
        <v>10.7768987341772</v>
      </c>
      <c r="BU23" s="715">
        <v>19.4077543605991</v>
      </c>
      <c r="BV23" s="715">
        <v>16.8786724303922</v>
      </c>
      <c r="BW23" s="783">
        <v>17.994850337946598</v>
      </c>
      <c r="BX23" s="782">
        <f t="shared" si="26"/>
        <v>9.2973999999999997</v>
      </c>
      <c r="BY23" s="715">
        <v>8.04174963302337</v>
      </c>
      <c r="BZ23" s="715">
        <v>5.5728648409361803</v>
      </c>
      <c r="CA23" s="715">
        <v>12.3021853597381</v>
      </c>
      <c r="CB23" s="715">
        <v>11.4719491585091</v>
      </c>
      <c r="CC23" s="783">
        <v>10.334716635823799</v>
      </c>
      <c r="CD23" s="782">
        <f t="shared" si="32"/>
        <v>8.0251999999999999</v>
      </c>
      <c r="CE23" s="715">
        <v>7.0964548994156003</v>
      </c>
      <c r="CF23" s="715">
        <v>5.7727633962248301</v>
      </c>
      <c r="CG23" s="715">
        <v>9.4433913800446394</v>
      </c>
      <c r="CH23" s="715">
        <v>8.6521630580195108</v>
      </c>
      <c r="CI23" s="783">
        <v>9.2656518557282492</v>
      </c>
    </row>
    <row r="24" spans="1:87" ht="14.25" customHeight="1">
      <c r="A24" s="12"/>
      <c r="B24" s="12"/>
      <c r="C24" s="12" t="s">
        <v>926</v>
      </c>
      <c r="D24" s="12"/>
      <c r="E24" s="662">
        <f>AVERAGE(L36:L51)</f>
        <v>17.291406249999998</v>
      </c>
      <c r="F24" s="662">
        <f>AVERAGE(R36:R51)</f>
        <v>16.548837499999998</v>
      </c>
      <c r="G24" s="662">
        <f>AVERAGE(X36:X51)</f>
        <v>7.6966062499999994</v>
      </c>
      <c r="H24" s="662">
        <f>AVERAGE(AD36:AD51)</f>
        <v>7.4082874999999992</v>
      </c>
      <c r="I24" s="69">
        <f>I20</f>
        <v>1</v>
      </c>
      <c r="J24" s="5">
        <f t="shared" si="27"/>
        <v>2008</v>
      </c>
      <c r="K24" s="291" t="str">
        <f t="shared" si="18"/>
        <v>1Q08</v>
      </c>
      <c r="L24" s="782">
        <v>16.0503</v>
      </c>
      <c r="M24" s="715">
        <v>12.6021</v>
      </c>
      <c r="N24" s="715">
        <v>15.438000000000001</v>
      </c>
      <c r="O24" s="715">
        <v>15.438000000000001</v>
      </c>
      <c r="P24" s="715">
        <v>15.438000000000001</v>
      </c>
      <c r="Q24" s="783">
        <v>15.438000000000001</v>
      </c>
      <c r="R24" s="782">
        <v>14.5631</v>
      </c>
      <c r="S24" s="715">
        <v>11.4199</v>
      </c>
      <c r="T24" s="715">
        <v>13.8416</v>
      </c>
      <c r="U24" s="715">
        <v>13.8416</v>
      </c>
      <c r="V24" s="715">
        <v>13.8416</v>
      </c>
      <c r="W24" s="783">
        <v>13.8416</v>
      </c>
      <c r="X24" s="782">
        <v>7.9531999999999998</v>
      </c>
      <c r="Y24" s="715">
        <v>6.8148999999999997</v>
      </c>
      <c r="Z24" s="715">
        <v>8.4868000000000006</v>
      </c>
      <c r="AA24" s="715">
        <v>8.4868000000000006</v>
      </c>
      <c r="AB24" s="715">
        <v>8.4868000000000006</v>
      </c>
      <c r="AC24" s="783">
        <v>8.4868000000000006</v>
      </c>
      <c r="AD24" s="715">
        <v>7.2602000000000002</v>
      </c>
      <c r="AE24" s="715">
        <v>6.2537000000000003</v>
      </c>
      <c r="AF24" s="715">
        <v>8.4868000000000006</v>
      </c>
      <c r="AG24" s="715">
        <v>8.4868000000000006</v>
      </c>
      <c r="AH24" s="715">
        <v>8.4868000000000006</v>
      </c>
      <c r="AI24" s="783">
        <v>8.4868000000000006</v>
      </c>
      <c r="AJ24" s="12"/>
      <c r="AK24" s="291" t="str">
        <f t="shared" si="19"/>
        <v>1Q08</v>
      </c>
      <c r="AL24" s="782">
        <f t="shared" si="20"/>
        <v>16.0503</v>
      </c>
      <c r="AM24" s="715">
        <v>17.472093023255798</v>
      </c>
      <c r="AN24" s="715">
        <v>16.653542685752701</v>
      </c>
      <c r="AO24" s="715">
        <v>20.648648648648599</v>
      </c>
      <c r="AP24" s="715">
        <v>17.4808743169399</v>
      </c>
      <c r="AQ24" s="783">
        <v>30.2697841726619</v>
      </c>
      <c r="AR24" s="782">
        <f t="shared" si="21"/>
        <v>14.5631</v>
      </c>
      <c r="AS24" s="715">
        <v>16.150042992261401</v>
      </c>
      <c r="AT24" s="715">
        <v>14.271176869615299</v>
      </c>
      <c r="AU24" s="715">
        <v>17.685185185185201</v>
      </c>
      <c r="AV24" s="715">
        <v>16.019028542814201</v>
      </c>
      <c r="AW24" s="783">
        <v>16.564960629921298</v>
      </c>
      <c r="AX24" s="782">
        <f t="shared" si="22"/>
        <v>7.9531999999999998</v>
      </c>
      <c r="AY24" s="715">
        <v>8.6155583324144605</v>
      </c>
      <c r="AZ24" s="715">
        <v>9.7716478342702509</v>
      </c>
      <c r="BA24" s="715">
        <v>11.101020374870201</v>
      </c>
      <c r="BB24" s="715">
        <v>10.616211642331001</v>
      </c>
      <c r="BC24" s="783">
        <v>12.2117798159006</v>
      </c>
      <c r="BD24" s="782">
        <f t="shared" si="31"/>
        <v>7.2602000000000002</v>
      </c>
      <c r="BE24" s="715">
        <v>8.4792362069015699</v>
      </c>
      <c r="BF24" s="715">
        <v>8.7349166413010906</v>
      </c>
      <c r="BG24" s="715">
        <v>9.6616564855328697</v>
      </c>
      <c r="BH24" s="715">
        <v>9.2014795799707692</v>
      </c>
      <c r="BI24" s="783">
        <v>9.4477720729985801</v>
      </c>
      <c r="BJ24" s="12"/>
      <c r="BK24" s="291" t="str">
        <f t="shared" si="23"/>
        <v>1Q08</v>
      </c>
      <c r="BL24" s="782">
        <f t="shared" si="24"/>
        <v>16.0503</v>
      </c>
      <c r="BM24" s="715">
        <v>16.246606334841601</v>
      </c>
      <c r="BN24" s="715">
        <v>13.605851979345999</v>
      </c>
      <c r="BO24" s="715">
        <v>18.573513162222199</v>
      </c>
      <c r="BP24" s="715">
        <v>16.895080592613301</v>
      </c>
      <c r="BQ24" s="783">
        <v>17.8369230769231</v>
      </c>
      <c r="BR24" s="782">
        <f t="shared" si="25"/>
        <v>14.5631</v>
      </c>
      <c r="BS24" s="715">
        <v>14.4632426988922</v>
      </c>
      <c r="BT24" s="715">
        <v>12.6237623762376</v>
      </c>
      <c r="BU24" s="715">
        <v>18.1205006460705</v>
      </c>
      <c r="BV24" s="715">
        <v>16.498032507373601</v>
      </c>
      <c r="BW24" s="783">
        <v>16.436064644173499</v>
      </c>
      <c r="BX24" s="782">
        <f t="shared" si="26"/>
        <v>7.9531999999999998</v>
      </c>
      <c r="BY24" s="715">
        <v>8.9299204893714101</v>
      </c>
      <c r="BZ24" s="715">
        <v>6.3916241510924197</v>
      </c>
      <c r="CA24" s="715">
        <v>12.243837332000099</v>
      </c>
      <c r="CB24" s="715">
        <v>12.2282689647088</v>
      </c>
      <c r="CC24" s="783">
        <v>10.240905029640301</v>
      </c>
      <c r="CD24" s="782">
        <f t="shared" si="32"/>
        <v>7.2602000000000002</v>
      </c>
      <c r="CE24" s="715">
        <v>8.6345210767727298</v>
      </c>
      <c r="CF24" s="715">
        <v>7.6371273064072804</v>
      </c>
      <c r="CG24" s="715">
        <v>12.804627471440799</v>
      </c>
      <c r="CH24" s="715">
        <v>9.4470022769671207</v>
      </c>
      <c r="CI24" s="783">
        <v>9.3908510087350496</v>
      </c>
    </row>
    <row r="25" spans="1:87" ht="14.25" customHeight="1">
      <c r="A25" s="12"/>
      <c r="B25" s="12"/>
      <c r="C25" s="12" t="s">
        <v>927</v>
      </c>
      <c r="D25" s="12"/>
      <c r="E25" s="662">
        <f>AVERAGE(L48:L63)</f>
        <v>22.41733125</v>
      </c>
      <c r="F25" s="662">
        <f>AVERAGE(R48:R63)</f>
        <v>20.33919375</v>
      </c>
      <c r="G25" s="662">
        <f>AVERAGE(X48:X63)</f>
        <v>10.532525</v>
      </c>
      <c r="H25" s="662">
        <f>AVERAGE(AD48:AD63)</f>
        <v>9.897068749999999</v>
      </c>
      <c r="I25" s="69">
        <f>IF(I24=4,1,I24+1)</f>
        <v>2</v>
      </c>
      <c r="J25" s="5">
        <f t="shared" si="27"/>
        <v>2008</v>
      </c>
      <c r="K25" s="291" t="str">
        <f t="shared" si="18"/>
        <v>2Q08</v>
      </c>
      <c r="L25" s="782">
        <v>14.2799</v>
      </c>
      <c r="M25" s="715">
        <v>12.771100000000001</v>
      </c>
      <c r="N25" s="715">
        <v>12.6021</v>
      </c>
      <c r="O25" s="715">
        <v>12.6021</v>
      </c>
      <c r="P25" s="715">
        <v>12.6021</v>
      </c>
      <c r="Q25" s="783">
        <v>12.6021</v>
      </c>
      <c r="R25" s="782">
        <v>13.464499999999999</v>
      </c>
      <c r="S25" s="715">
        <v>12.053800000000001</v>
      </c>
      <c r="T25" s="715">
        <v>11.4199</v>
      </c>
      <c r="U25" s="715">
        <v>11.4199</v>
      </c>
      <c r="V25" s="715">
        <v>11.4199</v>
      </c>
      <c r="W25" s="783">
        <v>11.4199</v>
      </c>
      <c r="X25" s="782">
        <v>7.1858000000000004</v>
      </c>
      <c r="Y25" s="715">
        <v>6.4954999999999998</v>
      </c>
      <c r="Z25" s="715">
        <v>6.8148999999999997</v>
      </c>
      <c r="AA25" s="715">
        <v>6.8148999999999997</v>
      </c>
      <c r="AB25" s="715">
        <v>6.8148999999999997</v>
      </c>
      <c r="AC25" s="783">
        <v>6.8148999999999997</v>
      </c>
      <c r="AD25" s="715">
        <v>7.1029</v>
      </c>
      <c r="AE25" s="715">
        <v>6.1999000000000004</v>
      </c>
      <c r="AF25" s="715">
        <v>6.8148999999999997</v>
      </c>
      <c r="AG25" s="715">
        <v>6.8148999999999997</v>
      </c>
      <c r="AH25" s="715">
        <v>6.8148999999999997</v>
      </c>
      <c r="AI25" s="783">
        <v>6.8148999999999997</v>
      </c>
      <c r="AJ25" s="12"/>
      <c r="AK25" s="291" t="str">
        <f t="shared" si="19"/>
        <v>2Q08</v>
      </c>
      <c r="AL25" s="782">
        <f t="shared" si="20"/>
        <v>14.2799</v>
      </c>
      <c r="AM25" s="715">
        <v>15.427956989247299</v>
      </c>
      <c r="AN25" s="715">
        <v>15.055392817098401</v>
      </c>
      <c r="AO25" s="715">
        <v>19.5482456140351</v>
      </c>
      <c r="AP25" s="715">
        <v>16.958549222797899</v>
      </c>
      <c r="AQ25" s="783">
        <v>30.5578512396694</v>
      </c>
      <c r="AR25" s="782">
        <f t="shared" si="21"/>
        <v>13.464499999999999</v>
      </c>
      <c r="AS25" s="715">
        <v>14.599104599104599</v>
      </c>
      <c r="AT25" s="715">
        <v>13.249844111719099</v>
      </c>
      <c r="AU25" s="715">
        <v>16.4404278863888</v>
      </c>
      <c r="AV25" s="715">
        <v>15.667783628530399</v>
      </c>
      <c r="AW25" s="783">
        <v>14.9092741935484</v>
      </c>
      <c r="AX25" s="782">
        <f t="shared" si="22"/>
        <v>7.1858000000000004</v>
      </c>
      <c r="AY25" s="715">
        <v>7.6377929995554803</v>
      </c>
      <c r="AZ25" s="715">
        <v>8.8135309298881204</v>
      </c>
      <c r="BA25" s="715">
        <v>10.684342563630899</v>
      </c>
      <c r="BB25" s="715">
        <v>10.043763313574001</v>
      </c>
      <c r="BC25" s="783">
        <v>9.8959616372019994</v>
      </c>
      <c r="BD25" s="782">
        <f t="shared" si="31"/>
        <v>7.1029</v>
      </c>
      <c r="BE25" s="715">
        <v>7.6554872862075598</v>
      </c>
      <c r="BF25" s="715">
        <v>7.9930846590353202</v>
      </c>
      <c r="BG25" s="715">
        <v>8.9566616384480398</v>
      </c>
      <c r="BH25" s="715">
        <v>9.6289268838999007</v>
      </c>
      <c r="BI25" s="783">
        <v>8.6367068787405596</v>
      </c>
      <c r="BJ25" s="12"/>
      <c r="BK25" s="291" t="str">
        <f t="shared" si="23"/>
        <v>2Q08</v>
      </c>
      <c r="BL25" s="782">
        <f t="shared" si="24"/>
        <v>14.2799</v>
      </c>
      <c r="BM25" s="715">
        <v>15.325102880658401</v>
      </c>
      <c r="BN25" s="715">
        <v>14.469670710571901</v>
      </c>
      <c r="BO25" s="715">
        <v>17.125862780540501</v>
      </c>
      <c r="BP25" s="715">
        <v>14.928287240832899</v>
      </c>
      <c r="BQ25" s="783">
        <v>18.5982404692082</v>
      </c>
      <c r="BR25" s="782">
        <f t="shared" si="25"/>
        <v>13.464499999999999</v>
      </c>
      <c r="BS25" s="715">
        <v>14.0927152317881</v>
      </c>
      <c r="BT25" s="715">
        <v>13.0493904345108</v>
      </c>
      <c r="BU25" s="715">
        <v>15.9290327521368</v>
      </c>
      <c r="BV25" s="715">
        <v>15.4017254953595</v>
      </c>
      <c r="BW25" s="783">
        <v>17.597114317425099</v>
      </c>
      <c r="BX25" s="782">
        <f t="shared" si="26"/>
        <v>7.1858000000000004</v>
      </c>
      <c r="BY25" s="715">
        <v>8.7134224657271808</v>
      </c>
      <c r="BZ25" s="715">
        <v>6.5845298085852102</v>
      </c>
      <c r="CA25" s="715">
        <v>11.187926702140899</v>
      </c>
      <c r="CB25" s="715">
        <v>10.8915271624449</v>
      </c>
      <c r="CC25" s="783">
        <v>10.6184235577362</v>
      </c>
      <c r="CD25" s="782">
        <f t="shared" si="32"/>
        <v>7.1029</v>
      </c>
      <c r="CE25" s="715">
        <v>8.7319668736572904</v>
      </c>
      <c r="CF25" s="715">
        <v>7.9292794875331003</v>
      </c>
      <c r="CG25" s="715">
        <v>11.8924594472119</v>
      </c>
      <c r="CH25" s="715">
        <v>9.0616721100844302</v>
      </c>
      <c r="CI25" s="783">
        <v>10.029401854887499</v>
      </c>
    </row>
    <row r="26" spans="1:87" ht="14.25" customHeight="1">
      <c r="A26" s="12"/>
      <c r="B26" s="12"/>
      <c r="C26" s="12" t="s">
        <v>928</v>
      </c>
      <c r="D26" s="12"/>
      <c r="E26" s="662">
        <f>AVERAGE(L60:L75)</f>
        <v>20.666881249999996</v>
      </c>
      <c r="F26" s="662">
        <f>AVERAGE(R60:R75)</f>
        <v>18.955662500000006</v>
      </c>
      <c r="G26" s="662">
        <f>AVERAGE(X60:X75)</f>
        <v>11.911949999999999</v>
      </c>
      <c r="H26" s="662">
        <f>AVERAGE(AD60:AD75)</f>
        <v>10.80409375</v>
      </c>
      <c r="I26" s="69">
        <f>IF(I25+1=5,1,I25+1)</f>
        <v>3</v>
      </c>
      <c r="J26" s="5">
        <f t="shared" si="27"/>
        <v>2008</v>
      </c>
      <c r="K26" s="291" t="str">
        <f t="shared" si="18"/>
        <v>3Q08</v>
      </c>
      <c r="L26" s="782">
        <v>15.4208</v>
      </c>
      <c r="M26" s="715">
        <v>14.498200000000001</v>
      </c>
      <c r="N26" s="715">
        <v>12.771100000000001</v>
      </c>
      <c r="O26" s="715">
        <v>12.771100000000001</v>
      </c>
      <c r="P26" s="715">
        <v>12.771100000000001</v>
      </c>
      <c r="Q26" s="783">
        <v>12.771100000000001</v>
      </c>
      <c r="R26" s="782">
        <v>15.958</v>
      </c>
      <c r="S26" s="715">
        <v>14.1408</v>
      </c>
      <c r="T26" s="715">
        <v>12.053800000000001</v>
      </c>
      <c r="U26" s="715">
        <v>12.053800000000001</v>
      </c>
      <c r="V26" s="715">
        <v>12.053800000000001</v>
      </c>
      <c r="W26" s="783">
        <v>12.053800000000001</v>
      </c>
      <c r="X26" s="782">
        <v>7.7965</v>
      </c>
      <c r="Y26" s="715">
        <v>7.7990000000000004</v>
      </c>
      <c r="Z26" s="715">
        <v>6.4954999999999998</v>
      </c>
      <c r="AA26" s="715">
        <v>6.4954999999999998</v>
      </c>
      <c r="AB26" s="715">
        <v>6.4954999999999998</v>
      </c>
      <c r="AC26" s="783">
        <v>6.4954999999999998</v>
      </c>
      <c r="AD26" s="715">
        <v>7.8239999999999998</v>
      </c>
      <c r="AE26" s="715">
        <v>7.6410999999999998</v>
      </c>
      <c r="AF26" s="715">
        <v>6.4954999999999998</v>
      </c>
      <c r="AG26" s="715">
        <v>6.4954999999999998</v>
      </c>
      <c r="AH26" s="715">
        <v>6.4954999999999998</v>
      </c>
      <c r="AI26" s="783">
        <v>6.4954999999999998</v>
      </c>
      <c r="AJ26" s="12"/>
      <c r="AK26" s="291" t="str">
        <f t="shared" si="19"/>
        <v>3Q08</v>
      </c>
      <c r="AL26" s="782">
        <f t="shared" si="20"/>
        <v>15.4208</v>
      </c>
      <c r="AM26" s="715">
        <v>17.246492985971901</v>
      </c>
      <c r="AN26" s="715">
        <v>14.3943122734266</v>
      </c>
      <c r="AO26" s="715">
        <v>20.172268907563002</v>
      </c>
      <c r="AP26" s="715">
        <v>17.740099009901002</v>
      </c>
      <c r="AQ26" s="783">
        <v>32.665289256198299</v>
      </c>
      <c r="AR26" s="782">
        <f t="shared" si="21"/>
        <v>15.958</v>
      </c>
      <c r="AS26" s="715">
        <v>16.4929091605979</v>
      </c>
      <c r="AT26" s="715">
        <v>13.759269084893001</v>
      </c>
      <c r="AU26" s="715">
        <v>17.592524734334901</v>
      </c>
      <c r="AV26" s="715">
        <v>17.100930565497499</v>
      </c>
      <c r="AW26" s="783">
        <v>14.971590909090899</v>
      </c>
      <c r="AX26" s="782">
        <f t="shared" si="22"/>
        <v>7.7965</v>
      </c>
      <c r="AY26" s="715">
        <v>8.59690566989158</v>
      </c>
      <c r="AZ26" s="715">
        <v>8.8010836613823695</v>
      </c>
      <c r="BA26" s="715">
        <v>11.094052717673801</v>
      </c>
      <c r="BB26" s="715">
        <v>9.8591070409381203</v>
      </c>
      <c r="BC26" s="783">
        <v>10.5383628649705</v>
      </c>
      <c r="BD26" s="782">
        <f t="shared" si="31"/>
        <v>7.8239999999999998</v>
      </c>
      <c r="BE26" s="715">
        <v>8.7427931686696798</v>
      </c>
      <c r="BF26" s="715">
        <v>8.1529186511967193</v>
      </c>
      <c r="BG26" s="715">
        <v>9.7023588296931198</v>
      </c>
      <c r="BH26" s="715">
        <v>10.233524072478801</v>
      </c>
      <c r="BI26" s="783">
        <v>8.7209608596160209</v>
      </c>
      <c r="BJ26" s="12"/>
      <c r="BK26" s="291" t="str">
        <f t="shared" si="23"/>
        <v>3Q08</v>
      </c>
      <c r="BL26" s="782">
        <f t="shared" si="24"/>
        <v>15.4208</v>
      </c>
      <c r="BM26" s="715">
        <v>12.801556420233499</v>
      </c>
      <c r="BN26" s="715">
        <v>13.8237232289951</v>
      </c>
      <c r="BO26" s="715">
        <v>18.049028946808502</v>
      </c>
      <c r="BP26" s="715">
        <v>14.1588726076758</v>
      </c>
      <c r="BQ26" s="783">
        <v>17.745098039215701</v>
      </c>
      <c r="BR26" s="782">
        <f t="shared" si="25"/>
        <v>15.958</v>
      </c>
      <c r="BS26" s="715">
        <v>12.016070124178199</v>
      </c>
      <c r="BT26" s="715">
        <v>13.4773530356569</v>
      </c>
      <c r="BU26" s="715">
        <v>17.094294418135998</v>
      </c>
      <c r="BV26" s="715">
        <v>15.531272305986599</v>
      </c>
      <c r="BW26" s="783">
        <v>17.403846153846199</v>
      </c>
      <c r="BX26" s="782">
        <f t="shared" si="26"/>
        <v>7.7965</v>
      </c>
      <c r="BY26" s="715">
        <v>10.894218735942699</v>
      </c>
      <c r="BZ26" s="715">
        <v>5.7967657341768799</v>
      </c>
      <c r="CA26" s="715">
        <v>12.024869795762701</v>
      </c>
      <c r="CB26" s="715">
        <v>10.1625572132205</v>
      </c>
      <c r="CC26" s="783">
        <v>10.1605825557342</v>
      </c>
      <c r="CD26" s="782">
        <f t="shared" si="32"/>
        <v>7.8239999999999998</v>
      </c>
      <c r="CE26" s="715">
        <v>10.597373538778101</v>
      </c>
      <c r="CF26" s="715">
        <v>7.73496272319748</v>
      </c>
      <c r="CG26" s="715">
        <v>12.5738819755107</v>
      </c>
      <c r="CH26" s="715">
        <v>8.9556600334891403</v>
      </c>
      <c r="CI26" s="783">
        <v>9.88405890122222</v>
      </c>
    </row>
    <row r="27" spans="1:87" ht="14.25" customHeight="1">
      <c r="A27" s="12"/>
      <c r="B27" s="12"/>
      <c r="C27" s="12"/>
      <c r="D27" s="12"/>
      <c r="E27" s="12"/>
      <c r="F27" s="12"/>
      <c r="G27" s="12"/>
      <c r="H27" s="12"/>
      <c r="I27" s="69">
        <f>IF(I26=4,1,I26+1)</f>
        <v>4</v>
      </c>
      <c r="J27" s="5">
        <f t="shared" si="27"/>
        <v>2008</v>
      </c>
      <c r="K27" s="291" t="str">
        <f t="shared" si="18"/>
        <v>4Q08</v>
      </c>
      <c r="L27" s="782">
        <v>16.950500000000002</v>
      </c>
      <c r="M27" s="715">
        <v>13.9696</v>
      </c>
      <c r="N27" s="715">
        <v>14.498200000000001</v>
      </c>
      <c r="O27" s="715">
        <v>14.498200000000001</v>
      </c>
      <c r="P27" s="715">
        <v>14.498200000000001</v>
      </c>
      <c r="Q27" s="783">
        <v>14.498200000000001</v>
      </c>
      <c r="R27" s="782">
        <v>15.5968</v>
      </c>
      <c r="S27" s="715">
        <v>13.5322</v>
      </c>
      <c r="T27" s="715">
        <v>14.1408</v>
      </c>
      <c r="U27" s="715">
        <v>14.1408</v>
      </c>
      <c r="V27" s="715">
        <v>14.1408</v>
      </c>
      <c r="W27" s="783">
        <v>14.1408</v>
      </c>
      <c r="X27" s="782">
        <v>8.5195000000000007</v>
      </c>
      <c r="Y27" s="715">
        <v>7.6506999999999996</v>
      </c>
      <c r="Z27" s="715">
        <v>7.7990000000000004</v>
      </c>
      <c r="AA27" s="715">
        <v>7.7990000000000004</v>
      </c>
      <c r="AB27" s="715">
        <v>7.7990000000000004</v>
      </c>
      <c r="AC27" s="783">
        <v>7.7990000000000004</v>
      </c>
      <c r="AD27" s="715">
        <v>7.7868000000000004</v>
      </c>
      <c r="AE27" s="715">
        <v>7.4127999999999998</v>
      </c>
      <c r="AF27" s="715">
        <v>7.7990000000000004</v>
      </c>
      <c r="AG27" s="715">
        <v>7.7990000000000004</v>
      </c>
      <c r="AH27" s="715">
        <v>7.7990000000000004</v>
      </c>
      <c r="AI27" s="783">
        <v>7.7990000000000004</v>
      </c>
      <c r="AJ27" s="12"/>
      <c r="AK27" s="291" t="str">
        <f t="shared" si="19"/>
        <v>4Q08</v>
      </c>
      <c r="AL27" s="782">
        <f t="shared" si="20"/>
        <v>16.950500000000002</v>
      </c>
      <c r="AM27" s="715">
        <v>16.709618874773099</v>
      </c>
      <c r="AN27" s="715">
        <v>13.7703909932735</v>
      </c>
      <c r="AO27" s="715">
        <v>20.952380952380999</v>
      </c>
      <c r="AP27" s="715">
        <v>17.744630071599001</v>
      </c>
      <c r="AQ27" s="783">
        <v>25.9249561574435</v>
      </c>
      <c r="AR27" s="782">
        <f t="shared" si="21"/>
        <v>15.5968</v>
      </c>
      <c r="AS27" s="715">
        <v>16.773547094188402</v>
      </c>
      <c r="AT27" s="715">
        <v>13.9518273125852</v>
      </c>
      <c r="AU27" s="715">
        <v>20.449264136328399</v>
      </c>
      <c r="AV27" s="715">
        <v>17.727706247019601</v>
      </c>
      <c r="AW27" s="783">
        <v>16.894841269841301</v>
      </c>
      <c r="AX27" s="782">
        <f t="shared" si="22"/>
        <v>8.5195000000000007</v>
      </c>
      <c r="AY27" s="715">
        <v>8.7288716349016404</v>
      </c>
      <c r="AZ27" s="715">
        <v>8.5014019169285699</v>
      </c>
      <c r="BA27" s="715">
        <v>11.1070955202352</v>
      </c>
      <c r="BB27" s="715">
        <v>9.5632617762563594</v>
      </c>
      <c r="BC27" s="783">
        <v>9.7001516869167794</v>
      </c>
      <c r="BD27" s="782">
        <f t="shared" si="31"/>
        <v>7.7868000000000004</v>
      </c>
      <c r="BE27" s="715">
        <v>8.5457104464064795</v>
      </c>
      <c r="BF27" s="715">
        <v>7.6855323452255799</v>
      </c>
      <c r="BG27" s="715">
        <v>9.4236432384612492</v>
      </c>
      <c r="BH27" s="715">
        <v>9.2549822526974808</v>
      </c>
      <c r="BI27" s="783">
        <v>7.8925918150018299</v>
      </c>
      <c r="BJ27" s="12"/>
      <c r="BK27" s="291" t="str">
        <f t="shared" si="23"/>
        <v>4Q08</v>
      </c>
      <c r="BL27" s="782">
        <f t="shared" si="24"/>
        <v>16.950500000000002</v>
      </c>
      <c r="BM27" s="715">
        <v>11.659695817490499</v>
      </c>
      <c r="BN27" s="715">
        <v>14.9481132075472</v>
      </c>
      <c r="BO27" s="715">
        <v>19.025619464893602</v>
      </c>
      <c r="BP27" s="715">
        <v>15.326900443934401</v>
      </c>
      <c r="BQ27" s="783">
        <v>16.806451612903199</v>
      </c>
      <c r="BR27" s="782">
        <f t="shared" si="25"/>
        <v>15.5968</v>
      </c>
      <c r="BS27" s="715">
        <v>11.755798351543</v>
      </c>
      <c r="BT27" s="715">
        <v>15.047483380816701</v>
      </c>
      <c r="BU27" s="715">
        <v>18.0647295929293</v>
      </c>
      <c r="BV27" s="715">
        <v>17.104285245216801</v>
      </c>
      <c r="BW27" s="783">
        <v>17.0215083038388</v>
      </c>
      <c r="BX27" s="782">
        <f t="shared" si="26"/>
        <v>8.5195000000000007</v>
      </c>
      <c r="BY27" s="715">
        <v>10.2197271127802</v>
      </c>
      <c r="BZ27" s="715">
        <v>6.2842439512966699</v>
      </c>
      <c r="CA27" s="715">
        <v>12.6356232363168</v>
      </c>
      <c r="CB27" s="715">
        <v>10.57792595541</v>
      </c>
      <c r="CC27" s="783">
        <v>9.6717505187517503</v>
      </c>
      <c r="CD27" s="782">
        <f t="shared" si="32"/>
        <v>7.7868000000000004</v>
      </c>
      <c r="CE27" s="715">
        <v>10.0449453713049</v>
      </c>
      <c r="CF27" s="715">
        <v>9.2373324005712192</v>
      </c>
      <c r="CG27" s="715">
        <v>10.897307886223</v>
      </c>
      <c r="CH27" s="715">
        <v>8.8081389308221993</v>
      </c>
      <c r="CI27" s="783">
        <v>8.9464228318528694</v>
      </c>
    </row>
    <row r="28" spans="1:87" ht="14.25" customHeight="1">
      <c r="A28" s="211" t="s">
        <v>1</v>
      </c>
      <c r="B28" s="12"/>
      <c r="C28" s="773" t="str">
        <f>Comparables!S88</f>
        <v>Primary Peer Group</v>
      </c>
      <c r="D28" s="81"/>
      <c r="E28" s="81"/>
      <c r="F28" s="81"/>
      <c r="G28" s="81"/>
      <c r="H28" s="82"/>
      <c r="I28" s="69">
        <f>I24</f>
        <v>1</v>
      </c>
      <c r="J28" s="5">
        <f t="shared" si="27"/>
        <v>2009</v>
      </c>
      <c r="K28" s="291" t="str">
        <f t="shared" si="18"/>
        <v>1Q09</v>
      </c>
      <c r="L28" s="782"/>
      <c r="M28" s="715">
        <v>16.3278</v>
      </c>
      <c r="N28" s="715">
        <v>13.9696</v>
      </c>
      <c r="O28" s="715">
        <v>13.9696</v>
      </c>
      <c r="P28" s="715">
        <v>13.9696</v>
      </c>
      <c r="Q28" s="783">
        <v>13.9696</v>
      </c>
      <c r="R28" s="782">
        <v>15.5</v>
      </c>
      <c r="S28" s="715">
        <v>15.3292</v>
      </c>
      <c r="T28" s="715">
        <v>13.5322</v>
      </c>
      <c r="U28" s="715">
        <v>13.5322</v>
      </c>
      <c r="V28" s="715">
        <v>13.5322</v>
      </c>
      <c r="W28" s="783">
        <v>13.5322</v>
      </c>
      <c r="X28" s="782"/>
      <c r="Y28" s="715">
        <v>8.5658999999999992</v>
      </c>
      <c r="Z28" s="715">
        <v>7.6506999999999996</v>
      </c>
      <c r="AA28" s="715">
        <v>7.6506999999999996</v>
      </c>
      <c r="AB28" s="715">
        <v>7.6506999999999996</v>
      </c>
      <c r="AC28" s="783">
        <v>7.6506999999999996</v>
      </c>
      <c r="AD28" s="715">
        <v>7.7076000000000002</v>
      </c>
      <c r="AE28" s="715">
        <v>8.3645999999999994</v>
      </c>
      <c r="AF28" s="715">
        <v>7.6506999999999996</v>
      </c>
      <c r="AG28" s="715">
        <v>7.6506999999999996</v>
      </c>
      <c r="AH28" s="715">
        <v>7.6506999999999996</v>
      </c>
      <c r="AI28" s="783">
        <v>7.6506999999999996</v>
      </c>
      <c r="AJ28" s="12"/>
      <c r="AK28" s="291" t="str">
        <f t="shared" si="19"/>
        <v>1Q09</v>
      </c>
      <c r="AL28" s="782">
        <f t="shared" si="20"/>
        <v>0</v>
      </c>
      <c r="AM28" s="715">
        <v>17.202127659574501</v>
      </c>
      <c r="AN28" s="715">
        <v>14.797965656703299</v>
      </c>
      <c r="AO28" s="715">
        <v>19.796226415094299</v>
      </c>
      <c r="AP28" s="715">
        <v>17.726218097447799</v>
      </c>
      <c r="AQ28" s="783">
        <v>28.010522213561998</v>
      </c>
      <c r="AR28" s="782">
        <f t="shared" si="21"/>
        <v>15.5</v>
      </c>
      <c r="AS28" s="715">
        <v>16.025768087215098</v>
      </c>
      <c r="AT28" s="715">
        <v>13.476930291833501</v>
      </c>
      <c r="AU28" s="715">
        <v>17.2395662175485</v>
      </c>
      <c r="AV28" s="715">
        <v>16.114743724952501</v>
      </c>
      <c r="AW28" s="783">
        <v>16.727272727272702</v>
      </c>
      <c r="AX28" s="782">
        <f t="shared" si="22"/>
        <v>0</v>
      </c>
      <c r="AY28" s="715">
        <v>8.8590026178577492</v>
      </c>
      <c r="AZ28" s="715">
        <v>9.3523656576372698</v>
      </c>
      <c r="BA28" s="715">
        <v>11.064332341360499</v>
      </c>
      <c r="BB28" s="715">
        <v>9.5475252876994308</v>
      </c>
      <c r="BC28" s="783">
        <v>10.446835844357601</v>
      </c>
      <c r="BD28" s="782">
        <f t="shared" si="31"/>
        <v>7.7076000000000002</v>
      </c>
      <c r="BE28" s="715">
        <v>8.4865906345286994</v>
      </c>
      <c r="BF28" s="715">
        <v>8.5156768142428003</v>
      </c>
      <c r="BG28" s="715">
        <v>9.7364467336443603</v>
      </c>
      <c r="BH28" s="715">
        <v>9.6443837219062392</v>
      </c>
      <c r="BI28" s="783">
        <v>8.8091049590815196</v>
      </c>
      <c r="BJ28" s="12"/>
      <c r="BK28" s="291" t="str">
        <f t="shared" si="23"/>
        <v>1Q09</v>
      </c>
      <c r="BL28" s="782">
        <f t="shared" si="24"/>
        <v>0</v>
      </c>
      <c r="BM28" s="715">
        <v>12.671077504725901</v>
      </c>
      <c r="BN28" s="715">
        <v>16.817337461300301</v>
      </c>
      <c r="BO28" s="715">
        <v>17.1665906585859</v>
      </c>
      <c r="BP28" s="715">
        <v>14.567851244435801</v>
      </c>
      <c r="BQ28" s="783">
        <v>16.883116883116902</v>
      </c>
      <c r="BR28" s="782">
        <f t="shared" si="25"/>
        <v>15.5</v>
      </c>
      <c r="BS28" s="715">
        <v>12.285557184750701</v>
      </c>
      <c r="BT28" s="715">
        <v>16.571079926784599</v>
      </c>
      <c r="BU28" s="715">
        <v>15.3245489197475</v>
      </c>
      <c r="BV28" s="715">
        <v>14.759081873359801</v>
      </c>
      <c r="BW28" s="783">
        <v>15.640038498556301</v>
      </c>
      <c r="BX28" s="782">
        <f t="shared" si="26"/>
        <v>0</v>
      </c>
      <c r="BY28" s="715">
        <v>10.846759407146299</v>
      </c>
      <c r="BZ28" s="715">
        <v>7.3637607097941498</v>
      </c>
      <c r="CA28" s="715">
        <v>11.4163523058198</v>
      </c>
      <c r="CB28" s="715">
        <v>10.2260901018242</v>
      </c>
      <c r="CC28" s="783">
        <v>9.6868617530430292</v>
      </c>
      <c r="CD28" s="782">
        <f t="shared" si="32"/>
        <v>7.7076000000000002</v>
      </c>
      <c r="CE28" s="715">
        <v>11.3120660096171</v>
      </c>
      <c r="CF28" s="715">
        <v>9.9657348175322298</v>
      </c>
      <c r="CG28" s="715">
        <v>10.259485184477599</v>
      </c>
      <c r="CH28" s="715">
        <v>8.8615232646381603</v>
      </c>
      <c r="CI28" s="783">
        <v>9.1640965083525003</v>
      </c>
    </row>
    <row r="29" spans="1:87" ht="14.25" customHeight="1">
      <c r="A29" s="12"/>
      <c r="B29" s="12"/>
      <c r="C29" s="781" t="s">
        <v>915</v>
      </c>
      <c r="D29" s="781"/>
      <c r="E29" s="781"/>
      <c r="F29" s="781"/>
      <c r="G29" s="781"/>
      <c r="H29" s="781"/>
      <c r="I29" s="69">
        <f>IF(I28=4,1,I28+1)</f>
        <v>2</v>
      </c>
      <c r="J29" s="5">
        <f t="shared" si="27"/>
        <v>2009</v>
      </c>
      <c r="K29" s="291" t="str">
        <f t="shared" si="18"/>
        <v>2Q09</v>
      </c>
      <c r="L29" s="782"/>
      <c r="M29" s="715">
        <v>13.745799999999999</v>
      </c>
      <c r="N29" s="715">
        <v>16.3278</v>
      </c>
      <c r="O29" s="715">
        <v>16.3278</v>
      </c>
      <c r="P29" s="715">
        <v>16.3278</v>
      </c>
      <c r="Q29" s="783">
        <v>16.3278</v>
      </c>
      <c r="R29" s="782">
        <v>14.325200000000001</v>
      </c>
      <c r="S29" s="715">
        <v>13.613099999999999</v>
      </c>
      <c r="T29" s="715">
        <v>15.3292</v>
      </c>
      <c r="U29" s="715">
        <v>15.3292</v>
      </c>
      <c r="V29" s="715">
        <v>15.3292</v>
      </c>
      <c r="W29" s="783">
        <v>15.3292</v>
      </c>
      <c r="X29" s="782"/>
      <c r="Y29" s="715">
        <v>6.4526000000000003</v>
      </c>
      <c r="Z29" s="715">
        <v>8.5658999999999992</v>
      </c>
      <c r="AA29" s="715">
        <v>8.5658999999999992</v>
      </c>
      <c r="AB29" s="715">
        <v>8.5658999999999992</v>
      </c>
      <c r="AC29" s="783">
        <v>8.5658999999999992</v>
      </c>
      <c r="AD29" s="715">
        <v>7.1951000000000001</v>
      </c>
      <c r="AE29" s="715">
        <v>6.6932999999999998</v>
      </c>
      <c r="AF29" s="715">
        <v>8.5658999999999992</v>
      </c>
      <c r="AG29" s="715">
        <v>8.5658999999999992</v>
      </c>
      <c r="AH29" s="715">
        <v>8.5658999999999992</v>
      </c>
      <c r="AI29" s="783">
        <v>8.5658999999999992</v>
      </c>
      <c r="AJ29" s="12"/>
      <c r="AK29" s="291" t="str">
        <f t="shared" si="19"/>
        <v>2Q09</v>
      </c>
      <c r="AL29" s="782">
        <f t="shared" si="20"/>
        <v>0</v>
      </c>
      <c r="AM29" s="715">
        <v>15.405891980360099</v>
      </c>
      <c r="AN29" s="715">
        <v>14.8719880153684</v>
      </c>
      <c r="AO29" s="715">
        <v>18.777003484320598</v>
      </c>
      <c r="AP29" s="715">
        <v>17.191208791208801</v>
      </c>
      <c r="AQ29" s="783">
        <v>17.902609802673499</v>
      </c>
      <c r="AR29" s="782">
        <f t="shared" si="21"/>
        <v>14.325200000000001</v>
      </c>
      <c r="AS29" s="715">
        <v>14.832965647652101</v>
      </c>
      <c r="AT29" s="715">
        <v>14.168059180304899</v>
      </c>
      <c r="AU29" s="715">
        <v>17.616868257600501</v>
      </c>
      <c r="AV29" s="715">
        <v>16.405201342281899</v>
      </c>
      <c r="AW29" s="783">
        <v>14.889705882352899</v>
      </c>
      <c r="AX29" s="782">
        <f t="shared" si="22"/>
        <v>0</v>
      </c>
      <c r="AY29" s="715">
        <v>8.0128863909949501</v>
      </c>
      <c r="AZ29" s="715">
        <v>9.5916429615490504</v>
      </c>
      <c r="BA29" s="715">
        <v>9.6883680004064399</v>
      </c>
      <c r="BB29" s="715">
        <v>9.5695105436488799</v>
      </c>
      <c r="BC29" s="783">
        <v>8.3114767326934</v>
      </c>
      <c r="BD29" s="782">
        <f t="shared" si="31"/>
        <v>7.1951000000000001</v>
      </c>
      <c r="BE29" s="715">
        <v>7.9727314135024896</v>
      </c>
      <c r="BF29" s="715">
        <v>8.6157405733320402</v>
      </c>
      <c r="BG29" s="715">
        <v>9.1085098178390407</v>
      </c>
      <c r="BH29" s="715">
        <v>9.6615114585042594</v>
      </c>
      <c r="BI29" s="783">
        <v>7.7276233874370703</v>
      </c>
      <c r="BJ29" s="12"/>
      <c r="BK29" s="291" t="str">
        <f t="shared" si="23"/>
        <v>2Q09</v>
      </c>
      <c r="BL29" s="782">
        <f t="shared" si="24"/>
        <v>0</v>
      </c>
      <c r="BM29" s="715">
        <v>15.628742514970099</v>
      </c>
      <c r="BN29" s="715">
        <v>17.729809104258401</v>
      </c>
      <c r="BO29" s="715">
        <v>17.862477471844699</v>
      </c>
      <c r="BP29" s="715">
        <v>16.9552839086532</v>
      </c>
      <c r="BQ29" s="783">
        <v>17.688279301745599</v>
      </c>
      <c r="BR29" s="782">
        <f t="shared" si="25"/>
        <v>14.325200000000001</v>
      </c>
      <c r="BS29" s="715">
        <v>13.9896373056995</v>
      </c>
      <c r="BT29" s="715">
        <v>17.3427176098822</v>
      </c>
      <c r="BU29" s="715">
        <v>16.635037790235099</v>
      </c>
      <c r="BV29" s="715">
        <v>17.3787535359534</v>
      </c>
      <c r="BW29" s="783">
        <v>16.977022498803301</v>
      </c>
      <c r="BX29" s="782">
        <f t="shared" si="26"/>
        <v>0</v>
      </c>
      <c r="BY29" s="715">
        <v>8.7367486244836403</v>
      </c>
      <c r="BZ29" s="715">
        <v>7.5076003027180001</v>
      </c>
      <c r="CA29" s="715">
        <v>12.0946544433192</v>
      </c>
      <c r="CB29" s="715">
        <v>11.9712771283663</v>
      </c>
      <c r="CC29" s="783">
        <v>6.7972844586744596</v>
      </c>
      <c r="CD29" s="782">
        <f t="shared" si="32"/>
        <v>7.1951000000000001</v>
      </c>
      <c r="CE29" s="715">
        <v>8.1811344842072504</v>
      </c>
      <c r="CF29" s="715">
        <v>10.216242095317099</v>
      </c>
      <c r="CG29" s="715">
        <v>10.9766502375101</v>
      </c>
      <c r="CH29" s="715">
        <v>10.6271859083267</v>
      </c>
      <c r="CI29" s="783">
        <v>9.6854159394142094</v>
      </c>
    </row>
    <row r="30" spans="1:87" ht="14.25" customHeight="1">
      <c r="A30" s="12"/>
      <c r="B30" s="12"/>
      <c r="C30" s="69"/>
      <c r="D30" s="12"/>
      <c r="E30" s="69" t="s">
        <v>910</v>
      </c>
      <c r="F30" s="69" t="s">
        <v>911</v>
      </c>
      <c r="G30" s="69" t="s">
        <v>912</v>
      </c>
      <c r="H30" s="69" t="s">
        <v>913</v>
      </c>
      <c r="I30" s="69">
        <f>IF(I29+1=5,1,I29+1)</f>
        <v>3</v>
      </c>
      <c r="J30" s="5">
        <f t="shared" si="27"/>
        <v>2009</v>
      </c>
      <c r="K30" s="291" t="str">
        <f t="shared" si="18"/>
        <v>3Q09</v>
      </c>
      <c r="L30" s="782"/>
      <c r="M30" s="715">
        <v>11.712999999999999</v>
      </c>
      <c r="N30" s="715">
        <v>13.745799999999999</v>
      </c>
      <c r="O30" s="715">
        <v>13.745799999999999</v>
      </c>
      <c r="P30" s="715">
        <v>13.745799999999999</v>
      </c>
      <c r="Q30" s="783">
        <v>13.745799999999999</v>
      </c>
      <c r="R30" s="782">
        <v>12.2469</v>
      </c>
      <c r="S30" s="715">
        <v>11.5227</v>
      </c>
      <c r="T30" s="715">
        <v>13.613099999999999</v>
      </c>
      <c r="U30" s="715">
        <v>13.613099999999999</v>
      </c>
      <c r="V30" s="715">
        <v>13.613099999999999</v>
      </c>
      <c r="W30" s="783">
        <v>13.613099999999999</v>
      </c>
      <c r="X30" s="782"/>
      <c r="Y30" s="715">
        <v>6.1372</v>
      </c>
      <c r="Z30" s="715">
        <v>6.4526000000000003</v>
      </c>
      <c r="AA30" s="715">
        <v>6.4526000000000003</v>
      </c>
      <c r="AB30" s="715">
        <v>6.4526000000000003</v>
      </c>
      <c r="AC30" s="783">
        <v>6.4526000000000003</v>
      </c>
      <c r="AD30" s="715">
        <v>6.2590000000000003</v>
      </c>
      <c r="AE30" s="715">
        <v>5.8247999999999998</v>
      </c>
      <c r="AF30" s="715">
        <v>6.4526000000000003</v>
      </c>
      <c r="AG30" s="715">
        <v>6.4526000000000003</v>
      </c>
      <c r="AH30" s="715">
        <v>6.4526000000000003</v>
      </c>
      <c r="AI30" s="783">
        <v>6.4526000000000003</v>
      </c>
      <c r="AJ30" s="12"/>
      <c r="AK30" s="291" t="str">
        <f t="shared" si="19"/>
        <v>3Q09</v>
      </c>
      <c r="AL30" s="782">
        <f t="shared" si="20"/>
        <v>0</v>
      </c>
      <c r="AM30" s="715">
        <v>16.413010590015102</v>
      </c>
      <c r="AN30" s="715">
        <v>13.929109488189001</v>
      </c>
      <c r="AO30" s="715">
        <v>20.455128205128201</v>
      </c>
      <c r="AP30" s="715">
        <v>17.5613305613306</v>
      </c>
      <c r="AQ30" s="783">
        <v>21.814661574368799</v>
      </c>
      <c r="AR30" s="782">
        <f t="shared" si="21"/>
        <v>12.2469</v>
      </c>
      <c r="AS30" s="715">
        <v>15.7872526193248</v>
      </c>
      <c r="AT30" s="715">
        <v>14.0257435480674</v>
      </c>
      <c r="AU30" s="715">
        <v>19.752398638192499</v>
      </c>
      <c r="AV30" s="715">
        <v>17.106115836371</v>
      </c>
      <c r="AW30" s="783">
        <v>16.900684931506898</v>
      </c>
      <c r="AX30" s="782">
        <f t="shared" si="22"/>
        <v>0</v>
      </c>
      <c r="AY30" s="715">
        <v>8.5842487072506906</v>
      </c>
      <c r="AZ30" s="715">
        <v>8.4427375761939292</v>
      </c>
      <c r="BA30" s="715">
        <v>11.1349827480621</v>
      </c>
      <c r="BB30" s="715">
        <v>10.4017651747751</v>
      </c>
      <c r="BC30" s="783">
        <v>10.7651705951063</v>
      </c>
      <c r="BD30" s="782">
        <f t="shared" si="31"/>
        <v>6.2590000000000003</v>
      </c>
      <c r="BE30" s="715">
        <v>8.5672362112149294</v>
      </c>
      <c r="BF30" s="715">
        <v>8.4611465703845194</v>
      </c>
      <c r="BG30" s="715">
        <v>10.505650640974901</v>
      </c>
      <c r="BH30" s="715">
        <v>10.058965891206</v>
      </c>
      <c r="BI30" s="783">
        <v>9.4456918185699905</v>
      </c>
      <c r="BJ30" s="12"/>
      <c r="BK30" s="291" t="str">
        <f t="shared" si="23"/>
        <v>3Q09</v>
      </c>
      <c r="BL30" s="782">
        <f t="shared" si="24"/>
        <v>0</v>
      </c>
      <c r="BM30" s="715">
        <v>15.111753371869</v>
      </c>
      <c r="BN30" s="715">
        <v>20.248294679399699</v>
      </c>
      <c r="BO30" s="715">
        <v>18.4239851666667</v>
      </c>
      <c r="BP30" s="715">
        <v>17.104406321813698</v>
      </c>
      <c r="BQ30" s="783">
        <v>19.299760191846499</v>
      </c>
      <c r="BR30" s="782">
        <f t="shared" si="25"/>
        <v>12.2469</v>
      </c>
      <c r="BS30" s="715">
        <v>14.5213849287169</v>
      </c>
      <c r="BT30" s="715">
        <v>19.411456970965201</v>
      </c>
      <c r="BU30" s="715">
        <v>18.0479854693878</v>
      </c>
      <c r="BV30" s="715">
        <v>18.007501566540501</v>
      </c>
      <c r="BW30" s="783">
        <v>19.012520670918999</v>
      </c>
      <c r="BX30" s="782">
        <f t="shared" si="26"/>
        <v>0</v>
      </c>
      <c r="BY30" s="715">
        <v>8.2923700244366199</v>
      </c>
      <c r="BZ30" s="715">
        <v>8.9093442042646291</v>
      </c>
      <c r="CA30" s="715">
        <v>12.552364084411501</v>
      </c>
      <c r="CB30" s="715">
        <v>11.712159015325099</v>
      </c>
      <c r="CC30" s="783">
        <v>7.5276037041258403</v>
      </c>
      <c r="CD30" s="782">
        <f t="shared" si="32"/>
        <v>6.2590000000000003</v>
      </c>
      <c r="CE30" s="715">
        <v>8.1542684797450207</v>
      </c>
      <c r="CF30" s="715">
        <v>10.770474443471301</v>
      </c>
      <c r="CG30" s="715">
        <v>12.3639389901145</v>
      </c>
      <c r="CH30" s="715">
        <v>10.6466484541989</v>
      </c>
      <c r="CI30" s="783">
        <v>10.8118977956183</v>
      </c>
    </row>
    <row r="31" spans="1:87" ht="14.25" customHeight="1">
      <c r="A31" s="12"/>
      <c r="B31" s="12"/>
      <c r="C31" s="12" t="s">
        <v>884</v>
      </c>
      <c r="D31" s="12"/>
      <c r="E31" s="662">
        <f>AVERAGE(M81:Q86)</f>
        <v>24.03590666666668</v>
      </c>
      <c r="F31" s="662">
        <f>AVERAGE(S81:W86)</f>
        <v>23.239266666666669</v>
      </c>
      <c r="G31" s="662">
        <f>AVERAGE(Y81:AC86)</f>
        <v>15.931383333333336</v>
      </c>
      <c r="H31" s="662">
        <f>AVERAGE(AE81:AI86)</f>
        <v>15.898750000000001</v>
      </c>
      <c r="I31" s="69">
        <f>IF(I30=4,1,I30+1)</f>
        <v>4</v>
      </c>
      <c r="J31" s="5">
        <f t="shared" si="27"/>
        <v>2009</v>
      </c>
      <c r="K31" s="291" t="str">
        <f t="shared" si="18"/>
        <v>4Q09</v>
      </c>
      <c r="L31" s="782">
        <v>12.333299999999999</v>
      </c>
      <c r="M31" s="715">
        <v>12.486599999999999</v>
      </c>
      <c r="N31" s="715">
        <v>11.712999999999999</v>
      </c>
      <c r="O31" s="715">
        <v>11.712999999999999</v>
      </c>
      <c r="P31" s="715">
        <v>11.712999999999999</v>
      </c>
      <c r="Q31" s="783">
        <v>11.712999999999999</v>
      </c>
      <c r="R31" s="782">
        <v>14.8383</v>
      </c>
      <c r="S31" s="715">
        <v>15.617000000000001</v>
      </c>
      <c r="T31" s="715">
        <v>11.5227</v>
      </c>
      <c r="U31" s="715">
        <v>11.5227</v>
      </c>
      <c r="V31" s="715">
        <v>11.5227</v>
      </c>
      <c r="W31" s="783">
        <v>11.5227</v>
      </c>
      <c r="X31" s="782">
        <v>6.4356999999999998</v>
      </c>
      <c r="Y31" s="715">
        <v>6.5780000000000003</v>
      </c>
      <c r="Z31" s="715">
        <v>6.1372</v>
      </c>
      <c r="AA31" s="715">
        <v>6.1372</v>
      </c>
      <c r="AB31" s="715">
        <v>6.1372</v>
      </c>
      <c r="AC31" s="783">
        <v>6.1372</v>
      </c>
      <c r="AD31" s="715">
        <v>7.2069999999999999</v>
      </c>
      <c r="AE31" s="715">
        <v>8.2120999999999995</v>
      </c>
      <c r="AF31" s="715">
        <v>6.1372</v>
      </c>
      <c r="AG31" s="715">
        <v>6.1372</v>
      </c>
      <c r="AH31" s="715">
        <v>6.1372</v>
      </c>
      <c r="AI31" s="783">
        <v>6.1372</v>
      </c>
      <c r="AJ31" s="12"/>
      <c r="AK31" s="291" t="str">
        <f t="shared" si="19"/>
        <v>4Q09</v>
      </c>
      <c r="AL31" s="782">
        <f t="shared" si="20"/>
        <v>12.333299999999999</v>
      </c>
      <c r="AM31" s="715">
        <v>15.3440233236152</v>
      </c>
      <c r="AN31" s="715">
        <v>13.719321164615399</v>
      </c>
      <c r="AO31" s="715">
        <v>18.283132530120501</v>
      </c>
      <c r="AP31" s="715">
        <v>17.449019607843098</v>
      </c>
      <c r="AQ31" s="783">
        <v>19.153846153846199</v>
      </c>
      <c r="AR31" s="782">
        <f t="shared" si="21"/>
        <v>14.8383</v>
      </c>
      <c r="AS31" s="715">
        <v>15.195611375775901</v>
      </c>
      <c r="AT31" s="715">
        <v>13.8983966600429</v>
      </c>
      <c r="AU31" s="715">
        <v>18.694179242377601</v>
      </c>
      <c r="AV31" s="715">
        <v>17.531520882584701</v>
      </c>
      <c r="AW31" s="783">
        <v>16.824324324324301</v>
      </c>
      <c r="AX31" s="782">
        <f t="shared" si="22"/>
        <v>6.4356999999999998</v>
      </c>
      <c r="AY31" s="715">
        <v>8.2411123582192491</v>
      </c>
      <c r="AZ31" s="715">
        <v>8.0242378751095202</v>
      </c>
      <c r="BA31" s="715">
        <v>9.9607292477650695</v>
      </c>
      <c r="BB31" s="715">
        <v>10.0980469559544</v>
      </c>
      <c r="BC31" s="783">
        <v>9.3325299750433999</v>
      </c>
      <c r="BD31" s="782">
        <f t="shared" si="31"/>
        <v>7.2069999999999999</v>
      </c>
      <c r="BE31" s="715">
        <v>7.9738975414521596</v>
      </c>
      <c r="BF31" s="715">
        <v>7.7297697673913799</v>
      </c>
      <c r="BG31" s="715">
        <v>8.7109361469898108</v>
      </c>
      <c r="BH31" s="715">
        <v>9.1508698196450204</v>
      </c>
      <c r="BI31" s="783">
        <v>8.5675347933455797</v>
      </c>
      <c r="BJ31" s="12"/>
      <c r="BK31" s="291" t="str">
        <f t="shared" si="23"/>
        <v>4Q09</v>
      </c>
      <c r="BL31" s="782">
        <f t="shared" si="24"/>
        <v>12.333299999999999</v>
      </c>
      <c r="BM31" s="715">
        <v>13.512104283054001</v>
      </c>
      <c r="BN31" s="715">
        <v>23.250936329588001</v>
      </c>
      <c r="BO31" s="715">
        <v>15.767074954867301</v>
      </c>
      <c r="BP31" s="715">
        <v>16.191930951047201</v>
      </c>
      <c r="BQ31" s="783">
        <v>17.474885844748901</v>
      </c>
      <c r="BR31" s="782">
        <f t="shared" si="25"/>
        <v>14.8383</v>
      </c>
      <c r="BS31" s="715">
        <v>13.4869888475836</v>
      </c>
      <c r="BT31" s="715">
        <v>18.594249201278</v>
      </c>
      <c r="BU31" s="715">
        <v>16.1676902894737</v>
      </c>
      <c r="BV31" s="715">
        <v>18.643381056867302</v>
      </c>
      <c r="BW31" s="783">
        <v>17.9967082059723</v>
      </c>
      <c r="BX31" s="782">
        <f t="shared" si="26"/>
        <v>6.4356999999999998</v>
      </c>
      <c r="BY31" s="715">
        <v>7.3340698627404901</v>
      </c>
      <c r="BZ31" s="715">
        <v>10.3981517643782</v>
      </c>
      <c r="CA31" s="715">
        <v>10.9312546610151</v>
      </c>
      <c r="CB31" s="715">
        <v>11.3586064014464</v>
      </c>
      <c r="CC31" s="783">
        <v>6.9025180302470703</v>
      </c>
      <c r="CD31" s="782">
        <f t="shared" si="32"/>
        <v>7.2069999999999999</v>
      </c>
      <c r="CE31" s="715">
        <v>7.1578106402914301</v>
      </c>
      <c r="CF31" s="715">
        <v>11.0079026660542</v>
      </c>
      <c r="CG31" s="715">
        <v>9.6792214411202</v>
      </c>
      <c r="CH31" s="715">
        <v>9.8381757631916997</v>
      </c>
      <c r="CI31" s="783">
        <v>9.2772007367532705</v>
      </c>
    </row>
    <row r="32" spans="1:87" ht="14.25" customHeight="1">
      <c r="A32" s="12"/>
      <c r="B32" s="12"/>
      <c r="C32" s="12" t="s">
        <v>886</v>
      </c>
      <c r="D32" s="12"/>
      <c r="E32" s="662">
        <f>AVERAGE(M77:Q86)</f>
        <v>22.794811999999997</v>
      </c>
      <c r="F32" s="662">
        <f>AVERAGE(S77:W86)</f>
        <v>22.402899999999995</v>
      </c>
      <c r="G32" s="662">
        <f>AVERAGE(Y77:AC86)</f>
        <v>15.202821999999996</v>
      </c>
      <c r="H32" s="662">
        <f>AVERAGE(AE77:AI86)</f>
        <v>15.226447999999996</v>
      </c>
      <c r="I32" s="69">
        <f>I28</f>
        <v>1</v>
      </c>
      <c r="J32" s="5">
        <f t="shared" si="27"/>
        <v>2010</v>
      </c>
      <c r="K32" s="291" t="str">
        <f t="shared" si="18"/>
        <v>1Q10</v>
      </c>
      <c r="L32" s="782">
        <v>11.5922</v>
      </c>
      <c r="M32" s="715">
        <v>10.7796</v>
      </c>
      <c r="N32" s="715">
        <v>12.486599999999999</v>
      </c>
      <c r="O32" s="715">
        <v>12.486599999999999</v>
      </c>
      <c r="P32" s="715">
        <v>12.486599999999999</v>
      </c>
      <c r="Q32" s="783">
        <v>12.486599999999999</v>
      </c>
      <c r="R32" s="782">
        <v>13.7874</v>
      </c>
      <c r="S32" s="715">
        <v>13.5298</v>
      </c>
      <c r="T32" s="715">
        <v>15.617000000000001</v>
      </c>
      <c r="U32" s="715">
        <v>15.617000000000001</v>
      </c>
      <c r="V32" s="715">
        <v>15.617000000000001</v>
      </c>
      <c r="W32" s="783">
        <v>15.617000000000001</v>
      </c>
      <c r="X32" s="782">
        <v>5.7847</v>
      </c>
      <c r="Y32" s="715">
        <v>6.2369000000000003</v>
      </c>
      <c r="Z32" s="715">
        <v>6.5780000000000003</v>
      </c>
      <c r="AA32" s="715">
        <v>6.5780000000000003</v>
      </c>
      <c r="AB32" s="715">
        <v>6.5780000000000003</v>
      </c>
      <c r="AC32" s="783">
        <v>6.5780000000000003</v>
      </c>
      <c r="AD32" s="715">
        <v>6.4311999999999996</v>
      </c>
      <c r="AE32" s="715">
        <v>7.1870000000000003</v>
      </c>
      <c r="AF32" s="715">
        <v>6.5780000000000003</v>
      </c>
      <c r="AG32" s="715">
        <v>6.5780000000000003</v>
      </c>
      <c r="AH32" s="715">
        <v>6.5780000000000003</v>
      </c>
      <c r="AI32" s="783">
        <v>6.5780000000000003</v>
      </c>
      <c r="AJ32" s="12"/>
      <c r="AK32" s="291" t="str">
        <f t="shared" si="19"/>
        <v>1Q10</v>
      </c>
      <c r="AL32" s="782">
        <f t="shared" si="20"/>
        <v>11.5922</v>
      </c>
      <c r="AM32" s="715">
        <v>13.7916666666667</v>
      </c>
      <c r="AN32" s="715">
        <v>14.464654180122899</v>
      </c>
      <c r="AO32" s="715">
        <v>18.251412429378501</v>
      </c>
      <c r="AP32" s="715">
        <v>15.297247706422</v>
      </c>
      <c r="AQ32" s="783">
        <v>18.663461538461501</v>
      </c>
      <c r="AR32" s="782">
        <f t="shared" si="21"/>
        <v>13.7874</v>
      </c>
      <c r="AS32" s="715">
        <v>13.477198697068401</v>
      </c>
      <c r="AT32" s="715">
        <v>12.340474195629399</v>
      </c>
      <c r="AU32" s="715">
        <v>16.664947124065002</v>
      </c>
      <c r="AV32" s="715">
        <v>14.489051094890501</v>
      </c>
      <c r="AW32" s="783">
        <v>13.785511363636401</v>
      </c>
      <c r="AX32" s="782">
        <f t="shared" si="22"/>
        <v>5.7847</v>
      </c>
      <c r="AY32" s="715">
        <v>7.5082358060283001</v>
      </c>
      <c r="AZ32" s="715">
        <v>8.5248604412945799</v>
      </c>
      <c r="BA32" s="715">
        <v>10.3114736638174</v>
      </c>
      <c r="BB32" s="715">
        <v>8.9801514544626801</v>
      </c>
      <c r="BC32" s="783">
        <v>9.0857967800564197</v>
      </c>
      <c r="BD32" s="782">
        <f t="shared" si="31"/>
        <v>6.4311999999999996</v>
      </c>
      <c r="BE32" s="715">
        <v>7.4422532156527401</v>
      </c>
      <c r="BF32" s="715">
        <v>7.5823333272749496</v>
      </c>
      <c r="BG32" s="715">
        <v>9.3773908236927497</v>
      </c>
      <c r="BH32" s="715">
        <v>8.5842107938902608</v>
      </c>
      <c r="BI32" s="783">
        <v>8.0647859215188902</v>
      </c>
      <c r="BJ32" s="12"/>
      <c r="BK32" s="291" t="str">
        <f t="shared" si="23"/>
        <v>1Q10</v>
      </c>
      <c r="BL32" s="782">
        <f t="shared" si="24"/>
        <v>11.5922</v>
      </c>
      <c r="BM32" s="715">
        <v>14.005366726297</v>
      </c>
      <c r="BN32" s="715">
        <v>18.641946697566599</v>
      </c>
      <c r="BO32" s="715">
        <v>16.025186627927901</v>
      </c>
      <c r="BP32" s="715">
        <v>14.024015011101</v>
      </c>
      <c r="BQ32" s="783">
        <v>15.15859030837</v>
      </c>
      <c r="BR32" s="782">
        <f t="shared" si="25"/>
        <v>13.7874</v>
      </c>
      <c r="BS32" s="715">
        <v>13.140315542128199</v>
      </c>
      <c r="BT32" s="715">
        <v>15.4811393379523</v>
      </c>
      <c r="BU32" s="715">
        <v>14.652353506589799</v>
      </c>
      <c r="BV32" s="715">
        <v>14.2851003969459</v>
      </c>
      <c r="BW32" s="783">
        <v>14.154668860551199</v>
      </c>
      <c r="BX32" s="782">
        <f t="shared" si="26"/>
        <v>5.7847</v>
      </c>
      <c r="BY32" s="715">
        <v>7.5835911867171699</v>
      </c>
      <c r="BZ32" s="715">
        <v>8.8265324943553392</v>
      </c>
      <c r="CA32" s="715">
        <v>10.8670026348689</v>
      </c>
      <c r="CB32" s="715">
        <v>10.079275237110799</v>
      </c>
      <c r="CC32" s="783">
        <v>6.17659738967299</v>
      </c>
      <c r="CD32" s="782">
        <f t="shared" si="32"/>
        <v>6.4311999999999996</v>
      </c>
      <c r="CE32" s="715">
        <v>7.9681453066227101</v>
      </c>
      <c r="CF32" s="715">
        <v>9.5744907607354399</v>
      </c>
      <c r="CG32" s="715">
        <v>9.1153544058384899</v>
      </c>
      <c r="CH32" s="715">
        <v>9.0013095935908005</v>
      </c>
      <c r="CI32" s="783">
        <v>8.3684369571943495</v>
      </c>
    </row>
    <row r="33" spans="1:87" ht="14.25" customHeight="1">
      <c r="A33" s="12"/>
      <c r="B33" s="12"/>
      <c r="C33" s="12" t="s">
        <v>881</v>
      </c>
      <c r="D33" s="12"/>
      <c r="E33" s="662">
        <f>AVERAGE(M73:Q86)</f>
        <v>22.434631428571436</v>
      </c>
      <c r="F33" s="662">
        <f>AVERAGE(S73:W86)</f>
        <v>21.627641428571419</v>
      </c>
      <c r="G33" s="662">
        <f>AVERAGE(Y73:AC86)</f>
        <v>14.829062857142853</v>
      </c>
      <c r="H33" s="662">
        <f>AVERAGE(AE73:AI86)</f>
        <v>14.83389857142857</v>
      </c>
      <c r="I33" s="69">
        <f>IF(I32=4,1,I32+1)</f>
        <v>2</v>
      </c>
      <c r="J33" s="5">
        <f t="shared" si="27"/>
        <v>2010</v>
      </c>
      <c r="K33" s="291" t="str">
        <f t="shared" si="18"/>
        <v>2Q10</v>
      </c>
      <c r="L33" s="782">
        <v>13.4602</v>
      </c>
      <c r="M33" s="715">
        <v>12.2148</v>
      </c>
      <c r="N33" s="715">
        <v>10.7796</v>
      </c>
      <c r="O33" s="715">
        <v>10.7796</v>
      </c>
      <c r="P33" s="715">
        <v>10.7796</v>
      </c>
      <c r="Q33" s="783">
        <v>10.7796</v>
      </c>
      <c r="R33" s="782">
        <v>15.4735</v>
      </c>
      <c r="S33" s="715">
        <v>14.7605</v>
      </c>
      <c r="T33" s="715">
        <v>13.5298</v>
      </c>
      <c r="U33" s="715">
        <v>13.5298</v>
      </c>
      <c r="V33" s="715">
        <v>13.5298</v>
      </c>
      <c r="W33" s="783">
        <v>13.5298</v>
      </c>
      <c r="X33" s="782">
        <v>6.5525000000000002</v>
      </c>
      <c r="Y33" s="715">
        <v>7.1045999999999996</v>
      </c>
      <c r="Z33" s="715">
        <v>6.2369000000000003</v>
      </c>
      <c r="AA33" s="715">
        <v>6.2369000000000003</v>
      </c>
      <c r="AB33" s="715">
        <v>6.2369000000000003</v>
      </c>
      <c r="AC33" s="783">
        <v>6.2369000000000003</v>
      </c>
      <c r="AD33" s="715">
        <v>7.1467999999999998</v>
      </c>
      <c r="AE33" s="715">
        <v>7.6393000000000004</v>
      </c>
      <c r="AF33" s="715">
        <v>6.2369000000000003</v>
      </c>
      <c r="AG33" s="715">
        <v>6.2369000000000003</v>
      </c>
      <c r="AH33" s="715">
        <v>6.2369000000000003</v>
      </c>
      <c r="AI33" s="783">
        <v>6.2369000000000003</v>
      </c>
      <c r="AJ33" s="12"/>
      <c r="AK33" s="291" t="str">
        <f t="shared" si="19"/>
        <v>2Q10</v>
      </c>
      <c r="AL33" s="782">
        <f t="shared" si="20"/>
        <v>13.4602</v>
      </c>
      <c r="AM33" s="715">
        <v>13.033025099075299</v>
      </c>
      <c r="AN33" s="715">
        <v>12.3103857018256</v>
      </c>
      <c r="AO33" s="715">
        <v>15.048128342246001</v>
      </c>
      <c r="AP33" s="715">
        <v>14.797891036906901</v>
      </c>
      <c r="AQ33" s="783">
        <v>16.149635036496299</v>
      </c>
      <c r="AR33" s="782">
        <f t="shared" si="21"/>
        <v>15.4735</v>
      </c>
      <c r="AS33" s="715">
        <v>13.2518468770987</v>
      </c>
      <c r="AT33" s="715">
        <v>11.8143277224061</v>
      </c>
      <c r="AU33" s="715">
        <v>14.353481254781901</v>
      </c>
      <c r="AV33" s="715">
        <v>14.2518618821936</v>
      </c>
      <c r="AW33" s="783">
        <v>12.606837606837599</v>
      </c>
      <c r="AX33" s="782">
        <f t="shared" si="22"/>
        <v>6.5525000000000002</v>
      </c>
      <c r="AY33" s="715">
        <v>7.1384542788999497</v>
      </c>
      <c r="AZ33" s="715">
        <v>7.2858484195114004</v>
      </c>
      <c r="BA33" s="715">
        <v>8.5602396383199597</v>
      </c>
      <c r="BB33" s="715">
        <v>8.5248369749876307</v>
      </c>
      <c r="BC33" s="783">
        <v>8.51204820813631</v>
      </c>
      <c r="BD33" s="782">
        <f t="shared" si="31"/>
        <v>7.1467999999999998</v>
      </c>
      <c r="BE33" s="715">
        <v>7.1755151239636596</v>
      </c>
      <c r="BF33" s="715">
        <v>7.0784166192176396</v>
      </c>
      <c r="BG33" s="715">
        <v>7.9720944221862897</v>
      </c>
      <c r="BH33" s="715">
        <v>8.2335253897019705</v>
      </c>
      <c r="BI33" s="783">
        <v>8.0098515918821196</v>
      </c>
      <c r="BJ33" s="12"/>
      <c r="BK33" s="291" t="str">
        <f t="shared" si="23"/>
        <v>2Q10</v>
      </c>
      <c r="BL33" s="782">
        <f t="shared" si="24"/>
        <v>13.4602</v>
      </c>
      <c r="BM33" s="715">
        <v>12.1215106732348</v>
      </c>
      <c r="BN33" s="715">
        <v>15.3631522896699</v>
      </c>
      <c r="BO33" s="715">
        <v>11.4534820830357</v>
      </c>
      <c r="BP33" s="715">
        <v>11.7898232831689</v>
      </c>
      <c r="BQ33" s="783">
        <v>13.016877637130801</v>
      </c>
      <c r="BR33" s="782">
        <f t="shared" si="25"/>
        <v>15.4735</v>
      </c>
      <c r="BS33" s="715">
        <v>12.199636423731601</v>
      </c>
      <c r="BT33" s="715">
        <v>14.2156089869925</v>
      </c>
      <c r="BU33" s="715">
        <v>11.5879854859982</v>
      </c>
      <c r="BV33" s="715">
        <v>12.616416059479601</v>
      </c>
      <c r="BW33" s="783">
        <v>12.604698672114401</v>
      </c>
      <c r="BX33" s="782">
        <f t="shared" si="26"/>
        <v>6.5525000000000002</v>
      </c>
      <c r="BY33" s="715">
        <v>6.7672629406594202</v>
      </c>
      <c r="BZ33" s="715">
        <v>7.10345359639207</v>
      </c>
      <c r="CA33" s="715">
        <v>7.7810894052890296</v>
      </c>
      <c r="CB33" s="715">
        <v>8.8938680961155896</v>
      </c>
      <c r="CC33" s="783">
        <v>7.8343084438823301</v>
      </c>
      <c r="CD33" s="782">
        <f t="shared" si="32"/>
        <v>7.1467999999999998</v>
      </c>
      <c r="CE33" s="715">
        <v>7.4277573523016596</v>
      </c>
      <c r="CF33" s="715">
        <v>8.3221430140267607</v>
      </c>
      <c r="CG33" s="715">
        <v>7.3101900362286996</v>
      </c>
      <c r="CH33" s="715">
        <v>8.0838186637965208</v>
      </c>
      <c r="CI33" s="783">
        <v>7.5550381111695497</v>
      </c>
    </row>
    <row r="34" spans="1:87" ht="14.25" customHeight="1">
      <c r="A34" s="12"/>
      <c r="B34" s="12"/>
      <c r="C34" s="12" t="s">
        <v>887</v>
      </c>
      <c r="D34" s="12"/>
      <c r="E34" s="662">
        <f>AVERAGE(M65:Q86)</f>
        <v>22.779055454545446</v>
      </c>
      <c r="F34" s="662">
        <f>AVERAGE(S65:W86)</f>
        <v>21.500070000000001</v>
      </c>
      <c r="G34" s="662">
        <f>AVERAGE(Y65:AC86)</f>
        <v>14.193111818181821</v>
      </c>
      <c r="H34" s="662">
        <f>AVERAGE(AE65:AI86)</f>
        <v>14.158867272727273</v>
      </c>
      <c r="I34" s="69">
        <f>IF(I33+1=5,1,I33+1)</f>
        <v>3</v>
      </c>
      <c r="J34" s="5">
        <f t="shared" si="27"/>
        <v>2010</v>
      </c>
      <c r="K34" s="291" t="str">
        <f t="shared" si="18"/>
        <v>3Q10</v>
      </c>
      <c r="L34" s="782">
        <v>12.963900000000001</v>
      </c>
      <c r="M34" s="715">
        <v>11.6289</v>
      </c>
      <c r="N34" s="715">
        <v>12.2148</v>
      </c>
      <c r="O34" s="715">
        <v>12.2148</v>
      </c>
      <c r="P34" s="715">
        <v>12.2148</v>
      </c>
      <c r="Q34" s="783">
        <v>12.2148</v>
      </c>
      <c r="R34" s="782">
        <v>14.298999999999999</v>
      </c>
      <c r="S34" s="715">
        <v>13.3141</v>
      </c>
      <c r="T34" s="715">
        <v>14.7605</v>
      </c>
      <c r="U34" s="715">
        <v>14.7605</v>
      </c>
      <c r="V34" s="715">
        <v>14.7605</v>
      </c>
      <c r="W34" s="783">
        <v>14.7605</v>
      </c>
      <c r="X34" s="782">
        <v>6.2556000000000003</v>
      </c>
      <c r="Y34" s="715">
        <v>6.8262</v>
      </c>
      <c r="Z34" s="715">
        <v>7.1045999999999996</v>
      </c>
      <c r="AA34" s="715">
        <v>7.1045999999999996</v>
      </c>
      <c r="AB34" s="715">
        <v>7.1045999999999996</v>
      </c>
      <c r="AC34" s="783">
        <v>7.1045999999999996</v>
      </c>
      <c r="AD34" s="715">
        <v>6.6944999999999997</v>
      </c>
      <c r="AE34" s="715">
        <v>7.0848000000000004</v>
      </c>
      <c r="AF34" s="715">
        <v>7.1045999999999996</v>
      </c>
      <c r="AG34" s="715">
        <v>7.1045999999999996</v>
      </c>
      <c r="AH34" s="715">
        <v>7.1045999999999996</v>
      </c>
      <c r="AI34" s="783">
        <v>7.1045999999999996</v>
      </c>
      <c r="AJ34" s="12"/>
      <c r="AK34" s="291" t="str">
        <f t="shared" si="19"/>
        <v>3Q10</v>
      </c>
      <c r="AL34" s="782">
        <f t="shared" si="20"/>
        <v>12.963900000000001</v>
      </c>
      <c r="AM34" s="715">
        <v>14.261378413524101</v>
      </c>
      <c r="AN34" s="715">
        <v>10.9403486187251</v>
      </c>
      <c r="AO34" s="715">
        <v>13.6310164596243</v>
      </c>
      <c r="AP34" s="715">
        <v>12.3939393939394</v>
      </c>
      <c r="AQ34" s="783">
        <v>15.036496350365001</v>
      </c>
      <c r="AR34" s="782">
        <f t="shared" si="21"/>
        <v>14.298999999999999</v>
      </c>
      <c r="AS34" s="715">
        <v>14.1894164833743</v>
      </c>
      <c r="AT34" s="715">
        <v>10.695335942745899</v>
      </c>
      <c r="AU34" s="715">
        <v>13.370814592703599</v>
      </c>
      <c r="AV34" s="715">
        <v>12.027446495670601</v>
      </c>
      <c r="AW34" s="783">
        <v>11.256830601092901</v>
      </c>
      <c r="AX34" s="782">
        <f t="shared" si="22"/>
        <v>6.2556000000000003</v>
      </c>
      <c r="AY34" s="715">
        <v>7.6372275872717301</v>
      </c>
      <c r="AZ34" s="715">
        <v>6.5458498682912998</v>
      </c>
      <c r="BA34" s="715">
        <v>7.3848867350655203</v>
      </c>
      <c r="BB34" s="715">
        <v>7.1509670229311304</v>
      </c>
      <c r="BC34" s="783">
        <v>7.9486586605674301</v>
      </c>
      <c r="BD34" s="782">
        <f t="shared" si="31"/>
        <v>6.6944999999999997</v>
      </c>
      <c r="BE34" s="715">
        <v>7.6570957770654102</v>
      </c>
      <c r="BF34" s="715">
        <v>6.3138780932891798</v>
      </c>
      <c r="BG34" s="715">
        <v>7.2927815151931403</v>
      </c>
      <c r="BH34" s="715">
        <v>7.0444458265683103</v>
      </c>
      <c r="BI34" s="783">
        <v>7.0598133029599301</v>
      </c>
      <c r="BJ34" s="12"/>
      <c r="BK34" s="291" t="str">
        <f t="shared" si="23"/>
        <v>3Q10</v>
      </c>
      <c r="BL34" s="782">
        <f t="shared" si="24"/>
        <v>12.963900000000001</v>
      </c>
      <c r="BM34" s="715">
        <v>9.8026315789473699</v>
      </c>
      <c r="BN34" s="715">
        <v>10.248447204968899</v>
      </c>
      <c r="BO34" s="715">
        <v>11.5079392957746</v>
      </c>
      <c r="BP34" s="715">
        <v>8.5249356153283404</v>
      </c>
      <c r="BQ34" s="783">
        <v>12.157894736842101</v>
      </c>
      <c r="BR34" s="782">
        <f t="shared" si="25"/>
        <v>14.298999999999999</v>
      </c>
      <c r="BS34" s="715">
        <v>9.8010195691498101</v>
      </c>
      <c r="BT34" s="715">
        <v>10.116492949111</v>
      </c>
      <c r="BU34" s="715">
        <v>12.1166142857143</v>
      </c>
      <c r="BV34" s="715">
        <v>10.344064135754101</v>
      </c>
      <c r="BW34" s="783">
        <v>12.140691328077599</v>
      </c>
      <c r="BX34" s="782">
        <f t="shared" si="26"/>
        <v>6.2556000000000003</v>
      </c>
      <c r="BY34" s="715">
        <v>5.8776212254061004</v>
      </c>
      <c r="BZ34" s="715">
        <v>4.7637249584869297</v>
      </c>
      <c r="CA34" s="715">
        <v>7.5992368752733803</v>
      </c>
      <c r="CB34" s="715">
        <v>8.4334234393285996</v>
      </c>
      <c r="CC34" s="783">
        <v>7.3784026641296796</v>
      </c>
      <c r="CD34" s="782">
        <f t="shared" si="32"/>
        <v>6.6944999999999997</v>
      </c>
      <c r="CE34" s="715">
        <v>6.2248776929543297</v>
      </c>
      <c r="CF34" s="715">
        <v>5.71660154479643</v>
      </c>
      <c r="CG34" s="715">
        <v>7.0680212994009501</v>
      </c>
      <c r="CH34" s="715">
        <v>7.0010617618764801</v>
      </c>
      <c r="CI34" s="783">
        <v>7.1465915282238601</v>
      </c>
    </row>
    <row r="35" spans="1:87" ht="14.25" customHeight="1">
      <c r="A35" s="12"/>
      <c r="B35" s="12"/>
      <c r="C35" s="781" t="s">
        <v>916</v>
      </c>
      <c r="D35" s="781"/>
      <c r="E35" s="781"/>
      <c r="F35" s="781"/>
      <c r="G35" s="781"/>
      <c r="H35" s="781"/>
      <c r="I35" s="69">
        <f>IF(I34=4,1,I34+1)</f>
        <v>4</v>
      </c>
      <c r="J35" s="5">
        <f t="shared" si="27"/>
        <v>2010</v>
      </c>
      <c r="K35" s="291" t="str">
        <f t="shared" si="18"/>
        <v>4Q10</v>
      </c>
      <c r="L35" s="782">
        <v>12.2483</v>
      </c>
      <c r="M35" s="715">
        <v>13.154400000000001</v>
      </c>
      <c r="N35" s="715">
        <v>11.6289</v>
      </c>
      <c r="O35" s="715">
        <v>11.6289</v>
      </c>
      <c r="P35" s="715">
        <v>11.6289</v>
      </c>
      <c r="Q35" s="783">
        <v>11.6289</v>
      </c>
      <c r="R35" s="782">
        <v>16.575800000000001</v>
      </c>
      <c r="S35" s="715">
        <v>18.0122</v>
      </c>
      <c r="T35" s="715">
        <v>13.3141</v>
      </c>
      <c r="U35" s="715">
        <v>13.3141</v>
      </c>
      <c r="V35" s="715">
        <v>13.3141</v>
      </c>
      <c r="W35" s="783">
        <v>13.3141</v>
      </c>
      <c r="X35" s="782">
        <v>5.9080000000000004</v>
      </c>
      <c r="Y35" s="715">
        <v>8.1222999999999992</v>
      </c>
      <c r="Z35" s="715">
        <v>6.8262</v>
      </c>
      <c r="AA35" s="715">
        <v>6.8262</v>
      </c>
      <c r="AB35" s="715">
        <v>6.8262</v>
      </c>
      <c r="AC35" s="783">
        <v>6.8262</v>
      </c>
      <c r="AD35" s="715">
        <v>7.0317999999999996</v>
      </c>
      <c r="AE35" s="715">
        <v>8.6896000000000004</v>
      </c>
      <c r="AF35" s="715">
        <v>6.8262</v>
      </c>
      <c r="AG35" s="715">
        <v>6.8262</v>
      </c>
      <c r="AH35" s="715">
        <v>6.8262</v>
      </c>
      <c r="AI35" s="783">
        <v>6.8262</v>
      </c>
      <c r="AJ35" s="12"/>
      <c r="AK35" s="291" t="str">
        <f t="shared" si="19"/>
        <v>4Q10</v>
      </c>
      <c r="AL35" s="782">
        <f t="shared" si="20"/>
        <v>12.2483</v>
      </c>
      <c r="AM35" s="715">
        <v>10.821106821106801</v>
      </c>
      <c r="AN35" s="715">
        <v>21.943766174006399</v>
      </c>
      <c r="AO35" s="715">
        <v>12.462136250410801</v>
      </c>
      <c r="AP35" s="715">
        <v>9.3794788273615595</v>
      </c>
      <c r="AQ35" s="783">
        <v>7.5957661290322598</v>
      </c>
      <c r="AR35" s="782">
        <f t="shared" si="21"/>
        <v>16.575800000000001</v>
      </c>
      <c r="AS35" s="715">
        <v>10.888370888370901</v>
      </c>
      <c r="AT35" s="715">
        <v>7.8545352971933902</v>
      </c>
      <c r="AU35" s="715">
        <v>12.649318463444899</v>
      </c>
      <c r="AV35" s="715">
        <v>9.3263157894736892</v>
      </c>
      <c r="AW35" s="783">
        <v>10.0199468085106</v>
      </c>
      <c r="AX35" s="782">
        <f t="shared" si="22"/>
        <v>5.9080000000000004</v>
      </c>
      <c r="AY35" s="715">
        <v>5.9001176074741704</v>
      </c>
      <c r="AZ35" s="715">
        <v>4.8244746482124299</v>
      </c>
      <c r="BA35" s="715">
        <v>7.1418511387700798</v>
      </c>
      <c r="BB35" s="715">
        <v>6.0620385752608099</v>
      </c>
      <c r="BC35" s="783">
        <v>5.5076043417287401</v>
      </c>
      <c r="BD35" s="782">
        <f t="shared" si="31"/>
        <v>7.0317999999999996</v>
      </c>
      <c r="BE35" s="715">
        <v>6.0308784768044896</v>
      </c>
      <c r="BF35" s="715">
        <v>4.6250477373843601</v>
      </c>
      <c r="BG35" s="715">
        <v>6.2991772819748997</v>
      </c>
      <c r="BH35" s="715">
        <v>5.5383386735474103</v>
      </c>
      <c r="BI35" s="783">
        <v>5.7051235878715501</v>
      </c>
      <c r="BJ35" s="12"/>
      <c r="BK35" s="291" t="str">
        <f t="shared" si="23"/>
        <v>4Q10</v>
      </c>
      <c r="BL35" s="782">
        <f t="shared" si="24"/>
        <v>12.2483</v>
      </c>
      <c r="BM35" s="715">
        <v>7.8922261484098897</v>
      </c>
      <c r="BN35" s="715">
        <v>8.01673640167364</v>
      </c>
      <c r="BO35" s="715">
        <v>7.9857808615384602</v>
      </c>
      <c r="BP35" s="715">
        <v>6.7069184559980197</v>
      </c>
      <c r="BQ35" s="783">
        <v>10.784708249496999</v>
      </c>
      <c r="BR35" s="782">
        <f t="shared" si="25"/>
        <v>16.575800000000001</v>
      </c>
      <c r="BS35" s="715">
        <v>7.5711864406779696</v>
      </c>
      <c r="BT35" s="715">
        <v>8.4760008847600101</v>
      </c>
      <c r="BU35" s="715">
        <v>8.1487559811617007</v>
      </c>
      <c r="BV35" s="715">
        <v>8.3122978736571191</v>
      </c>
      <c r="BW35" s="783">
        <v>10.938775510204101</v>
      </c>
      <c r="BX35" s="782">
        <f t="shared" si="26"/>
        <v>5.9080000000000004</v>
      </c>
      <c r="BY35" s="715">
        <v>4.3028111906212603</v>
      </c>
      <c r="BZ35" s="715">
        <v>3.8414409926750501</v>
      </c>
      <c r="CA35" s="715">
        <v>5.6458130639778403</v>
      </c>
      <c r="CB35" s="715">
        <v>6.8037030262034701</v>
      </c>
      <c r="CC35" s="783">
        <v>6.6247506250611297</v>
      </c>
      <c r="CD35" s="782">
        <f t="shared" si="32"/>
        <v>7.0317999999999996</v>
      </c>
      <c r="CE35" s="715">
        <v>6.1701368280511204</v>
      </c>
      <c r="CF35" s="715">
        <v>4.7910434837116904</v>
      </c>
      <c r="CG35" s="715">
        <v>4.54697852739125</v>
      </c>
      <c r="CH35" s="715">
        <v>6.34376169566361</v>
      </c>
      <c r="CI35" s="783">
        <v>6.7602426331227097</v>
      </c>
    </row>
    <row r="36" spans="1:87" ht="14.25" customHeight="1">
      <c r="A36" s="12"/>
      <c r="B36" s="12"/>
      <c r="C36" s="69"/>
      <c r="D36" s="12"/>
      <c r="E36" s="69" t="s">
        <v>910</v>
      </c>
      <c r="F36" s="69" t="s">
        <v>911</v>
      </c>
      <c r="G36" s="69" t="s">
        <v>912</v>
      </c>
      <c r="H36" s="69" t="s">
        <v>913</v>
      </c>
      <c r="I36" s="69">
        <f>I32</f>
        <v>1</v>
      </c>
      <c r="J36" s="5">
        <f t="shared" si="27"/>
        <v>2011</v>
      </c>
      <c r="K36" s="291" t="str">
        <f t="shared" si="18"/>
        <v>1Q11</v>
      </c>
      <c r="L36" s="782">
        <v>13.8423</v>
      </c>
      <c r="M36" s="715">
        <v>13.725199999999999</v>
      </c>
      <c r="N36" s="715">
        <v>13.154400000000001</v>
      </c>
      <c r="O36" s="715">
        <v>13.154400000000001</v>
      </c>
      <c r="P36" s="715">
        <v>13.154400000000001</v>
      </c>
      <c r="Q36" s="783">
        <v>13.154400000000001</v>
      </c>
      <c r="R36" s="782">
        <v>15.7677</v>
      </c>
      <c r="S36" s="715">
        <v>16.512899999999998</v>
      </c>
      <c r="T36" s="715">
        <v>18.0122</v>
      </c>
      <c r="U36" s="715">
        <v>18.0122</v>
      </c>
      <c r="V36" s="715">
        <v>18.0122</v>
      </c>
      <c r="W36" s="783">
        <v>18.0122</v>
      </c>
      <c r="X36" s="782">
        <v>6.181</v>
      </c>
      <c r="Y36" s="715">
        <v>7.6196000000000002</v>
      </c>
      <c r="Z36" s="715">
        <v>8.1222999999999992</v>
      </c>
      <c r="AA36" s="715">
        <v>8.1222999999999992</v>
      </c>
      <c r="AB36" s="715">
        <v>8.1222999999999992</v>
      </c>
      <c r="AC36" s="783">
        <v>8.1222999999999992</v>
      </c>
      <c r="AD36" s="715">
        <v>6.7382</v>
      </c>
      <c r="AE36" s="715">
        <v>8.0188000000000006</v>
      </c>
      <c r="AF36" s="715">
        <v>8.1222999999999992</v>
      </c>
      <c r="AG36" s="715">
        <v>8.1222999999999992</v>
      </c>
      <c r="AH36" s="715">
        <v>8.1222999999999992</v>
      </c>
      <c r="AI36" s="783">
        <v>8.1222999999999992</v>
      </c>
      <c r="AJ36" s="12"/>
      <c r="AK36" s="291" t="str">
        <f t="shared" si="19"/>
        <v>1Q11</v>
      </c>
      <c r="AL36" s="782">
        <f t="shared" si="20"/>
        <v>13.8423</v>
      </c>
      <c r="AM36" s="715">
        <v>8.9417098445595808</v>
      </c>
      <c r="AN36" s="715">
        <v>18.143557999999999</v>
      </c>
      <c r="AO36" s="715">
        <v>9.1487933530985508</v>
      </c>
      <c r="AP36" s="715">
        <v>6.7736156351791497</v>
      </c>
      <c r="AQ36" s="783">
        <v>6.7439516129032304</v>
      </c>
      <c r="AR36" s="782">
        <f t="shared" si="21"/>
        <v>15.7677</v>
      </c>
      <c r="AS36" s="715">
        <v>9.4007898679014001</v>
      </c>
      <c r="AT36" s="715">
        <v>8.1660980932343197</v>
      </c>
      <c r="AU36" s="715">
        <v>8.4194594594594605</v>
      </c>
      <c r="AV36" s="715">
        <v>6.8281070431784601</v>
      </c>
      <c r="AW36" s="783">
        <v>8.0602409638554207</v>
      </c>
      <c r="AX36" s="782">
        <f t="shared" si="22"/>
        <v>6.181</v>
      </c>
      <c r="AY36" s="715">
        <v>4.89790121018937</v>
      </c>
      <c r="AZ36" s="715">
        <v>4.6220094696752696</v>
      </c>
      <c r="BA36" s="715">
        <v>5.0712418496191098</v>
      </c>
      <c r="BB36" s="715">
        <v>4.5023367141351498</v>
      </c>
      <c r="BC36" s="783">
        <v>4.9020437638256702</v>
      </c>
      <c r="BD36" s="782">
        <f t="shared" si="31"/>
        <v>6.7382</v>
      </c>
      <c r="BE36" s="715">
        <v>5.2630583207003001</v>
      </c>
      <c r="BF36" s="715">
        <v>4.9107333603227996</v>
      </c>
      <c r="BG36" s="715">
        <v>4.7682387463580902</v>
      </c>
      <c r="BH36" s="715">
        <v>4.5585638192333002</v>
      </c>
      <c r="BI36" s="783">
        <v>4.8074347810977001</v>
      </c>
      <c r="BJ36" s="12"/>
      <c r="BK36" s="291" t="str">
        <f t="shared" si="23"/>
        <v>1Q11</v>
      </c>
      <c r="BL36" s="782">
        <f t="shared" si="24"/>
        <v>13.8423</v>
      </c>
      <c r="BM36" s="715">
        <v>6.0626101097709704</v>
      </c>
      <c r="BN36" s="715">
        <v>7.2985455977024802</v>
      </c>
      <c r="BO36" s="715">
        <v>5.5174202748305898</v>
      </c>
      <c r="BP36" s="715">
        <v>6.2027636565908297</v>
      </c>
      <c r="BQ36" s="783">
        <v>8.9672401555434398</v>
      </c>
      <c r="BR36" s="782">
        <f t="shared" si="25"/>
        <v>15.7677</v>
      </c>
      <c r="BS36" s="715">
        <v>13.1576470588235</v>
      </c>
      <c r="BT36" s="715">
        <v>10.2303143479614</v>
      </c>
      <c r="BU36" s="715">
        <v>10.0395161714876</v>
      </c>
      <c r="BV36" s="715">
        <v>8.6477952048670108</v>
      </c>
      <c r="BW36" s="783">
        <v>10.3069544364508</v>
      </c>
      <c r="BX36" s="782">
        <f t="shared" si="26"/>
        <v>6.181</v>
      </c>
      <c r="BY36" s="715">
        <v>3.7364763015806002</v>
      </c>
      <c r="BZ36" s="715">
        <v>3.6600144582177201</v>
      </c>
      <c r="CA36" s="715">
        <v>4.3412557548271797</v>
      </c>
      <c r="CB36" s="715">
        <v>6.51077564649239</v>
      </c>
      <c r="CC36" s="783">
        <v>5.7618767786199703</v>
      </c>
      <c r="CD36" s="782">
        <f t="shared" si="32"/>
        <v>6.7382</v>
      </c>
      <c r="CE36" s="715">
        <v>6.6302230892667504</v>
      </c>
      <c r="CF36" s="715">
        <v>5.8500031480394803</v>
      </c>
      <c r="CG36" s="715">
        <v>4.7291923488465599</v>
      </c>
      <c r="CH36" s="715">
        <v>5.9041605578646799</v>
      </c>
      <c r="CI36" s="783">
        <v>6.2719469757294801</v>
      </c>
    </row>
    <row r="37" spans="1:87" ht="14.25" customHeight="1">
      <c r="A37" s="12"/>
      <c r="B37" s="12"/>
      <c r="C37" s="12" t="s">
        <v>917</v>
      </c>
      <c r="D37" s="12"/>
      <c r="E37" s="662">
        <f>AVERAGE(M8:Q75)</f>
        <v>19.217938235294149</v>
      </c>
      <c r="F37" s="662">
        <f>AVERAGE(S8:W75)</f>
        <v>18.137459117647047</v>
      </c>
      <c r="G37" s="662">
        <f>AVERAGE(Y8:AC75)</f>
        <v>10.293522941176485</v>
      </c>
      <c r="H37" s="662">
        <f>AVERAGE(AE8:AI75)</f>
        <v>10.249110670731723</v>
      </c>
      <c r="I37" s="69">
        <f>IF(I36=4,1,I36+1)</f>
        <v>2</v>
      </c>
      <c r="J37" s="5">
        <f t="shared" si="27"/>
        <v>2011</v>
      </c>
      <c r="K37" s="291" t="str">
        <f t="shared" si="18"/>
        <v>2Q11</v>
      </c>
      <c r="L37" s="782">
        <v>16.051100000000002</v>
      </c>
      <c r="M37" s="715">
        <v>15.9513</v>
      </c>
      <c r="N37" s="715">
        <v>13.725199999999999</v>
      </c>
      <c r="O37" s="715">
        <v>13.725199999999999</v>
      </c>
      <c r="P37" s="715">
        <v>13.725199999999999</v>
      </c>
      <c r="Q37" s="783">
        <v>13.725199999999999</v>
      </c>
      <c r="R37" s="782">
        <v>17.45</v>
      </c>
      <c r="S37" s="715">
        <v>17.572600000000001</v>
      </c>
      <c r="T37" s="715">
        <v>16.512899999999998</v>
      </c>
      <c r="U37" s="715">
        <v>16.512899999999998</v>
      </c>
      <c r="V37" s="715">
        <v>16.512899999999998</v>
      </c>
      <c r="W37" s="783">
        <v>16.512899999999998</v>
      </c>
      <c r="X37" s="782">
        <v>6.8693999999999997</v>
      </c>
      <c r="Y37" s="715">
        <v>8.5838999999999999</v>
      </c>
      <c r="Z37" s="715">
        <v>7.6196000000000002</v>
      </c>
      <c r="AA37" s="715">
        <v>7.6196000000000002</v>
      </c>
      <c r="AB37" s="715">
        <v>7.6196000000000002</v>
      </c>
      <c r="AC37" s="783">
        <v>7.6196000000000002</v>
      </c>
      <c r="AD37" s="715">
        <v>7.1571999999999996</v>
      </c>
      <c r="AE37" s="715">
        <v>8.4114000000000004</v>
      </c>
      <c r="AF37" s="715">
        <v>7.6196000000000002</v>
      </c>
      <c r="AG37" s="715">
        <v>7.6196000000000002</v>
      </c>
      <c r="AH37" s="715">
        <v>7.6196000000000002</v>
      </c>
      <c r="AI37" s="783">
        <v>7.6196000000000002</v>
      </c>
      <c r="AJ37" s="12"/>
      <c r="AK37" s="291" t="str">
        <f t="shared" si="19"/>
        <v>2Q11</v>
      </c>
      <c r="AL37" s="782">
        <f t="shared" si="20"/>
        <v>16.051100000000002</v>
      </c>
      <c r="AM37" s="715">
        <v>10.840053763440901</v>
      </c>
      <c r="AN37" s="715">
        <v>20.803155859437801</v>
      </c>
      <c r="AO37" s="715">
        <v>9.8846523585786095</v>
      </c>
      <c r="AP37" s="715">
        <v>8.8482428115015992</v>
      </c>
      <c r="AQ37" s="783">
        <v>10.990259740259701</v>
      </c>
      <c r="AR37" s="782">
        <f t="shared" si="21"/>
        <v>17.45</v>
      </c>
      <c r="AS37" s="715">
        <v>10.8810037776579</v>
      </c>
      <c r="AT37" s="715">
        <v>8.3497655595406002</v>
      </c>
      <c r="AU37" s="715">
        <v>9.4171259008054307</v>
      </c>
      <c r="AV37" s="715">
        <v>9.0182351025724508</v>
      </c>
      <c r="AW37" s="783">
        <v>8.0595238095238102</v>
      </c>
      <c r="AX37" s="782">
        <f t="shared" si="22"/>
        <v>6.8693999999999997</v>
      </c>
      <c r="AY37" s="715">
        <v>5.8216725255459796</v>
      </c>
      <c r="AZ37" s="715">
        <v>5.0410018022602303</v>
      </c>
      <c r="BA37" s="715">
        <v>5.5182590928874404</v>
      </c>
      <c r="BB37" s="715">
        <v>5.7599053387207402</v>
      </c>
      <c r="BC37" s="783">
        <v>4.6355079714971703</v>
      </c>
      <c r="BD37" s="782">
        <f t="shared" si="31"/>
        <v>7.1571999999999996</v>
      </c>
      <c r="BE37" s="715">
        <v>5.95575380710775</v>
      </c>
      <c r="BF37" s="715">
        <v>5.05876329563125</v>
      </c>
      <c r="BG37" s="715">
        <v>5.2819857287730603</v>
      </c>
      <c r="BH37" s="715">
        <v>5.8642999770834097</v>
      </c>
      <c r="BI37" s="783">
        <v>4.7163862717252103</v>
      </c>
      <c r="BJ37" s="12"/>
      <c r="BK37" s="291" t="str">
        <f t="shared" si="23"/>
        <v>2Q11</v>
      </c>
      <c r="BL37" s="782">
        <f t="shared" si="24"/>
        <v>16.051100000000002</v>
      </c>
      <c r="BM37" s="715">
        <v>9.1985383678440904</v>
      </c>
      <c r="BN37" s="715">
        <v>10.313305041231301</v>
      </c>
      <c r="BO37" s="715">
        <v>7.8212262850747898</v>
      </c>
      <c r="BP37" s="715">
        <v>7.6864943676242303</v>
      </c>
      <c r="BQ37" s="783">
        <v>11.229670535816901</v>
      </c>
      <c r="BR37" s="782">
        <f t="shared" si="25"/>
        <v>17.45</v>
      </c>
      <c r="BS37" s="715">
        <v>28.263473053892199</v>
      </c>
      <c r="BT37" s="715">
        <v>15.703616352201299</v>
      </c>
      <c r="BU37" s="715">
        <v>11.495782048979599</v>
      </c>
      <c r="BV37" s="715">
        <v>10.4776994462381</v>
      </c>
      <c r="BW37" s="783">
        <v>12.747791952895</v>
      </c>
      <c r="BX37" s="782">
        <f t="shared" si="26"/>
        <v>6.8693999999999997</v>
      </c>
      <c r="BY37" s="715">
        <v>4.9804834814134002</v>
      </c>
      <c r="BZ37" s="715">
        <v>3.5883926004314399</v>
      </c>
      <c r="CA37" s="715">
        <v>5.6751991982419199</v>
      </c>
      <c r="CB37" s="715">
        <v>7.5850988474402401</v>
      </c>
      <c r="CC37" s="783">
        <v>7.0756691074846696</v>
      </c>
      <c r="CD37" s="782">
        <f t="shared" si="32"/>
        <v>7.1571999999999996</v>
      </c>
      <c r="CE37" s="715">
        <v>9.8956170837326596</v>
      </c>
      <c r="CF37" s="715">
        <v>6.0908894516113801</v>
      </c>
      <c r="CG37" s="715">
        <v>6.6627964264094199</v>
      </c>
      <c r="CH37" s="715">
        <v>6.7608583949673697</v>
      </c>
      <c r="CI37" s="783">
        <v>7.4642295095456399</v>
      </c>
    </row>
    <row r="38" spans="1:87" ht="14.25" customHeight="1">
      <c r="A38" s="12"/>
      <c r="B38" s="12"/>
      <c r="C38" s="12" t="s">
        <v>918</v>
      </c>
      <c r="D38" s="12"/>
      <c r="E38" s="662">
        <f t="shared" ref="E38:H38" si="33">AVERAGE(E42,E46)</f>
        <v>19.162175625</v>
      </c>
      <c r="F38" s="662">
        <f t="shared" si="33"/>
        <v>18.071488541666675</v>
      </c>
      <c r="G38" s="662">
        <f t="shared" si="33"/>
        <v>9.8645666666666649</v>
      </c>
      <c r="H38" s="662">
        <f t="shared" si="33"/>
        <v>9.9152804166666666</v>
      </c>
      <c r="I38" s="69">
        <f>IF(I37+1=5,1,I37+1)</f>
        <v>3</v>
      </c>
      <c r="J38" s="5">
        <f t="shared" si="27"/>
        <v>2011</v>
      </c>
      <c r="K38" s="291" t="str">
        <f t="shared" si="18"/>
        <v>3Q11</v>
      </c>
      <c r="L38" s="782">
        <v>18.919799999999999</v>
      </c>
      <c r="M38" s="715">
        <v>17.713799999999999</v>
      </c>
      <c r="N38" s="715">
        <v>15.9513</v>
      </c>
      <c r="O38" s="715">
        <v>15.9513</v>
      </c>
      <c r="P38" s="715">
        <v>15.9513</v>
      </c>
      <c r="Q38" s="783">
        <v>15.9513</v>
      </c>
      <c r="R38" s="782">
        <v>19.251000000000001</v>
      </c>
      <c r="S38" s="715">
        <v>18.592500000000001</v>
      </c>
      <c r="T38" s="715">
        <v>17.572600000000001</v>
      </c>
      <c r="U38" s="715">
        <v>17.572600000000001</v>
      </c>
      <c r="V38" s="715">
        <v>17.572600000000001</v>
      </c>
      <c r="W38" s="783">
        <v>17.572600000000001</v>
      </c>
      <c r="X38" s="782">
        <v>7.8837999999999999</v>
      </c>
      <c r="Y38" s="715">
        <v>9.2119</v>
      </c>
      <c r="Z38" s="715">
        <v>8.5838999999999999</v>
      </c>
      <c r="AA38" s="715">
        <v>8.5838999999999999</v>
      </c>
      <c r="AB38" s="715">
        <v>8.5838999999999999</v>
      </c>
      <c r="AC38" s="783">
        <v>8.5838999999999999</v>
      </c>
      <c r="AD38" s="715">
        <v>7.8449999999999998</v>
      </c>
      <c r="AE38" s="715">
        <v>8.7140000000000004</v>
      </c>
      <c r="AF38" s="715">
        <v>8.5838999999999999</v>
      </c>
      <c r="AG38" s="715">
        <v>8.5838999999999999</v>
      </c>
      <c r="AH38" s="715">
        <v>8.5838999999999999</v>
      </c>
      <c r="AI38" s="783">
        <v>8.5838999999999999</v>
      </c>
      <c r="AJ38" s="12"/>
      <c r="AK38" s="291" t="str">
        <f t="shared" si="19"/>
        <v>3Q11</v>
      </c>
      <c r="AL38" s="782">
        <f t="shared" si="20"/>
        <v>18.919799999999999</v>
      </c>
      <c r="AM38" s="715">
        <v>10.5377576439906</v>
      </c>
      <c r="AN38" s="715">
        <v>27.485185757091099</v>
      </c>
      <c r="AO38" s="715">
        <v>10.208031467209301</v>
      </c>
      <c r="AP38" s="715">
        <v>10.157232704402499</v>
      </c>
      <c r="AQ38" s="783">
        <v>11.3376623376623</v>
      </c>
      <c r="AR38" s="782">
        <f t="shared" si="21"/>
        <v>19.251000000000001</v>
      </c>
      <c r="AS38" s="715">
        <v>10.5899905058999</v>
      </c>
      <c r="AT38" s="715">
        <v>9.6339947311717609</v>
      </c>
      <c r="AU38" s="715">
        <v>10.025078369906</v>
      </c>
      <c r="AV38" s="715">
        <v>10.4683195592286</v>
      </c>
      <c r="AW38" s="783">
        <v>8.6435643564356397</v>
      </c>
      <c r="AX38" s="782">
        <f t="shared" si="22"/>
        <v>7.8837999999999999</v>
      </c>
      <c r="AY38" s="715">
        <v>5.7508682577648402</v>
      </c>
      <c r="AZ38" s="715">
        <v>5.76379770975627</v>
      </c>
      <c r="BA38" s="715">
        <v>5.6724476995598803</v>
      </c>
      <c r="BB38" s="715">
        <v>6.4189544620072398</v>
      </c>
      <c r="BC38" s="783">
        <v>4.7829807728203297</v>
      </c>
      <c r="BD38" s="782">
        <f t="shared" si="31"/>
        <v>7.8449999999999998</v>
      </c>
      <c r="BE38" s="715">
        <v>5.8262682911125703</v>
      </c>
      <c r="BF38" s="715">
        <v>5.6401633037324803</v>
      </c>
      <c r="BG38" s="715">
        <v>5.50800076174861</v>
      </c>
      <c r="BH38" s="715">
        <v>6.5464021191348198</v>
      </c>
      <c r="BI38" s="783">
        <v>4.9052510063836898</v>
      </c>
      <c r="BJ38" s="12"/>
      <c r="BK38" s="291" t="str">
        <f t="shared" si="23"/>
        <v>3Q11</v>
      </c>
      <c r="BL38" s="782">
        <f t="shared" si="24"/>
        <v>18.919799999999999</v>
      </c>
      <c r="BM38" s="715">
        <v>19.4664826079701</v>
      </c>
      <c r="BN38" s="715">
        <v>12.1118500568766</v>
      </c>
      <c r="BO38" s="715">
        <v>12.9341481944021</v>
      </c>
      <c r="BP38" s="715">
        <v>10.699183871992799</v>
      </c>
      <c r="BQ38" s="783">
        <v>13.654121144525901</v>
      </c>
      <c r="BR38" s="782">
        <f t="shared" si="25"/>
        <v>19.251000000000001</v>
      </c>
      <c r="BS38" s="715">
        <v>35.278350515463899</v>
      </c>
      <c r="BT38" s="715">
        <v>16.3007975693126</v>
      </c>
      <c r="BU38" s="715">
        <v>16.171872938524601</v>
      </c>
      <c r="BV38" s="715">
        <v>12.6626890556961</v>
      </c>
      <c r="BW38" s="783">
        <v>14.919196865817799</v>
      </c>
      <c r="BX38" s="782">
        <f t="shared" si="26"/>
        <v>7.8837999999999999</v>
      </c>
      <c r="BY38" s="715">
        <v>8.4288551189087499</v>
      </c>
      <c r="BZ38" s="715">
        <v>4.1188114203648203</v>
      </c>
      <c r="CA38" s="715">
        <v>8.4896052720448996</v>
      </c>
      <c r="CB38" s="715">
        <v>7.8981250506955503</v>
      </c>
      <c r="CC38" s="783">
        <v>8.3129248743540494</v>
      </c>
      <c r="CD38" s="782">
        <f t="shared" si="32"/>
        <v>7.8449999999999998</v>
      </c>
      <c r="CE38" s="715">
        <v>13.471739507090801</v>
      </c>
      <c r="CF38" s="715">
        <v>8.5242433393943298</v>
      </c>
      <c r="CG38" s="715">
        <v>6.8403757436109496</v>
      </c>
      <c r="CH38" s="715">
        <v>7.6219259128077796</v>
      </c>
      <c r="CI38" s="783">
        <v>8.4732372972831502</v>
      </c>
    </row>
    <row r="39" spans="1:87" ht="14.25" customHeight="1">
      <c r="A39" s="12"/>
      <c r="B39" s="12"/>
      <c r="C39" s="12" t="s">
        <v>919</v>
      </c>
      <c r="D39" s="12"/>
      <c r="E39" s="662">
        <f t="shared" ref="E39:H39" si="34">AVERAGE(E43,E47)</f>
        <v>19.356717916666661</v>
      </c>
      <c r="F39" s="662">
        <f t="shared" si="34"/>
        <v>18.003372291666651</v>
      </c>
      <c r="G39" s="662">
        <f t="shared" si="34"/>
        <v>10.236756666666668</v>
      </c>
      <c r="H39" s="662">
        <f t="shared" si="34"/>
        <v>10.106916607142859</v>
      </c>
      <c r="I39" s="69">
        <f>IF(I38=4,1,I38+1)</f>
        <v>4</v>
      </c>
      <c r="J39" s="5">
        <f t="shared" si="27"/>
        <v>2011</v>
      </c>
      <c r="K39" s="291" t="str">
        <f t="shared" si="18"/>
        <v>4Q11</v>
      </c>
      <c r="L39" s="782">
        <v>18.909800000000001</v>
      </c>
      <c r="M39" s="715">
        <v>19.474599999999999</v>
      </c>
      <c r="N39" s="715">
        <v>17.713799999999999</v>
      </c>
      <c r="O39" s="715">
        <v>17.713799999999999</v>
      </c>
      <c r="P39" s="715">
        <v>17.713799999999999</v>
      </c>
      <c r="Q39" s="783">
        <v>17.713799999999999</v>
      </c>
      <c r="R39" s="782">
        <v>17.203700000000001</v>
      </c>
      <c r="S39" s="715">
        <v>17.677600000000002</v>
      </c>
      <c r="T39" s="715">
        <v>18.592500000000001</v>
      </c>
      <c r="U39" s="715">
        <v>18.592500000000001</v>
      </c>
      <c r="V39" s="715">
        <v>18.592500000000001</v>
      </c>
      <c r="W39" s="783">
        <v>18.592500000000001</v>
      </c>
      <c r="X39" s="782">
        <v>8.0501000000000005</v>
      </c>
      <c r="Y39" s="715">
        <v>9.5376999999999992</v>
      </c>
      <c r="Z39" s="715">
        <v>9.2119</v>
      </c>
      <c r="AA39" s="715">
        <v>9.2119</v>
      </c>
      <c r="AB39" s="715">
        <v>9.2119</v>
      </c>
      <c r="AC39" s="783">
        <v>9.2119</v>
      </c>
      <c r="AD39" s="715">
        <v>7.4794</v>
      </c>
      <c r="AE39" s="715">
        <v>8.7836999999999996</v>
      </c>
      <c r="AF39" s="715">
        <v>9.2119</v>
      </c>
      <c r="AG39" s="715">
        <v>9.2119</v>
      </c>
      <c r="AH39" s="715">
        <v>9.2119</v>
      </c>
      <c r="AI39" s="783">
        <v>9.2119</v>
      </c>
      <c r="AJ39" s="12"/>
      <c r="AK39" s="291" t="str">
        <f t="shared" si="19"/>
        <v>4Q11</v>
      </c>
      <c r="AL39" s="782">
        <f t="shared" si="20"/>
        <v>18.909800000000001</v>
      </c>
      <c r="AM39" s="715">
        <v>10.119718893414399</v>
      </c>
      <c r="AN39" s="715">
        <v>11.797038536396499</v>
      </c>
      <c r="AO39" s="715">
        <v>10.580704467082199</v>
      </c>
      <c r="AP39" s="715">
        <v>10.977455716586199</v>
      </c>
      <c r="AQ39" s="783">
        <v>11.6558441558442</v>
      </c>
      <c r="AR39" s="782">
        <f t="shared" si="21"/>
        <v>17.203700000000001</v>
      </c>
      <c r="AS39" s="715">
        <v>9.9327708937516501</v>
      </c>
      <c r="AT39" s="715">
        <v>9.8056678372363102</v>
      </c>
      <c r="AU39" s="715">
        <v>10.6732960430909</v>
      </c>
      <c r="AV39" s="715">
        <v>11.0147035062207</v>
      </c>
      <c r="AW39" s="783">
        <v>8.8985148514851495</v>
      </c>
      <c r="AX39" s="782">
        <f t="shared" si="22"/>
        <v>8.0501000000000005</v>
      </c>
      <c r="AY39" s="715">
        <v>5.9145401930723596</v>
      </c>
      <c r="AZ39" s="715">
        <v>6.5705290385461899</v>
      </c>
      <c r="BA39" s="715">
        <v>5.6743148608767102</v>
      </c>
      <c r="BB39" s="715">
        <v>6.5851013982366302</v>
      </c>
      <c r="BC39" s="783">
        <v>5.0304895281220503</v>
      </c>
      <c r="BD39" s="782">
        <f t="shared" si="31"/>
        <v>7.4794</v>
      </c>
      <c r="BE39" s="715">
        <v>6.0064613737831998</v>
      </c>
      <c r="BF39" s="715">
        <v>5.0301021445790601</v>
      </c>
      <c r="BG39" s="715">
        <v>5.8657258959571799</v>
      </c>
      <c r="BH39" s="715">
        <v>6.4555933883222201</v>
      </c>
      <c r="BI39" s="783">
        <v>4.6206697248657704</v>
      </c>
      <c r="BJ39" s="12"/>
      <c r="BK39" s="291" t="str">
        <f t="shared" si="23"/>
        <v>4Q11</v>
      </c>
      <c r="BL39" s="782">
        <f t="shared" si="24"/>
        <v>18.909800000000001</v>
      </c>
      <c r="BM39" s="715">
        <v>28.622427045205299</v>
      </c>
      <c r="BN39" s="715">
        <v>25.656057988667499</v>
      </c>
      <c r="BO39" s="715">
        <v>14.7276675216782</v>
      </c>
      <c r="BP39" s="715">
        <v>13.514382978831801</v>
      </c>
      <c r="BQ39" s="783">
        <v>15.4123269305155</v>
      </c>
      <c r="BR39" s="782">
        <f t="shared" si="25"/>
        <v>17.203700000000001</v>
      </c>
      <c r="BS39" s="715">
        <v>28.212871287128699</v>
      </c>
      <c r="BT39" s="715">
        <v>21.5326433121019</v>
      </c>
      <c r="BU39" s="715">
        <v>14.5874961705115</v>
      </c>
      <c r="BV39" s="715">
        <v>13.126449359233</v>
      </c>
      <c r="BW39" s="783">
        <v>16.863459669582099</v>
      </c>
      <c r="BX39" s="782">
        <f t="shared" si="26"/>
        <v>8.0501000000000005</v>
      </c>
      <c r="BY39" s="715">
        <v>14.1545619542665</v>
      </c>
      <c r="BZ39" s="715">
        <v>6.03047033443133</v>
      </c>
      <c r="CA39" s="715">
        <v>7.9655337866461302</v>
      </c>
      <c r="CB39" s="715">
        <v>9.8077547202812596</v>
      </c>
      <c r="CC39" s="783">
        <v>9.2828708723068996</v>
      </c>
      <c r="CD39" s="782">
        <f t="shared" si="32"/>
        <v>7.4794</v>
      </c>
      <c r="CE39" s="715">
        <v>9.8310099837338907</v>
      </c>
      <c r="CF39" s="715">
        <v>8.1240381305082998</v>
      </c>
      <c r="CG39" s="715">
        <v>7.31440259308921</v>
      </c>
      <c r="CH39" s="715">
        <v>8.1776714446701106</v>
      </c>
      <c r="CI39" s="783">
        <v>8.4880646744051091</v>
      </c>
    </row>
    <row r="40" spans="1:87" ht="14.25" customHeight="1">
      <c r="A40" s="12"/>
      <c r="B40" s="12"/>
      <c r="C40" s="12" t="s">
        <v>920</v>
      </c>
      <c r="D40" s="12"/>
      <c r="E40" s="662">
        <f t="shared" ref="E40:H40" si="35">AVERAGE(E44,E48)</f>
        <v>18.215712083333333</v>
      </c>
      <c r="F40" s="662">
        <f t="shared" si="35"/>
        <v>17.444910624999999</v>
      </c>
      <c r="G40" s="662">
        <f t="shared" si="35"/>
        <v>10.194504583333329</v>
      </c>
      <c r="H40" s="662">
        <f t="shared" si="35"/>
        <v>10.159341458333332</v>
      </c>
      <c r="I40" s="69">
        <f>I36</f>
        <v>1</v>
      </c>
      <c r="J40" s="5">
        <f t="shared" si="27"/>
        <v>2012</v>
      </c>
      <c r="K40" s="291" t="str">
        <f t="shared" si="18"/>
        <v>1Q12</v>
      </c>
      <c r="L40" s="782">
        <v>15.7119</v>
      </c>
      <c r="M40" s="715">
        <v>16.059100000000001</v>
      </c>
      <c r="N40" s="715">
        <v>19.474599999999999</v>
      </c>
      <c r="O40" s="715">
        <v>19.474599999999999</v>
      </c>
      <c r="P40" s="715">
        <v>19.474599999999999</v>
      </c>
      <c r="Q40" s="783">
        <v>19.474599999999999</v>
      </c>
      <c r="R40" s="782">
        <v>14.0344</v>
      </c>
      <c r="S40" s="715">
        <v>14.544</v>
      </c>
      <c r="T40" s="715">
        <v>17.677600000000002</v>
      </c>
      <c r="U40" s="715">
        <v>17.677600000000002</v>
      </c>
      <c r="V40" s="715">
        <v>17.677600000000002</v>
      </c>
      <c r="W40" s="783">
        <v>17.677600000000002</v>
      </c>
      <c r="X40" s="782">
        <v>6.5555000000000003</v>
      </c>
      <c r="Y40" s="715">
        <v>7.8657000000000004</v>
      </c>
      <c r="Z40" s="715">
        <v>9.5376999999999992</v>
      </c>
      <c r="AA40" s="715">
        <v>9.5376999999999992</v>
      </c>
      <c r="AB40" s="715">
        <v>9.5376999999999992</v>
      </c>
      <c r="AC40" s="783">
        <v>9.5376999999999992</v>
      </c>
      <c r="AD40" s="715">
        <v>5.9953000000000003</v>
      </c>
      <c r="AE40" s="715">
        <v>7.4059999999999997</v>
      </c>
      <c r="AF40" s="715">
        <v>9.5376999999999992</v>
      </c>
      <c r="AG40" s="715">
        <v>9.5376999999999992</v>
      </c>
      <c r="AH40" s="715">
        <v>9.5376999999999992</v>
      </c>
      <c r="AI40" s="783">
        <v>9.5376999999999992</v>
      </c>
      <c r="AJ40" s="12"/>
      <c r="AK40" s="291" t="str">
        <f t="shared" si="19"/>
        <v>1Q12</v>
      </c>
      <c r="AL40" s="782">
        <f t="shared" si="20"/>
        <v>15.7119</v>
      </c>
      <c r="AM40" s="715">
        <v>11.2459018741683</v>
      </c>
      <c r="AN40" s="715">
        <v>13.1752667734563</v>
      </c>
      <c r="AO40" s="715">
        <v>11.5195012733566</v>
      </c>
      <c r="AP40" s="715">
        <v>12.431561996779401</v>
      </c>
      <c r="AQ40" s="783"/>
      <c r="AR40" s="782">
        <f t="shared" si="21"/>
        <v>14.0344</v>
      </c>
      <c r="AS40" s="715">
        <v>11.137580299785901</v>
      </c>
      <c r="AT40" s="715">
        <v>10.206529667639</v>
      </c>
      <c r="AU40" s="715">
        <v>11.479099678456601</v>
      </c>
      <c r="AV40" s="715">
        <v>11.795263559969399</v>
      </c>
      <c r="AW40" s="783">
        <v>8.6348837209302296</v>
      </c>
      <c r="AX40" s="782">
        <f t="shared" si="22"/>
        <v>6.5555000000000003</v>
      </c>
      <c r="AY40" s="715">
        <v>6.3734654034019602</v>
      </c>
      <c r="AZ40" s="715">
        <v>7.7922877079153903</v>
      </c>
      <c r="BA40" s="715">
        <v>6.2338907473890304</v>
      </c>
      <c r="BB40" s="715">
        <v>7.3834675741837197</v>
      </c>
      <c r="BC40" s="783">
        <v>5.1627184780484798</v>
      </c>
      <c r="BD40" s="782">
        <f t="shared" si="31"/>
        <v>5.9953000000000003</v>
      </c>
      <c r="BE40" s="715">
        <v>6.2673500545729599</v>
      </c>
      <c r="BF40" s="715">
        <v>6.1212017796915301</v>
      </c>
      <c r="BG40" s="715">
        <v>6.4053122904091202</v>
      </c>
      <c r="BH40" s="715">
        <v>7.1946442463125901</v>
      </c>
      <c r="BI40" s="783">
        <v>4.6046051119883096</v>
      </c>
      <c r="BJ40" s="12"/>
      <c r="BK40" s="291" t="str">
        <f t="shared" si="23"/>
        <v>1Q12</v>
      </c>
      <c r="BL40" s="782">
        <f t="shared" si="24"/>
        <v>15.7119</v>
      </c>
      <c r="BM40" s="715">
        <v>30.633028985132899</v>
      </c>
      <c r="BN40" s="715">
        <v>27.9859571305592</v>
      </c>
      <c r="BO40" s="715">
        <v>18.423834165461699</v>
      </c>
      <c r="BP40" s="715">
        <v>14.990135880328401</v>
      </c>
      <c r="BQ40" s="783">
        <v>16.064833749376401</v>
      </c>
      <c r="BR40" s="782">
        <f t="shared" si="25"/>
        <v>14.0344</v>
      </c>
      <c r="BS40" s="715">
        <v>23.806818181818201</v>
      </c>
      <c r="BT40" s="715">
        <v>18.610328638497698</v>
      </c>
      <c r="BU40" s="715">
        <v>17.185437603143399</v>
      </c>
      <c r="BV40" s="715">
        <v>17.8308441541432</v>
      </c>
      <c r="BW40" s="783">
        <v>15.8335125833513</v>
      </c>
      <c r="BX40" s="782">
        <f t="shared" si="26"/>
        <v>6.5555000000000003</v>
      </c>
      <c r="BY40" s="715">
        <v>12.476167804583</v>
      </c>
      <c r="BZ40" s="715">
        <v>7.6382736898547696</v>
      </c>
      <c r="CA40" s="715">
        <v>9.4385645229277095</v>
      </c>
      <c r="CB40" s="715">
        <v>10.6734174337219</v>
      </c>
      <c r="CC40" s="783">
        <v>9.6673338901233805</v>
      </c>
      <c r="CD40" s="782">
        <f t="shared" si="32"/>
        <v>5.9953000000000003</v>
      </c>
      <c r="CE40" s="715">
        <v>10.4278073137258</v>
      </c>
      <c r="CF40" s="715">
        <v>8.8801058488865703</v>
      </c>
      <c r="CG40" s="715">
        <v>8.9840782933758003</v>
      </c>
      <c r="CH40" s="715">
        <v>9.3166420395460907</v>
      </c>
      <c r="CI40" s="783">
        <v>8.8537436509269405</v>
      </c>
    </row>
    <row r="41" spans="1:87" ht="14.25" customHeight="1">
      <c r="A41" s="12"/>
      <c r="B41" s="12"/>
      <c r="C41" s="12" t="s">
        <v>921</v>
      </c>
      <c r="D41" s="12"/>
      <c r="E41" s="662">
        <f>AVERAGE(M8:Q35)</f>
        <v>16.658422857142874</v>
      </c>
      <c r="F41" s="662">
        <f>AVERAGE(S8:W35)</f>
        <v>16.129296428571422</v>
      </c>
      <c r="G41" s="662">
        <f>AVERAGE(Y8:AC35)</f>
        <v>8.7886842857142788</v>
      </c>
      <c r="H41" s="662">
        <f>AVERAGE(AE8:AI35)</f>
        <v>8.6899140624999944</v>
      </c>
      <c r="I41" s="69">
        <f>IF(I40=4,1,I40+1)</f>
        <v>2</v>
      </c>
      <c r="J41" s="5">
        <f t="shared" si="27"/>
        <v>2012</v>
      </c>
      <c r="K41" s="291" t="str">
        <f t="shared" si="18"/>
        <v>2Q12</v>
      </c>
      <c r="L41" s="782">
        <v>16.6112</v>
      </c>
      <c r="M41" s="715">
        <v>17.575199999999999</v>
      </c>
      <c r="N41" s="715">
        <v>16.059100000000001</v>
      </c>
      <c r="O41" s="715">
        <v>16.059100000000001</v>
      </c>
      <c r="P41" s="715">
        <v>16.059100000000001</v>
      </c>
      <c r="Q41" s="783">
        <v>16.059100000000001</v>
      </c>
      <c r="R41" s="782">
        <v>15.8535</v>
      </c>
      <c r="S41" s="715">
        <v>16.586400000000001</v>
      </c>
      <c r="T41" s="715">
        <v>14.544</v>
      </c>
      <c r="U41" s="715">
        <v>14.544</v>
      </c>
      <c r="V41" s="715">
        <v>14.544</v>
      </c>
      <c r="W41" s="783">
        <v>14.544</v>
      </c>
      <c r="X41" s="782">
        <v>6.9950000000000001</v>
      </c>
      <c r="Y41" s="715">
        <v>8.4603000000000002</v>
      </c>
      <c r="Z41" s="715">
        <v>7.8657000000000004</v>
      </c>
      <c r="AA41" s="715">
        <v>7.8657000000000004</v>
      </c>
      <c r="AB41" s="715">
        <v>7.8657000000000004</v>
      </c>
      <c r="AC41" s="783">
        <v>7.8657000000000004</v>
      </c>
      <c r="AD41" s="715">
        <v>6.7062999999999997</v>
      </c>
      <c r="AE41" s="715">
        <v>8.2703000000000007</v>
      </c>
      <c r="AF41" s="715">
        <v>7.8657000000000004</v>
      </c>
      <c r="AG41" s="715">
        <v>7.8657000000000004</v>
      </c>
      <c r="AH41" s="715">
        <v>7.8657000000000004</v>
      </c>
      <c r="AI41" s="783">
        <v>7.8657000000000004</v>
      </c>
      <c r="AJ41" s="12"/>
      <c r="AK41" s="291" t="str">
        <f t="shared" si="19"/>
        <v>2Q12</v>
      </c>
      <c r="AL41" s="782">
        <f t="shared" si="20"/>
        <v>16.6112</v>
      </c>
      <c r="AM41" s="715">
        <v>9.9999610739770297</v>
      </c>
      <c r="AN41" s="715">
        <v>9.8567090836951099</v>
      </c>
      <c r="AO41" s="715">
        <v>9.6679105685306794</v>
      </c>
      <c r="AP41" s="715">
        <v>9.4299516908212606</v>
      </c>
      <c r="AQ41" s="783">
        <v>20.389183001860101</v>
      </c>
      <c r="AR41" s="782">
        <f t="shared" si="21"/>
        <v>15.8535</v>
      </c>
      <c r="AS41" s="715">
        <v>10.1734261914516</v>
      </c>
      <c r="AT41" s="715">
        <v>8.2366185583722498</v>
      </c>
      <c r="AU41" s="715">
        <v>9.6586826347305408</v>
      </c>
      <c r="AV41" s="715">
        <v>8.9037555116314397</v>
      </c>
      <c r="AW41" s="783">
        <v>7.2737819025522104</v>
      </c>
      <c r="AX41" s="782">
        <f t="shared" si="22"/>
        <v>6.9950000000000001</v>
      </c>
      <c r="AY41" s="715">
        <v>5.57867980886728</v>
      </c>
      <c r="AZ41" s="715">
        <v>6.3488956339740898</v>
      </c>
      <c r="BA41" s="715">
        <v>6.1001435767028198</v>
      </c>
      <c r="BB41" s="715">
        <v>5.7419540662097397</v>
      </c>
      <c r="BC41" s="783">
        <v>4.5544976275480202</v>
      </c>
      <c r="BD41" s="782">
        <f t="shared" si="31"/>
        <v>6.7062999999999997</v>
      </c>
      <c r="BE41" s="715">
        <v>5.4862436080116197</v>
      </c>
      <c r="BF41" s="715">
        <v>5.0172390557656596</v>
      </c>
      <c r="BG41" s="715">
        <v>5.4948169337757404</v>
      </c>
      <c r="BH41" s="715">
        <v>5.5132090277973704</v>
      </c>
      <c r="BI41" s="783">
        <v>4.3094182178329801</v>
      </c>
      <c r="BJ41" s="12"/>
      <c r="BK41" s="291" t="str">
        <f t="shared" si="23"/>
        <v>2Q12</v>
      </c>
      <c r="BL41" s="782">
        <f t="shared" si="24"/>
        <v>16.6112</v>
      </c>
      <c r="BM41" s="715">
        <v>24.3601654723143</v>
      </c>
      <c r="BN41" s="715">
        <v>24.265275945607101</v>
      </c>
      <c r="BO41" s="715">
        <v>13.810354033387</v>
      </c>
      <c r="BP41" s="715">
        <v>12.518308364882399</v>
      </c>
      <c r="BQ41" s="783">
        <v>13.945700927772601</v>
      </c>
      <c r="BR41" s="782">
        <f t="shared" si="25"/>
        <v>15.8535</v>
      </c>
      <c r="BS41" s="715">
        <v>18.872133207665701</v>
      </c>
      <c r="BT41" s="715">
        <v>13.2539871459176</v>
      </c>
      <c r="BU41" s="715">
        <v>12.7284161505969</v>
      </c>
      <c r="BV41" s="715">
        <v>14.9644201023031</v>
      </c>
      <c r="BW41" s="783">
        <v>13.9172384219554</v>
      </c>
      <c r="BX41" s="782">
        <f t="shared" si="26"/>
        <v>6.9950000000000001</v>
      </c>
      <c r="BY41" s="715">
        <v>10.085262951602999</v>
      </c>
      <c r="BZ41" s="715">
        <v>5.6924125677050403</v>
      </c>
      <c r="CA41" s="715">
        <v>6.9719235348552404</v>
      </c>
      <c r="CB41" s="715">
        <v>9.3480235976562494</v>
      </c>
      <c r="CC41" s="783">
        <v>8.3064868487700405</v>
      </c>
      <c r="CD41" s="782">
        <f t="shared" si="32"/>
        <v>6.7062999999999997</v>
      </c>
      <c r="CE41" s="715">
        <v>8.8661907877634896</v>
      </c>
      <c r="CF41" s="715">
        <v>6.4451868598823303</v>
      </c>
      <c r="CG41" s="715">
        <v>6.0558564496601504</v>
      </c>
      <c r="CH41" s="715">
        <v>8.0255848476999301</v>
      </c>
      <c r="CI41" s="783">
        <v>7.9146342421646798</v>
      </c>
    </row>
    <row r="42" spans="1:87" ht="14.25" customHeight="1">
      <c r="A42" s="12"/>
      <c r="B42" s="12"/>
      <c r="C42" s="12" t="s">
        <v>922</v>
      </c>
      <c r="D42" s="12"/>
      <c r="E42" s="662">
        <f>AVERAGE(M8:Q19)</f>
        <v>20.404395000000005</v>
      </c>
      <c r="F42" s="662">
        <f>AVERAGE(S8:W19)</f>
        <v>18.807343333333339</v>
      </c>
      <c r="G42" s="662">
        <f>AVERAGE(Y8:AC19)</f>
        <v>10.569033333333326</v>
      </c>
      <c r="H42" s="662">
        <f>AVERAGE(AE8:AI19)</f>
        <v>10.747183333333332</v>
      </c>
      <c r="I42" s="69">
        <f>IF(I41+1=5,1,I41+1)</f>
        <v>3</v>
      </c>
      <c r="J42" s="5">
        <f t="shared" si="27"/>
        <v>2012</v>
      </c>
      <c r="K42" s="291" t="str">
        <f t="shared" si="18"/>
        <v>3Q12</v>
      </c>
      <c r="L42" s="782">
        <v>18.064</v>
      </c>
      <c r="M42" s="715">
        <v>18.458200000000001</v>
      </c>
      <c r="N42" s="715">
        <v>17.575199999999999</v>
      </c>
      <c r="O42" s="715">
        <v>17.575199999999999</v>
      </c>
      <c r="P42" s="715">
        <v>17.575199999999999</v>
      </c>
      <c r="Q42" s="783">
        <v>17.575199999999999</v>
      </c>
      <c r="R42" s="782">
        <v>17.787199999999999</v>
      </c>
      <c r="S42" s="715">
        <v>17.742899999999999</v>
      </c>
      <c r="T42" s="715">
        <v>16.586400000000001</v>
      </c>
      <c r="U42" s="715">
        <v>16.586400000000001</v>
      </c>
      <c r="V42" s="715">
        <v>16.586400000000001</v>
      </c>
      <c r="W42" s="783">
        <v>16.586400000000001</v>
      </c>
      <c r="X42" s="782">
        <v>7.5419</v>
      </c>
      <c r="Y42" s="715">
        <v>9.0606000000000009</v>
      </c>
      <c r="Z42" s="715">
        <v>8.4603000000000002</v>
      </c>
      <c r="AA42" s="715">
        <v>8.4603000000000002</v>
      </c>
      <c r="AB42" s="715">
        <v>8.4603000000000002</v>
      </c>
      <c r="AC42" s="783">
        <v>8.4603000000000002</v>
      </c>
      <c r="AD42" s="715">
        <v>7.4564000000000004</v>
      </c>
      <c r="AE42" s="715">
        <v>8.9236000000000004</v>
      </c>
      <c r="AF42" s="715">
        <v>8.4603000000000002</v>
      </c>
      <c r="AG42" s="715">
        <v>8.4603000000000002</v>
      </c>
      <c r="AH42" s="715">
        <v>8.4603000000000002</v>
      </c>
      <c r="AI42" s="783">
        <v>8.4603000000000002</v>
      </c>
      <c r="AJ42" s="12"/>
      <c r="AK42" s="291" t="str">
        <f t="shared" si="19"/>
        <v>3Q12</v>
      </c>
      <c r="AL42" s="782">
        <f t="shared" si="20"/>
        <v>18.064</v>
      </c>
      <c r="AM42" s="715">
        <v>9.6204043269145103</v>
      </c>
      <c r="AN42" s="715">
        <v>10.369148843188499</v>
      </c>
      <c r="AO42" s="715">
        <v>9.1214238919844597</v>
      </c>
      <c r="AP42" s="715">
        <v>10.001592356687899</v>
      </c>
      <c r="AQ42" s="783">
        <v>22.262256272844301</v>
      </c>
      <c r="AR42" s="782">
        <f t="shared" si="21"/>
        <v>17.787199999999999</v>
      </c>
      <c r="AS42" s="715">
        <v>9.7416974169741692</v>
      </c>
      <c r="AT42" s="715">
        <v>8.0213207054105293</v>
      </c>
      <c r="AU42" s="715">
        <v>10.8368895211</v>
      </c>
      <c r="AV42" s="715">
        <v>9.4224422442244204</v>
      </c>
      <c r="AW42" s="783">
        <v>7.9790209790209801</v>
      </c>
      <c r="AX42" s="782">
        <f t="shared" si="22"/>
        <v>7.5419</v>
      </c>
      <c r="AY42" s="715">
        <v>5.4694720210755303</v>
      </c>
      <c r="AZ42" s="715">
        <v>6.5458067336104904</v>
      </c>
      <c r="BA42" s="715">
        <v>5.7612245937373903</v>
      </c>
      <c r="BB42" s="715">
        <v>6.03174555515099</v>
      </c>
      <c r="BC42" s="783">
        <v>4.9273381045377702</v>
      </c>
      <c r="BD42" s="782">
        <f t="shared" si="31"/>
        <v>7.4564000000000004</v>
      </c>
      <c r="BE42" s="715">
        <v>5.2421652159577397</v>
      </c>
      <c r="BF42" s="715">
        <v>5.2578672817923602</v>
      </c>
      <c r="BG42" s="715">
        <v>5.7519578678377696</v>
      </c>
      <c r="BH42" s="715">
        <v>5.8083747252702196</v>
      </c>
      <c r="BI42" s="783">
        <v>4.6354962113398201</v>
      </c>
      <c r="BJ42" s="12"/>
      <c r="BK42" s="291" t="str">
        <f t="shared" si="23"/>
        <v>3Q12</v>
      </c>
      <c r="BL42" s="782">
        <f t="shared" si="24"/>
        <v>18.064</v>
      </c>
      <c r="BM42" s="715">
        <v>24.165108997909702</v>
      </c>
      <c r="BN42" s="715">
        <v>25.4241271250078</v>
      </c>
      <c r="BO42" s="715">
        <v>14.8512626154585</v>
      </c>
      <c r="BP42" s="715">
        <v>14.001235439937499</v>
      </c>
      <c r="BQ42" s="783">
        <v>14.8656322568568</v>
      </c>
      <c r="BR42" s="782">
        <f t="shared" si="25"/>
        <v>17.787199999999999</v>
      </c>
      <c r="BS42" s="715">
        <v>20.998131838804401</v>
      </c>
      <c r="BT42" s="715">
        <v>15.5793703951775</v>
      </c>
      <c r="BU42" s="715">
        <v>14.0344431716083</v>
      </c>
      <c r="BV42" s="715">
        <v>16.625988505336</v>
      </c>
      <c r="BW42" s="783">
        <v>15.097498940228901</v>
      </c>
      <c r="BX42" s="782">
        <f t="shared" si="26"/>
        <v>7.5419</v>
      </c>
      <c r="BY42" s="715">
        <v>10.6384200202094</v>
      </c>
      <c r="BZ42" s="715">
        <v>6.7226025644169001</v>
      </c>
      <c r="CA42" s="715">
        <v>7.2666825847504999</v>
      </c>
      <c r="CB42" s="715">
        <v>10.394219186316899</v>
      </c>
      <c r="CC42" s="783">
        <v>8.7331252074086994</v>
      </c>
      <c r="CD42" s="782">
        <f t="shared" si="32"/>
        <v>7.4564000000000004</v>
      </c>
      <c r="CE42" s="715">
        <v>9.9402623212929893</v>
      </c>
      <c r="CF42" s="715">
        <v>7.97901468449838</v>
      </c>
      <c r="CG42" s="715">
        <v>6.4556760118559904</v>
      </c>
      <c r="CH42" s="715">
        <v>8.6540000206489101</v>
      </c>
      <c r="CI42" s="783">
        <v>8.3565512796683201</v>
      </c>
    </row>
    <row r="43" spans="1:87" ht="14.25" customHeight="1">
      <c r="A43" s="12"/>
      <c r="B43" s="12"/>
      <c r="C43" s="12" t="s">
        <v>923</v>
      </c>
      <c r="D43" s="12"/>
      <c r="E43" s="662">
        <f>AVERAGE(M16:Q27)</f>
        <v>16.169383333333332</v>
      </c>
      <c r="F43" s="662">
        <f>AVERAGE(S16:W27)</f>
        <v>15.366213333333322</v>
      </c>
      <c r="G43" s="662">
        <f>AVERAGE(Y16:AC27)</f>
        <v>8.5711583333333401</v>
      </c>
      <c r="H43" s="662">
        <f>AVERAGE(AE16:AI27)</f>
        <v>8.4408982142857187</v>
      </c>
      <c r="I43" s="69">
        <f>IF(I42=4,1,I42+1)</f>
        <v>4</v>
      </c>
      <c r="J43" s="5">
        <f t="shared" si="27"/>
        <v>2012</v>
      </c>
      <c r="K43" s="291" t="str">
        <f t="shared" si="18"/>
        <v>4Q12</v>
      </c>
      <c r="L43" s="782">
        <v>18.1996</v>
      </c>
      <c r="M43" s="715">
        <v>18.346499999999999</v>
      </c>
      <c r="N43" s="715">
        <v>18.458200000000001</v>
      </c>
      <c r="O43" s="715">
        <v>18.458200000000001</v>
      </c>
      <c r="P43" s="715">
        <v>18.458200000000001</v>
      </c>
      <c r="Q43" s="783">
        <v>18.458200000000001</v>
      </c>
      <c r="R43" s="782">
        <v>15.5197</v>
      </c>
      <c r="S43" s="715">
        <v>16.085100000000001</v>
      </c>
      <c r="T43" s="715">
        <v>17.742899999999999</v>
      </c>
      <c r="U43" s="715">
        <v>17.742899999999999</v>
      </c>
      <c r="V43" s="715">
        <v>17.742899999999999</v>
      </c>
      <c r="W43" s="783">
        <v>17.742899999999999</v>
      </c>
      <c r="X43" s="782">
        <v>7.6837</v>
      </c>
      <c r="Y43" s="715">
        <v>9.1727000000000007</v>
      </c>
      <c r="Z43" s="715">
        <v>9.0606000000000009</v>
      </c>
      <c r="AA43" s="715">
        <v>9.0606000000000009</v>
      </c>
      <c r="AB43" s="715">
        <v>9.0606000000000009</v>
      </c>
      <c r="AC43" s="783">
        <v>9.0606000000000009</v>
      </c>
      <c r="AD43" s="715">
        <v>7.3361999999999998</v>
      </c>
      <c r="AE43" s="715">
        <v>8.6994000000000007</v>
      </c>
      <c r="AF43" s="715">
        <v>9.0606000000000009</v>
      </c>
      <c r="AG43" s="715">
        <v>9.0606000000000009</v>
      </c>
      <c r="AH43" s="715">
        <v>9.0606000000000009</v>
      </c>
      <c r="AI43" s="783">
        <v>9.0606000000000009</v>
      </c>
      <c r="AJ43" s="12"/>
      <c r="AK43" s="291" t="str">
        <f t="shared" si="19"/>
        <v>4Q12</v>
      </c>
      <c r="AL43" s="782">
        <f t="shared" si="20"/>
        <v>18.1996</v>
      </c>
      <c r="AM43" s="715">
        <v>9.0620006242682702</v>
      </c>
      <c r="AN43" s="715">
        <v>9.6317891842749095</v>
      </c>
      <c r="AO43" s="715">
        <v>8.8928566219733796</v>
      </c>
      <c r="AP43" s="715">
        <v>10.389458272328</v>
      </c>
      <c r="AQ43" s="783">
        <v>11.8536611648916</v>
      </c>
      <c r="AR43" s="782">
        <f t="shared" si="21"/>
        <v>15.5197</v>
      </c>
      <c r="AS43" s="715">
        <v>9.9914248963841601</v>
      </c>
      <c r="AT43" s="715">
        <v>8.8331556233278192</v>
      </c>
      <c r="AU43" s="715">
        <v>10.089266274765899</v>
      </c>
      <c r="AV43" s="715">
        <v>10.504811250925201</v>
      </c>
      <c r="AW43" s="783">
        <v>7.8014184397163104</v>
      </c>
      <c r="AX43" s="782">
        <f t="shared" si="22"/>
        <v>7.6837</v>
      </c>
      <c r="AY43" s="715">
        <v>5.3793556144224901</v>
      </c>
      <c r="AZ43" s="715">
        <v>5.8953343077061202</v>
      </c>
      <c r="BA43" s="715">
        <v>5.6164263581300196</v>
      </c>
      <c r="BB43" s="715">
        <v>6.0688318330818003</v>
      </c>
      <c r="BC43" s="783">
        <v>4.6436106780451896</v>
      </c>
      <c r="BD43" s="782">
        <f t="shared" si="31"/>
        <v>7.3361999999999998</v>
      </c>
      <c r="BE43" s="715">
        <v>5.4853607215587497</v>
      </c>
      <c r="BF43" s="715">
        <v>5.3183414379838503</v>
      </c>
      <c r="BG43" s="715">
        <v>5.7875481144032603</v>
      </c>
      <c r="BH43" s="715">
        <v>6.1217222110684402</v>
      </c>
      <c r="BI43" s="783">
        <v>4.1203890954194202</v>
      </c>
      <c r="BJ43" s="12"/>
      <c r="BK43" s="291" t="str">
        <f t="shared" si="23"/>
        <v>4Q12</v>
      </c>
      <c r="BL43" s="782">
        <f t="shared" si="24"/>
        <v>18.1996</v>
      </c>
      <c r="BM43" s="715">
        <v>21.605346942748799</v>
      </c>
      <c r="BN43" s="715">
        <v>18.758399494054</v>
      </c>
      <c r="BO43" s="715">
        <v>15.243961913696699</v>
      </c>
      <c r="BP43" s="715">
        <v>16.769620095024599</v>
      </c>
      <c r="BQ43" s="783">
        <v>15.978646422717601</v>
      </c>
      <c r="BR43" s="782">
        <f t="shared" si="25"/>
        <v>15.5197</v>
      </c>
      <c r="BS43" s="715">
        <v>23.4384384384384</v>
      </c>
      <c r="BT43" s="715">
        <v>15.297476515012001</v>
      </c>
      <c r="BU43" s="715">
        <v>15.683575473684201</v>
      </c>
      <c r="BV43" s="715">
        <v>16.897645925900299</v>
      </c>
      <c r="BW43" s="783">
        <v>16.674433382757901</v>
      </c>
      <c r="BX43" s="782">
        <f t="shared" si="26"/>
        <v>7.6837</v>
      </c>
      <c r="BY43" s="715">
        <v>10.140000975353299</v>
      </c>
      <c r="BZ43" s="715">
        <v>11.1988774428578</v>
      </c>
      <c r="CA43" s="715">
        <v>7.6879706231656399</v>
      </c>
      <c r="CB43" s="715">
        <v>11.3236402907469</v>
      </c>
      <c r="CC43" s="783">
        <v>9.4462181552704507</v>
      </c>
      <c r="CD43" s="782">
        <f t="shared" si="32"/>
        <v>7.3361999999999998</v>
      </c>
      <c r="CE43" s="715">
        <v>11.0350072347685</v>
      </c>
      <c r="CF43" s="715">
        <v>12.8452543560021</v>
      </c>
      <c r="CG43" s="715">
        <v>6.9489849153165402</v>
      </c>
      <c r="CH43" s="715">
        <v>10.370362845866801</v>
      </c>
      <c r="CI43" s="783">
        <v>9.12801964987489</v>
      </c>
    </row>
    <row r="44" spans="1:87" ht="14.25" customHeight="1">
      <c r="A44" s="211"/>
      <c r="B44" s="12"/>
      <c r="C44" s="12" t="s">
        <v>924</v>
      </c>
      <c r="D44" s="12"/>
      <c r="E44" s="662">
        <f>AVERAGE(M24:Q35)</f>
        <v>13.14323166666666</v>
      </c>
      <c r="F44" s="662">
        <f>AVERAGE(S24:W35)</f>
        <v>13.625734999999999</v>
      </c>
      <c r="G44" s="662">
        <f>AVERAGE(Y24:AC35)</f>
        <v>7.0896166666666618</v>
      </c>
      <c r="H44" s="662">
        <f>AVERAGE(AE24:AI35)</f>
        <v>7.129936666666663</v>
      </c>
      <c r="I44" s="69">
        <f>I40</f>
        <v>1</v>
      </c>
      <c r="J44" s="5">
        <f t="shared" si="27"/>
        <v>2013</v>
      </c>
      <c r="K44" s="291" t="str">
        <f t="shared" si="18"/>
        <v>1Q13</v>
      </c>
      <c r="L44" s="782">
        <v>16.051200000000001</v>
      </c>
      <c r="M44" s="715">
        <v>17.330100000000002</v>
      </c>
      <c r="N44" s="715">
        <v>18.346499999999999</v>
      </c>
      <c r="O44" s="715">
        <v>18.346499999999999</v>
      </c>
      <c r="P44" s="715">
        <v>18.346499999999999</v>
      </c>
      <c r="Q44" s="783">
        <v>18.346499999999999</v>
      </c>
      <c r="R44" s="782">
        <v>14.2569</v>
      </c>
      <c r="S44" s="715">
        <v>15.686400000000001</v>
      </c>
      <c r="T44" s="715">
        <v>16.085100000000001</v>
      </c>
      <c r="U44" s="715">
        <v>16.085100000000001</v>
      </c>
      <c r="V44" s="715">
        <v>16.085100000000001</v>
      </c>
      <c r="W44" s="783">
        <v>16.085100000000001</v>
      </c>
      <c r="X44" s="782">
        <v>6.7773000000000003</v>
      </c>
      <c r="Y44" s="715">
        <v>8.6981999999999999</v>
      </c>
      <c r="Z44" s="715">
        <v>9.1727000000000007</v>
      </c>
      <c r="AA44" s="715">
        <v>9.1727000000000007</v>
      </c>
      <c r="AB44" s="715">
        <v>9.1727000000000007</v>
      </c>
      <c r="AC44" s="783">
        <v>9.1727000000000007</v>
      </c>
      <c r="AD44" s="715">
        <v>6.5787000000000004</v>
      </c>
      <c r="AE44" s="715">
        <v>8.3240999999999996</v>
      </c>
      <c r="AF44" s="715">
        <v>9.1727000000000007</v>
      </c>
      <c r="AG44" s="715">
        <v>9.1727000000000007</v>
      </c>
      <c r="AH44" s="715">
        <v>9.1727000000000007</v>
      </c>
      <c r="AI44" s="783">
        <v>9.1727000000000007</v>
      </c>
      <c r="AJ44" s="12"/>
      <c r="AK44" s="291" t="str">
        <f t="shared" si="19"/>
        <v>1Q13</v>
      </c>
      <c r="AL44" s="782">
        <f t="shared" si="20"/>
        <v>16.051200000000001</v>
      </c>
      <c r="AM44" s="715">
        <v>10.5091692501708</v>
      </c>
      <c r="AN44" s="715">
        <v>9.7506638179158802</v>
      </c>
      <c r="AO44" s="715">
        <v>9.7621842114757396</v>
      </c>
      <c r="AP44" s="715">
        <v>11.209370424597401</v>
      </c>
      <c r="AQ44" s="783">
        <v>11.670468219616</v>
      </c>
      <c r="AR44" s="782">
        <f t="shared" si="21"/>
        <v>14.2569</v>
      </c>
      <c r="AS44" s="715">
        <v>11.5301878674889</v>
      </c>
      <c r="AT44" s="715">
        <v>9.2945012598191799</v>
      </c>
      <c r="AU44" s="715">
        <v>10.173999999999999</v>
      </c>
      <c r="AV44" s="715">
        <v>10.706194937770899</v>
      </c>
      <c r="AW44" s="783">
        <v>7.7541766109785204</v>
      </c>
      <c r="AX44" s="782">
        <f t="shared" si="22"/>
        <v>6.7773000000000003</v>
      </c>
      <c r="AY44" s="715">
        <v>5.7719211459488999</v>
      </c>
      <c r="AZ44" s="715">
        <v>5.19886979324506</v>
      </c>
      <c r="BA44" s="715">
        <v>6.0804868822000104</v>
      </c>
      <c r="BB44" s="715">
        <v>6.4630731003760902</v>
      </c>
      <c r="BC44" s="783">
        <v>4.5750262092020302</v>
      </c>
      <c r="BD44" s="782">
        <f t="shared" si="31"/>
        <v>6.5787000000000004</v>
      </c>
      <c r="BE44" s="715">
        <v>6.2759801428242596</v>
      </c>
      <c r="BF44" s="715">
        <v>4.6276705795283197</v>
      </c>
      <c r="BG44" s="715">
        <v>5.7092746360968896</v>
      </c>
      <c r="BH44" s="715">
        <v>6.3650271472023103</v>
      </c>
      <c r="BI44" s="783">
        <v>4.1614766159540304</v>
      </c>
      <c r="BJ44" s="12"/>
      <c r="BK44" s="291" t="str">
        <f t="shared" si="23"/>
        <v>1Q13</v>
      </c>
      <c r="BL44" s="782">
        <f t="shared" si="24"/>
        <v>16.051200000000001</v>
      </c>
      <c r="BM44" s="715">
        <v>19.5893812359237</v>
      </c>
      <c r="BN44" s="715">
        <v>19.158254817246199</v>
      </c>
      <c r="BO44" s="715">
        <v>15.8492421790324</v>
      </c>
      <c r="BP44" s="715">
        <v>17.562715794490899</v>
      </c>
      <c r="BQ44" s="783">
        <v>16.7394614065933</v>
      </c>
      <c r="BR44" s="782">
        <f t="shared" si="25"/>
        <v>14.2569</v>
      </c>
      <c r="BS44" s="715">
        <v>17.939423231835001</v>
      </c>
      <c r="BT44" s="715">
        <v>15.695771909930301</v>
      </c>
      <c r="BU44" s="715">
        <v>14.382903410447801</v>
      </c>
      <c r="BV44" s="715">
        <v>14.8263081664242</v>
      </c>
      <c r="BW44" s="783">
        <v>15.7693740685544</v>
      </c>
      <c r="BX44" s="782">
        <f t="shared" si="26"/>
        <v>6.7773000000000003</v>
      </c>
      <c r="BY44" s="715">
        <v>9.6084032677444196</v>
      </c>
      <c r="BZ44" s="715">
        <v>8.1692260490010806</v>
      </c>
      <c r="CA44" s="715">
        <v>8.1872919029328095</v>
      </c>
      <c r="CB44" s="715">
        <v>12.135236426954799</v>
      </c>
      <c r="CC44" s="783">
        <v>9.8779039587798003</v>
      </c>
      <c r="CD44" s="782">
        <f t="shared" si="32"/>
        <v>6.5787000000000004</v>
      </c>
      <c r="CE44" s="715">
        <v>8.9282098595308401</v>
      </c>
      <c r="CF44" s="715">
        <v>9.1988416237324806</v>
      </c>
      <c r="CG44" s="715">
        <v>6.3241620101164902</v>
      </c>
      <c r="CH44" s="715">
        <v>8.8863638105699003</v>
      </c>
      <c r="CI44" s="783">
        <v>8.8499357763455198</v>
      </c>
    </row>
    <row r="45" spans="1:87" ht="14.25" customHeight="1">
      <c r="A45" s="12"/>
      <c r="B45" s="12"/>
      <c r="C45" s="12" t="s">
        <v>925</v>
      </c>
      <c r="D45" s="12"/>
      <c r="E45" s="662">
        <f>AVERAGE(M36:Q75)</f>
        <v>21.009599000000016</v>
      </c>
      <c r="F45" s="662">
        <f>AVERAGE(S36:W75)</f>
        <v>19.543173000000007</v>
      </c>
      <c r="G45" s="662">
        <f>AVERAGE(Y36:AC75)</f>
        <v>11.346910000000005</v>
      </c>
      <c r="H45" s="662">
        <f>AVERAGE(AE36:AI75)</f>
        <v>11.246996500000002</v>
      </c>
      <c r="I45" s="69">
        <f>IF(I44=4,1,I44+1)</f>
        <v>2</v>
      </c>
      <c r="J45" s="5">
        <f t="shared" si="27"/>
        <v>2013</v>
      </c>
      <c r="K45" s="291" t="str">
        <f t="shared" si="18"/>
        <v>2Q13</v>
      </c>
      <c r="L45" s="782">
        <v>12.4786</v>
      </c>
      <c r="M45" s="715">
        <v>14.6532</v>
      </c>
      <c r="N45" s="715">
        <v>17.330100000000002</v>
      </c>
      <c r="O45" s="715">
        <v>17.330100000000002</v>
      </c>
      <c r="P45" s="715">
        <v>17.330100000000002</v>
      </c>
      <c r="Q45" s="783">
        <v>17.330100000000002</v>
      </c>
      <c r="R45" s="782">
        <v>12.163500000000001</v>
      </c>
      <c r="S45" s="715">
        <v>13.9575</v>
      </c>
      <c r="T45" s="715">
        <v>15.686400000000001</v>
      </c>
      <c r="U45" s="715">
        <v>15.686400000000001</v>
      </c>
      <c r="V45" s="715">
        <v>15.686400000000001</v>
      </c>
      <c r="W45" s="783">
        <v>15.686400000000001</v>
      </c>
      <c r="X45" s="782">
        <v>5.8518999999999997</v>
      </c>
      <c r="Y45" s="715">
        <v>7.5476999999999999</v>
      </c>
      <c r="Z45" s="715">
        <v>8.6981999999999999</v>
      </c>
      <c r="AA45" s="715">
        <v>8.6981999999999999</v>
      </c>
      <c r="AB45" s="715">
        <v>8.6981999999999999</v>
      </c>
      <c r="AC45" s="783">
        <v>8.6981999999999999</v>
      </c>
      <c r="AD45" s="715">
        <v>5.8118999999999996</v>
      </c>
      <c r="AE45" s="715">
        <v>7.3937999999999997</v>
      </c>
      <c r="AF45" s="715">
        <v>8.6981999999999999</v>
      </c>
      <c r="AG45" s="715">
        <v>8.6981999999999999</v>
      </c>
      <c r="AH45" s="715">
        <v>8.6981999999999999</v>
      </c>
      <c r="AI45" s="783">
        <v>8.6981999999999999</v>
      </c>
      <c r="AJ45" s="12"/>
      <c r="AK45" s="291" t="str">
        <f t="shared" si="19"/>
        <v>2Q13</v>
      </c>
      <c r="AL45" s="782">
        <f t="shared" si="20"/>
        <v>12.4786</v>
      </c>
      <c r="AM45" s="715">
        <v>10.360250621589399</v>
      </c>
      <c r="AN45" s="715">
        <v>10.610981378837</v>
      </c>
      <c r="AO45" s="715">
        <v>9.7850104631892201</v>
      </c>
      <c r="AP45" s="715">
        <v>10.753246753246801</v>
      </c>
      <c r="AQ45" s="783">
        <v>11.911217487238</v>
      </c>
      <c r="AR45" s="782">
        <f t="shared" si="21"/>
        <v>12.163500000000001</v>
      </c>
      <c r="AS45" s="715">
        <v>11.1498209859543</v>
      </c>
      <c r="AT45" s="715">
        <v>10.333780360602001</v>
      </c>
      <c r="AU45" s="715">
        <v>10.1321138211382</v>
      </c>
      <c r="AV45" s="715">
        <v>10.4574796519787</v>
      </c>
      <c r="AW45" s="783">
        <v>7.7305825242718402</v>
      </c>
      <c r="AX45" s="782">
        <f t="shared" si="22"/>
        <v>5.8518999999999997</v>
      </c>
      <c r="AY45" s="715">
        <v>5.9342711326619</v>
      </c>
      <c r="AZ45" s="715">
        <v>5.6618821978602103</v>
      </c>
      <c r="BA45" s="715">
        <v>6.4812835745831103</v>
      </c>
      <c r="BB45" s="715">
        <v>6.2851866440240798</v>
      </c>
      <c r="BC45" s="783">
        <v>5.0582831174011602</v>
      </c>
      <c r="BD45" s="782">
        <f t="shared" si="31"/>
        <v>5.8118999999999996</v>
      </c>
      <c r="BE45" s="715">
        <v>6.3857361563320802</v>
      </c>
      <c r="BF45" s="715">
        <v>5.4605792553048902</v>
      </c>
      <c r="BG45" s="715">
        <v>6.0368814914483702</v>
      </c>
      <c r="BH45" s="715">
        <v>6.2530343016821499</v>
      </c>
      <c r="BI45" s="783">
        <v>4.4398047960153502</v>
      </c>
      <c r="BJ45" s="12"/>
      <c r="BK45" s="291" t="str">
        <f t="shared" si="23"/>
        <v>2Q13</v>
      </c>
      <c r="BL45" s="782">
        <f t="shared" si="24"/>
        <v>12.4786</v>
      </c>
      <c r="BM45" s="715">
        <v>16.68959147028</v>
      </c>
      <c r="BN45" s="715">
        <v>13.9808558081172</v>
      </c>
      <c r="BO45" s="715">
        <v>14.468751868729999</v>
      </c>
      <c r="BP45" s="715">
        <v>16.205048980257601</v>
      </c>
      <c r="BQ45" s="783">
        <v>17.184909509831101</v>
      </c>
      <c r="BR45" s="782">
        <f t="shared" si="25"/>
        <v>12.163500000000001</v>
      </c>
      <c r="BS45" s="715">
        <v>15.241231209735099</v>
      </c>
      <c r="BT45" s="715">
        <v>12.9049929566442</v>
      </c>
      <c r="BU45" s="715">
        <v>13.108605498192301</v>
      </c>
      <c r="BV45" s="715">
        <v>14.300434892270401</v>
      </c>
      <c r="BW45" s="783">
        <v>16.252295262577999</v>
      </c>
      <c r="BX45" s="782">
        <f t="shared" si="26"/>
        <v>5.8518999999999997</v>
      </c>
      <c r="BY45" s="715">
        <v>8.3694625048910805</v>
      </c>
      <c r="BZ45" s="715">
        <v>5.8871772792342698</v>
      </c>
      <c r="CA45" s="715">
        <v>7.7302288075718204</v>
      </c>
      <c r="CB45" s="715">
        <v>11.214687895444699</v>
      </c>
      <c r="CC45" s="783">
        <v>9.9399214641402391</v>
      </c>
      <c r="CD45" s="782">
        <f t="shared" si="32"/>
        <v>5.8118999999999996</v>
      </c>
      <c r="CE45" s="715">
        <v>7.7878401119748304</v>
      </c>
      <c r="CF45" s="715">
        <v>7.0981511174056404</v>
      </c>
      <c r="CG45" s="715">
        <v>6.0878290524664997</v>
      </c>
      <c r="CH45" s="715">
        <v>8.4494736155836296</v>
      </c>
      <c r="CI45" s="783">
        <v>9.1474541842588604</v>
      </c>
    </row>
    <row r="46" spans="1:87" ht="14.25" customHeight="1">
      <c r="A46" s="12"/>
      <c r="B46" s="12"/>
      <c r="C46" s="12" t="s">
        <v>926</v>
      </c>
      <c r="D46" s="12"/>
      <c r="E46" s="662">
        <f>AVERAGE(M36:Q51)</f>
        <v>17.919956249999995</v>
      </c>
      <c r="F46" s="662">
        <f>AVERAGE(S36:W51)</f>
        <v>17.335633750000007</v>
      </c>
      <c r="G46" s="662">
        <f>AVERAGE(Y36:AC51)</f>
        <v>9.1601000000000017</v>
      </c>
      <c r="H46" s="662">
        <f>AVERAGE(AE36:AI51)</f>
        <v>9.083377500000001</v>
      </c>
      <c r="I46" s="69">
        <f>IF(I45+1=5,1,I45+1)</f>
        <v>3</v>
      </c>
      <c r="J46" s="5">
        <f t="shared" si="27"/>
        <v>2013</v>
      </c>
      <c r="K46" s="291" t="str">
        <f t="shared" si="18"/>
        <v>3Q13</v>
      </c>
      <c r="L46" s="782">
        <v>16.298999999999999</v>
      </c>
      <c r="M46" s="715">
        <v>18.0182</v>
      </c>
      <c r="N46" s="715">
        <v>14.6532</v>
      </c>
      <c r="O46" s="715">
        <v>14.6532</v>
      </c>
      <c r="P46" s="715">
        <v>14.6532</v>
      </c>
      <c r="Q46" s="783">
        <v>14.6532</v>
      </c>
      <c r="R46" s="782">
        <v>15.8131</v>
      </c>
      <c r="S46" s="715">
        <v>17.626799999999999</v>
      </c>
      <c r="T46" s="715">
        <v>13.9575</v>
      </c>
      <c r="U46" s="715">
        <v>13.9575</v>
      </c>
      <c r="V46" s="715">
        <v>13.9575</v>
      </c>
      <c r="W46" s="783">
        <v>13.9575</v>
      </c>
      <c r="X46" s="782">
        <v>7.7748999999999997</v>
      </c>
      <c r="Y46" s="715">
        <v>9.1023999999999994</v>
      </c>
      <c r="Z46" s="715">
        <v>7.5476999999999999</v>
      </c>
      <c r="AA46" s="715">
        <v>7.5476999999999999</v>
      </c>
      <c r="AB46" s="715">
        <v>7.5476999999999999</v>
      </c>
      <c r="AC46" s="783">
        <v>7.5476999999999999</v>
      </c>
      <c r="AD46" s="715">
        <v>7.2279999999999998</v>
      </c>
      <c r="AE46" s="715">
        <v>9.0502000000000002</v>
      </c>
      <c r="AF46" s="715">
        <v>7.5476999999999999</v>
      </c>
      <c r="AG46" s="715">
        <v>7.5476999999999999</v>
      </c>
      <c r="AH46" s="715">
        <v>7.5476999999999999</v>
      </c>
      <c r="AI46" s="783">
        <v>7.5476999999999999</v>
      </c>
      <c r="AJ46" s="12"/>
      <c r="AK46" s="291" t="str">
        <f t="shared" si="19"/>
        <v>3Q13</v>
      </c>
      <c r="AL46" s="782">
        <f t="shared" si="20"/>
        <v>16.298999999999999</v>
      </c>
      <c r="AM46" s="715">
        <v>9.0442537177124596</v>
      </c>
      <c r="AN46" s="715">
        <v>7.5765915416947802</v>
      </c>
      <c r="AO46" s="715">
        <v>7.8850172710238802</v>
      </c>
      <c r="AP46" s="715">
        <v>7.9925124109429904</v>
      </c>
      <c r="AQ46" s="783">
        <v>9.9964472035752294</v>
      </c>
      <c r="AR46" s="782">
        <f t="shared" si="21"/>
        <v>15.8131</v>
      </c>
      <c r="AS46" s="715">
        <v>9.6853333333333307</v>
      </c>
      <c r="AT46" s="715">
        <v>7.58726003490401</v>
      </c>
      <c r="AU46" s="715">
        <v>8.1593132361748903</v>
      </c>
      <c r="AV46" s="715">
        <v>7.9189866369710504</v>
      </c>
      <c r="AW46" s="783">
        <v>6.6825000000000001</v>
      </c>
      <c r="AX46" s="782">
        <f t="shared" si="22"/>
        <v>7.7748999999999997</v>
      </c>
      <c r="AY46" s="715">
        <v>5.1725328882019399</v>
      </c>
      <c r="AZ46" s="715">
        <v>4.1998426941363496</v>
      </c>
      <c r="BA46" s="715">
        <v>4.9072512661100998</v>
      </c>
      <c r="BB46" s="715">
        <v>5.11248886371017</v>
      </c>
      <c r="BC46" s="783">
        <v>4.1756043541247401</v>
      </c>
      <c r="BD46" s="782">
        <f t="shared" si="31"/>
        <v>7.2279999999999998</v>
      </c>
      <c r="BE46" s="715">
        <v>5.7395595802065698</v>
      </c>
      <c r="BF46" s="715">
        <v>4.13814087690871</v>
      </c>
      <c r="BG46" s="715">
        <v>5.1077271800270996</v>
      </c>
      <c r="BH46" s="715">
        <v>5.1134671020105698</v>
      </c>
      <c r="BI46" s="783">
        <v>3.8065533789962802</v>
      </c>
      <c r="BJ46" s="12"/>
      <c r="BK46" s="291" t="str">
        <f t="shared" si="23"/>
        <v>3Q13</v>
      </c>
      <c r="BL46" s="782">
        <f t="shared" si="24"/>
        <v>16.298999999999999</v>
      </c>
      <c r="BM46" s="715">
        <v>10.518527508712999</v>
      </c>
      <c r="BN46" s="715">
        <v>10.5037129820166</v>
      </c>
      <c r="BO46" s="715">
        <v>12.230878232496501</v>
      </c>
      <c r="BP46" s="715">
        <v>11.8037669920092</v>
      </c>
      <c r="BQ46" s="783">
        <v>13.3534736207215</v>
      </c>
      <c r="BR46" s="782">
        <f t="shared" si="25"/>
        <v>15.8131</v>
      </c>
      <c r="BS46" s="715">
        <v>11.112114371708101</v>
      </c>
      <c r="BT46" s="715">
        <v>10.02484086322</v>
      </c>
      <c r="BU46" s="715">
        <v>10.586285316932001</v>
      </c>
      <c r="BV46" s="715">
        <v>10.5668420137303</v>
      </c>
      <c r="BW46" s="783">
        <v>12.8911689263466</v>
      </c>
      <c r="BX46" s="782">
        <f t="shared" si="26"/>
        <v>7.7748999999999997</v>
      </c>
      <c r="BY46" s="715">
        <v>6.2721458318024998</v>
      </c>
      <c r="BZ46" s="715">
        <v>4.4281218063482299</v>
      </c>
      <c r="CA46" s="715">
        <v>6.4556485602435796</v>
      </c>
      <c r="CB46" s="715">
        <v>8.29363910369546</v>
      </c>
      <c r="CC46" s="783">
        <v>7.7537626450537704</v>
      </c>
      <c r="CD46" s="782">
        <f t="shared" si="32"/>
        <v>7.2279999999999998</v>
      </c>
      <c r="CE46" s="715">
        <v>6.1966563888391502</v>
      </c>
      <c r="CF46" s="715">
        <v>5.6364424865086598</v>
      </c>
      <c r="CG46" s="715">
        <v>5.04933041465077</v>
      </c>
      <c r="CH46" s="715">
        <v>6.5951797733904902</v>
      </c>
      <c r="CI46" s="783">
        <v>7.2000449757373097</v>
      </c>
    </row>
    <row r="47" spans="1:87" ht="14.25" customHeight="1">
      <c r="A47" s="12"/>
      <c r="B47" s="12"/>
      <c r="C47" s="12" t="s">
        <v>927</v>
      </c>
      <c r="D47" s="12"/>
      <c r="E47" s="662">
        <f>AVERAGE(M48:Q63)</f>
        <v>22.544052499999985</v>
      </c>
      <c r="F47" s="662">
        <f>AVERAGE(S48:W63)</f>
        <v>20.640531249999981</v>
      </c>
      <c r="G47" s="662">
        <f>AVERAGE(Y48:AC63)</f>
        <v>11.902354999999996</v>
      </c>
      <c r="H47" s="662">
        <f>AVERAGE(AE48:AI63)</f>
        <v>11.772934999999999</v>
      </c>
      <c r="I47" s="69">
        <f>IF(I46=4,1,I46+1)</f>
        <v>4</v>
      </c>
      <c r="J47" s="5">
        <f t="shared" si="27"/>
        <v>2013</v>
      </c>
      <c r="K47" s="291" t="str">
        <f t="shared" si="18"/>
        <v>4Q13</v>
      </c>
      <c r="L47" s="782">
        <v>19.362200000000001</v>
      </c>
      <c r="M47" s="715">
        <v>20.251999999999999</v>
      </c>
      <c r="N47" s="715">
        <v>18.0182</v>
      </c>
      <c r="O47" s="715">
        <v>18.0182</v>
      </c>
      <c r="P47" s="715">
        <v>18.0182</v>
      </c>
      <c r="Q47" s="783">
        <v>18.0182</v>
      </c>
      <c r="R47" s="782">
        <v>17.072900000000001</v>
      </c>
      <c r="S47" s="715">
        <v>17.590900000000001</v>
      </c>
      <c r="T47" s="715">
        <v>17.626799999999999</v>
      </c>
      <c r="U47" s="715">
        <v>17.626799999999999</v>
      </c>
      <c r="V47" s="715">
        <v>17.626799999999999</v>
      </c>
      <c r="W47" s="783">
        <v>17.626799999999999</v>
      </c>
      <c r="X47" s="782">
        <v>9.4055999999999997</v>
      </c>
      <c r="Y47" s="715">
        <v>10.240500000000001</v>
      </c>
      <c r="Z47" s="715">
        <v>9.1023999999999994</v>
      </c>
      <c r="AA47" s="715">
        <v>9.1023999999999994</v>
      </c>
      <c r="AB47" s="715">
        <v>9.1023999999999994</v>
      </c>
      <c r="AC47" s="783">
        <v>9.1023999999999994</v>
      </c>
      <c r="AD47" s="715">
        <v>8.4288000000000007</v>
      </c>
      <c r="AE47" s="715">
        <v>9.5160999999999998</v>
      </c>
      <c r="AF47" s="715">
        <v>9.1023999999999994</v>
      </c>
      <c r="AG47" s="715">
        <v>9.1023999999999994</v>
      </c>
      <c r="AH47" s="715">
        <v>9.1023999999999994</v>
      </c>
      <c r="AI47" s="783">
        <v>9.1023999999999994</v>
      </c>
      <c r="AJ47" s="12"/>
      <c r="AK47" s="291" t="str">
        <f t="shared" si="19"/>
        <v>4Q13</v>
      </c>
      <c r="AL47" s="782">
        <f t="shared" si="20"/>
        <v>19.362200000000001</v>
      </c>
      <c r="AM47" s="715">
        <v>10.2927177685897</v>
      </c>
      <c r="AN47" s="715">
        <v>7.8669368437521099</v>
      </c>
      <c r="AO47" s="715">
        <v>9.1934574811142706</v>
      </c>
      <c r="AP47" s="715">
        <v>9.1696224120428695</v>
      </c>
      <c r="AQ47" s="783">
        <v>7.6852161349104504</v>
      </c>
      <c r="AR47" s="782">
        <f t="shared" si="21"/>
        <v>17.072900000000001</v>
      </c>
      <c r="AS47" s="715">
        <v>10.6363397317907</v>
      </c>
      <c r="AT47" s="715">
        <v>8.3399885909868807</v>
      </c>
      <c r="AU47" s="715">
        <v>9.5783013264700099</v>
      </c>
      <c r="AV47" s="715">
        <v>9.1726519337016601</v>
      </c>
      <c r="AW47" s="783">
        <v>7.0920398009950301</v>
      </c>
      <c r="AX47" s="782">
        <f t="shared" si="22"/>
        <v>9.4055999999999997</v>
      </c>
      <c r="AY47" s="715">
        <v>5.0727873397035799</v>
      </c>
      <c r="AZ47" s="715">
        <v>4.2475628329771302</v>
      </c>
      <c r="BA47" s="715">
        <v>5.3476842685669199</v>
      </c>
      <c r="BB47" s="715">
        <v>5.6429267951685604</v>
      </c>
      <c r="BC47" s="783">
        <v>4.6642162199263097</v>
      </c>
      <c r="BD47" s="782">
        <f t="shared" si="31"/>
        <v>8.4288000000000007</v>
      </c>
      <c r="BE47" s="715">
        <v>6.0754015039439304</v>
      </c>
      <c r="BF47" s="715">
        <v>4.6526810266066603</v>
      </c>
      <c r="BG47" s="715">
        <v>5.4675375684290399</v>
      </c>
      <c r="BH47" s="715">
        <v>5.3194890952561096</v>
      </c>
      <c r="BI47" s="783">
        <v>4.1959826963148199</v>
      </c>
      <c r="BJ47" s="12"/>
      <c r="BK47" s="291" t="str">
        <f t="shared" si="23"/>
        <v>4Q13</v>
      </c>
      <c r="BL47" s="782">
        <f t="shared" si="24"/>
        <v>19.362200000000001</v>
      </c>
      <c r="BM47" s="715">
        <v>11.136940235073</v>
      </c>
      <c r="BN47" s="715">
        <v>11.6666666666667</v>
      </c>
      <c r="BO47" s="715">
        <v>17.1928194605477</v>
      </c>
      <c r="BP47" s="715">
        <v>19.4974550891937</v>
      </c>
      <c r="BQ47" s="783">
        <v>13.712994474089101</v>
      </c>
      <c r="BR47" s="782">
        <f t="shared" si="25"/>
        <v>17.072900000000001</v>
      </c>
      <c r="BS47" s="715">
        <v>13.3372589430296</v>
      </c>
      <c r="BT47" s="715">
        <v>9.89889941131303</v>
      </c>
      <c r="BU47" s="715">
        <v>12.5756118144631</v>
      </c>
      <c r="BV47" s="715">
        <v>12.835855233946299</v>
      </c>
      <c r="BW47" s="783">
        <v>13.330293634871399</v>
      </c>
      <c r="BX47" s="782">
        <f t="shared" si="26"/>
        <v>9.4055999999999997</v>
      </c>
      <c r="BY47" s="715">
        <v>6.8532861845158397</v>
      </c>
      <c r="BZ47" s="715">
        <v>4.8116381420894303</v>
      </c>
      <c r="CA47" s="715">
        <v>7.4767744896099497</v>
      </c>
      <c r="CB47" s="715">
        <v>13.0253702514268</v>
      </c>
      <c r="CC47" s="783">
        <v>7.8806177904984098</v>
      </c>
      <c r="CD47" s="782">
        <f t="shared" si="32"/>
        <v>8.4288000000000007</v>
      </c>
      <c r="CE47" s="715">
        <v>5.8599294656551697</v>
      </c>
      <c r="CF47" s="715">
        <v>5.4586822092923004</v>
      </c>
      <c r="CG47" s="715">
        <v>6.4343046300791302</v>
      </c>
      <c r="CH47" s="715">
        <v>7.2176928467072701</v>
      </c>
      <c r="CI47" s="783">
        <v>6.8736532340427301</v>
      </c>
    </row>
    <row r="48" spans="1:87" ht="14.25" customHeight="1">
      <c r="A48" s="12"/>
      <c r="B48" s="12"/>
      <c r="C48" s="12" t="s">
        <v>928</v>
      </c>
      <c r="D48" s="12"/>
      <c r="E48" s="662">
        <f>AVERAGE(M60:Q75)</f>
        <v>23.288192500000008</v>
      </c>
      <c r="F48" s="662">
        <f>AVERAGE(S60:W75)</f>
        <v>21.264086249999998</v>
      </c>
      <c r="G48" s="662">
        <f>AVERAGE(Y60:AC75)</f>
        <v>13.299392499999996</v>
      </c>
      <c r="H48" s="662">
        <f>AVERAGE(AE60:AI75)</f>
        <v>13.188746249999999</v>
      </c>
      <c r="I48" s="69">
        <f>I44</f>
        <v>1</v>
      </c>
      <c r="J48" s="5">
        <f t="shared" si="27"/>
        <v>2014</v>
      </c>
      <c r="K48" s="291" t="str">
        <f t="shared" si="18"/>
        <v>1Q14</v>
      </c>
      <c r="L48" s="782">
        <v>16.528300000000002</v>
      </c>
      <c r="M48" s="715">
        <v>20.102599999999999</v>
      </c>
      <c r="N48" s="715">
        <v>20.251999999999999</v>
      </c>
      <c r="O48" s="715">
        <v>20.251999999999999</v>
      </c>
      <c r="P48" s="715">
        <v>20.251999999999999</v>
      </c>
      <c r="Q48" s="783">
        <v>20.251999999999999</v>
      </c>
      <c r="R48" s="782">
        <v>15.574999999999999</v>
      </c>
      <c r="S48" s="715">
        <v>18.140999999999998</v>
      </c>
      <c r="T48" s="715">
        <v>17.590900000000001</v>
      </c>
      <c r="U48" s="715">
        <v>17.590900000000001</v>
      </c>
      <c r="V48" s="715">
        <v>17.590900000000001</v>
      </c>
      <c r="W48" s="783">
        <v>17.590900000000001</v>
      </c>
      <c r="X48" s="782">
        <v>8.0007999999999999</v>
      </c>
      <c r="Y48" s="715">
        <v>10.293900000000001</v>
      </c>
      <c r="Z48" s="715">
        <v>10.240500000000001</v>
      </c>
      <c r="AA48" s="715">
        <v>10.240500000000001</v>
      </c>
      <c r="AB48" s="715">
        <v>10.240500000000001</v>
      </c>
      <c r="AC48" s="783">
        <v>10.240500000000001</v>
      </c>
      <c r="AD48" s="715">
        <v>7.3711000000000002</v>
      </c>
      <c r="AE48" s="715">
        <v>9.6946999999999992</v>
      </c>
      <c r="AF48" s="715">
        <v>10.240500000000001</v>
      </c>
      <c r="AG48" s="715">
        <v>10.240500000000001</v>
      </c>
      <c r="AH48" s="715">
        <v>10.240500000000001</v>
      </c>
      <c r="AI48" s="783">
        <v>10.240500000000001</v>
      </c>
      <c r="AJ48" s="12"/>
      <c r="AK48" s="291" t="str">
        <f t="shared" si="19"/>
        <v>1Q14</v>
      </c>
      <c r="AL48" s="782">
        <f t="shared" si="20"/>
        <v>16.528300000000002</v>
      </c>
      <c r="AM48" s="715">
        <v>10.800576832053601</v>
      </c>
      <c r="AN48" s="715">
        <v>7.9081852954622596</v>
      </c>
      <c r="AO48" s="715">
        <v>9.5463149108266006</v>
      </c>
      <c r="AP48" s="715">
        <v>10.230896470800801</v>
      </c>
      <c r="AQ48" s="783">
        <v>8.0841680773751108</v>
      </c>
      <c r="AR48" s="782">
        <f t="shared" si="21"/>
        <v>15.574999999999999</v>
      </c>
      <c r="AS48" s="715">
        <v>11.412242824485601</v>
      </c>
      <c r="AT48" s="715">
        <v>9.2925604746691004</v>
      </c>
      <c r="AU48" s="715">
        <v>10.414364640883999</v>
      </c>
      <c r="AV48" s="715">
        <v>10.002726281352199</v>
      </c>
      <c r="AW48" s="783">
        <v>7.4049382716049399</v>
      </c>
      <c r="AX48" s="782">
        <f t="shared" si="22"/>
        <v>8.0007999999999999</v>
      </c>
      <c r="AY48" s="715">
        <v>5.4596028791895099</v>
      </c>
      <c r="AZ48" s="715">
        <v>4.3853182636826604</v>
      </c>
      <c r="BA48" s="715">
        <v>5.6389101658389302</v>
      </c>
      <c r="BB48" s="715">
        <v>6.3445682479438403</v>
      </c>
      <c r="BC48" s="783">
        <v>4.8978949619362604</v>
      </c>
      <c r="BD48" s="782">
        <f t="shared" si="31"/>
        <v>7.3711000000000002</v>
      </c>
      <c r="BE48" s="715">
        <v>6.7238118912100804</v>
      </c>
      <c r="BF48" s="715">
        <v>5.0324558356480802</v>
      </c>
      <c r="BG48" s="715">
        <v>6.0317740360888701</v>
      </c>
      <c r="BH48" s="715">
        <v>6.0858725996610499</v>
      </c>
      <c r="BI48" s="783">
        <v>4.4959076817347503</v>
      </c>
      <c r="BJ48" s="12"/>
      <c r="BK48" s="291" t="str">
        <f t="shared" si="23"/>
        <v>1Q14</v>
      </c>
      <c r="BL48" s="782">
        <f t="shared" si="24"/>
        <v>16.528300000000002</v>
      </c>
      <c r="BM48" s="715">
        <v>12.2734575189388</v>
      </c>
      <c r="BN48" s="715">
        <v>12.020802377414601</v>
      </c>
      <c r="BO48" s="715">
        <v>18.892142241050099</v>
      </c>
      <c r="BP48" s="715">
        <v>20.566111479131099</v>
      </c>
      <c r="BQ48" s="783">
        <v>15.502253191008201</v>
      </c>
      <c r="BR48" s="782">
        <f t="shared" si="25"/>
        <v>15.574999999999999</v>
      </c>
      <c r="BS48" s="715">
        <v>11.185550771815601</v>
      </c>
      <c r="BT48" s="715">
        <v>10.1049213090182</v>
      </c>
      <c r="BU48" s="715">
        <v>12.535617672514601</v>
      </c>
      <c r="BV48" s="715">
        <v>13.0753090608726</v>
      </c>
      <c r="BW48" s="783">
        <v>15.0280847979706</v>
      </c>
      <c r="BX48" s="782">
        <f t="shared" si="26"/>
        <v>8.0007999999999999</v>
      </c>
      <c r="BY48" s="715">
        <v>7.5665220163616098</v>
      </c>
      <c r="BZ48" s="715">
        <v>5.6916000078695399</v>
      </c>
      <c r="CA48" s="715">
        <v>8.5718704479234198</v>
      </c>
      <c r="CB48" s="715">
        <v>13.8815772921564</v>
      </c>
      <c r="CC48" s="783">
        <v>8.7722503879114395</v>
      </c>
      <c r="CD48" s="782">
        <f t="shared" si="32"/>
        <v>7.3711000000000002</v>
      </c>
      <c r="CE48" s="715">
        <v>6.5048980462069697</v>
      </c>
      <c r="CF48" s="715">
        <v>6.4048413447981503</v>
      </c>
      <c r="CG48" s="715">
        <v>6.9806056585949499</v>
      </c>
      <c r="CH48" s="715">
        <v>8.1589451904695505</v>
      </c>
      <c r="CI48" s="783">
        <v>8.0195826003854709</v>
      </c>
    </row>
    <row r="49" spans="1:87" ht="14.25" customHeight="1">
      <c r="A49" s="12"/>
      <c r="B49" s="12"/>
      <c r="C49" s="12"/>
      <c r="D49" s="12"/>
      <c r="E49" s="12"/>
      <c r="F49" s="12"/>
      <c r="G49" s="12"/>
      <c r="H49" s="12"/>
      <c r="I49" s="69">
        <f>IF(I48=4,1,I48+1)</f>
        <v>2</v>
      </c>
      <c r="J49" s="5">
        <f t="shared" si="27"/>
        <v>2014</v>
      </c>
      <c r="K49" s="291" t="str">
        <f t="shared" si="18"/>
        <v>2Q14</v>
      </c>
      <c r="L49" s="782">
        <v>17.909700000000001</v>
      </c>
      <c r="M49" s="715">
        <v>21.772300000000001</v>
      </c>
      <c r="N49" s="715">
        <v>20.102599999999999</v>
      </c>
      <c r="O49" s="715">
        <v>20.102599999999999</v>
      </c>
      <c r="P49" s="715">
        <v>20.102599999999999</v>
      </c>
      <c r="Q49" s="783">
        <v>20.102599999999999</v>
      </c>
      <c r="R49" s="782">
        <v>18.271899999999999</v>
      </c>
      <c r="S49" s="715">
        <v>20.340299999999999</v>
      </c>
      <c r="T49" s="715">
        <v>18.140999999999998</v>
      </c>
      <c r="U49" s="715">
        <v>18.140999999999998</v>
      </c>
      <c r="V49" s="715">
        <v>18.140999999999998</v>
      </c>
      <c r="W49" s="783">
        <v>18.140999999999998</v>
      </c>
      <c r="X49" s="782">
        <v>8.6036999999999999</v>
      </c>
      <c r="Y49" s="715">
        <v>11.131</v>
      </c>
      <c r="Z49" s="715">
        <v>10.293900000000001</v>
      </c>
      <c r="AA49" s="715">
        <v>10.293900000000001</v>
      </c>
      <c r="AB49" s="715">
        <v>10.293900000000001</v>
      </c>
      <c r="AC49" s="783">
        <v>10.293900000000001</v>
      </c>
      <c r="AD49" s="715">
        <v>8.2363</v>
      </c>
      <c r="AE49" s="715">
        <v>10.705299999999999</v>
      </c>
      <c r="AF49" s="715">
        <v>10.293900000000001</v>
      </c>
      <c r="AG49" s="715">
        <v>10.293900000000001</v>
      </c>
      <c r="AH49" s="715">
        <v>10.293900000000001</v>
      </c>
      <c r="AI49" s="783">
        <v>10.293900000000001</v>
      </c>
      <c r="AJ49" s="12"/>
      <c r="AK49" s="291" t="str">
        <f t="shared" si="19"/>
        <v>2Q14</v>
      </c>
      <c r="AL49" s="782">
        <f t="shared" si="20"/>
        <v>17.909700000000001</v>
      </c>
      <c r="AM49" s="715">
        <v>10.1080216461171</v>
      </c>
      <c r="AN49" s="715">
        <v>8.1848758019837504</v>
      </c>
      <c r="AO49" s="715">
        <v>9.8608863994172999</v>
      </c>
      <c r="AP49" s="715">
        <v>9.1327083880243496</v>
      </c>
      <c r="AQ49" s="783">
        <v>8.1531872577492006</v>
      </c>
      <c r="AR49" s="782">
        <f t="shared" si="21"/>
        <v>18.271899999999999</v>
      </c>
      <c r="AS49" s="715">
        <v>11.043753963221301</v>
      </c>
      <c r="AT49" s="715">
        <v>9.2435878858136498</v>
      </c>
      <c r="AU49" s="715">
        <v>10.886879569065</v>
      </c>
      <c r="AV49" s="715">
        <v>9.19559459082671</v>
      </c>
      <c r="AW49" s="783">
        <v>7.1259259259259302</v>
      </c>
      <c r="AX49" s="782">
        <f t="shared" si="22"/>
        <v>8.6036999999999999</v>
      </c>
      <c r="AY49" s="715">
        <v>5.0938422904182499</v>
      </c>
      <c r="AZ49" s="715">
        <v>4.5162177579657596</v>
      </c>
      <c r="BA49" s="715">
        <v>5.9616220191103997</v>
      </c>
      <c r="BB49" s="715">
        <v>5.7406774276128099</v>
      </c>
      <c r="BC49" s="783">
        <v>4.6919011230468799</v>
      </c>
      <c r="BD49" s="782">
        <f t="shared" si="31"/>
        <v>8.2363</v>
      </c>
      <c r="BE49" s="715">
        <v>6.3667476843007504</v>
      </c>
      <c r="BF49" s="715">
        <v>4.9854819313623802</v>
      </c>
      <c r="BG49" s="715">
        <v>6.4298645083485404</v>
      </c>
      <c r="BH49" s="715">
        <v>5.6189714790247196</v>
      </c>
      <c r="BI49" s="783">
        <v>4.2346854791344999</v>
      </c>
      <c r="BJ49" s="12"/>
      <c r="BK49" s="291" t="str">
        <f t="shared" si="23"/>
        <v>2Q14</v>
      </c>
      <c r="BL49" s="782">
        <f t="shared" si="24"/>
        <v>17.909700000000001</v>
      </c>
      <c r="BM49" s="715">
        <v>9.0476464984031004</v>
      </c>
      <c r="BN49" s="715">
        <v>11.2008310249307</v>
      </c>
      <c r="BO49" s="715">
        <v>19.056518630840099</v>
      </c>
      <c r="BP49" s="715">
        <v>17.744420077930101</v>
      </c>
      <c r="BQ49" s="783">
        <v>13.557266662622</v>
      </c>
      <c r="BR49" s="782">
        <f t="shared" si="25"/>
        <v>18.271899999999999</v>
      </c>
      <c r="BS49" s="715">
        <v>8.7382937120510409</v>
      </c>
      <c r="BT49" s="715">
        <v>9.8012362137922704</v>
      </c>
      <c r="BU49" s="715">
        <v>12.932523677211099</v>
      </c>
      <c r="BV49" s="715">
        <v>11.7818741310035</v>
      </c>
      <c r="BW49" s="783">
        <v>13.737722808293899</v>
      </c>
      <c r="BX49" s="782">
        <f t="shared" si="26"/>
        <v>8.6036999999999999</v>
      </c>
      <c r="BY49" s="715">
        <v>5.6087294252266497</v>
      </c>
      <c r="BZ49" s="715">
        <v>4.9802570793535903</v>
      </c>
      <c r="CA49" s="715">
        <v>9.2226650563073296</v>
      </c>
      <c r="CB49" s="715">
        <v>12.458154399644</v>
      </c>
      <c r="CC49" s="783">
        <v>9.2789607868954995</v>
      </c>
      <c r="CD49" s="782">
        <f t="shared" si="32"/>
        <v>8.2363</v>
      </c>
      <c r="CE49" s="715">
        <v>5.2765147437542899</v>
      </c>
      <c r="CF49" s="715">
        <v>5.61804636350975</v>
      </c>
      <c r="CG49" s="715">
        <v>8.3266432742954208</v>
      </c>
      <c r="CH49" s="715">
        <v>7.4694688739111097</v>
      </c>
      <c r="CI49" s="783">
        <v>8.6931720305652007</v>
      </c>
    </row>
    <row r="50" spans="1:87" ht="14.25" customHeight="1">
      <c r="A50" s="211" t="s">
        <v>1</v>
      </c>
      <c r="B50" s="12"/>
      <c r="C50" s="773" t="str">
        <f>Comparables!S89</f>
        <v>Defense Peer Group</v>
      </c>
      <c r="D50" s="81"/>
      <c r="E50" s="81"/>
      <c r="F50" s="81"/>
      <c r="G50" s="81"/>
      <c r="H50" s="82"/>
      <c r="I50" s="69">
        <f>IF(I49+1=5,1,I49+1)</f>
        <v>3</v>
      </c>
      <c r="J50" s="5">
        <f t="shared" si="27"/>
        <v>2014</v>
      </c>
      <c r="K50" s="291" t="str">
        <f t="shared" si="18"/>
        <v>3Q14</v>
      </c>
      <c r="L50" s="782">
        <v>20.0442</v>
      </c>
      <c r="M50" s="715">
        <v>22.067299999999999</v>
      </c>
      <c r="N50" s="715">
        <v>21.772300000000001</v>
      </c>
      <c r="O50" s="715">
        <v>21.772300000000001</v>
      </c>
      <c r="P50" s="715">
        <v>21.772300000000001</v>
      </c>
      <c r="Q50" s="783">
        <v>21.772300000000001</v>
      </c>
      <c r="R50" s="782">
        <v>20.5913</v>
      </c>
      <c r="S50" s="715">
        <v>20.338699999999999</v>
      </c>
      <c r="T50" s="715">
        <v>20.340299999999999</v>
      </c>
      <c r="U50" s="715">
        <v>20.340299999999999</v>
      </c>
      <c r="V50" s="715">
        <v>20.340299999999999</v>
      </c>
      <c r="W50" s="783">
        <v>20.340299999999999</v>
      </c>
      <c r="X50" s="782">
        <v>9.2169000000000008</v>
      </c>
      <c r="Y50" s="715">
        <v>11.168100000000001</v>
      </c>
      <c r="Z50" s="715">
        <v>11.131</v>
      </c>
      <c r="AA50" s="715">
        <v>11.131</v>
      </c>
      <c r="AB50" s="715">
        <v>11.131</v>
      </c>
      <c r="AC50" s="783">
        <v>11.131</v>
      </c>
      <c r="AD50" s="715">
        <v>9.2309000000000001</v>
      </c>
      <c r="AE50" s="715">
        <v>10.713699999999999</v>
      </c>
      <c r="AF50" s="715">
        <v>11.131</v>
      </c>
      <c r="AG50" s="715">
        <v>11.131</v>
      </c>
      <c r="AH50" s="715">
        <v>11.131</v>
      </c>
      <c r="AI50" s="783">
        <v>11.131</v>
      </c>
      <c r="AJ50" s="12"/>
      <c r="AK50" s="291" t="str">
        <f t="shared" si="19"/>
        <v>3Q14</v>
      </c>
      <c r="AL50" s="782">
        <f t="shared" si="20"/>
        <v>20.0442</v>
      </c>
      <c r="AM50" s="715">
        <v>10.604506858633499</v>
      </c>
      <c r="AN50" s="715">
        <v>8.5675855852532798</v>
      </c>
      <c r="AO50" s="715">
        <v>9.8064192930491192</v>
      </c>
      <c r="AP50" s="715">
        <v>9.3462699731994405</v>
      </c>
      <c r="AQ50" s="783">
        <v>9.1843422643598895</v>
      </c>
      <c r="AR50" s="782">
        <f t="shared" si="21"/>
        <v>20.5913</v>
      </c>
      <c r="AS50" s="715">
        <v>11.5326664196616</v>
      </c>
      <c r="AT50" s="715">
        <v>9.2046556741028098</v>
      </c>
      <c r="AU50" s="715">
        <v>10.7262150497279</v>
      </c>
      <c r="AV50" s="715">
        <v>9.3113645965357001</v>
      </c>
      <c r="AW50" s="783">
        <v>8.0271604938271608</v>
      </c>
      <c r="AX50" s="782">
        <f t="shared" si="22"/>
        <v>9.2169000000000008</v>
      </c>
      <c r="AY50" s="715">
        <v>5.2099114328871901</v>
      </c>
      <c r="AZ50" s="715">
        <v>4.6320341329997197</v>
      </c>
      <c r="BA50" s="715">
        <v>5.6791544496353099</v>
      </c>
      <c r="BB50" s="715">
        <v>5.6690001212186596</v>
      </c>
      <c r="BC50" s="783">
        <v>5.2383286313449604</v>
      </c>
      <c r="BD50" s="782">
        <f t="shared" si="31"/>
        <v>9.2309000000000001</v>
      </c>
      <c r="BE50" s="715">
        <v>6.4001431778441704</v>
      </c>
      <c r="BF50" s="715">
        <v>4.8363259735022304</v>
      </c>
      <c r="BG50" s="715">
        <v>6.1715329463913404</v>
      </c>
      <c r="BH50" s="715">
        <v>5.4748344797844402</v>
      </c>
      <c r="BI50" s="783">
        <v>4.73882668145305</v>
      </c>
      <c r="BJ50" s="12"/>
      <c r="BK50" s="291" t="str">
        <f t="shared" si="23"/>
        <v>3Q14</v>
      </c>
      <c r="BL50" s="782">
        <f t="shared" si="24"/>
        <v>20.0442</v>
      </c>
      <c r="BM50" s="715">
        <v>8.7278773820466</v>
      </c>
      <c r="BN50" s="715">
        <v>10.981358189081201</v>
      </c>
      <c r="BO50" s="715">
        <v>18.6636395296049</v>
      </c>
      <c r="BP50" s="715">
        <v>17.144196181385301</v>
      </c>
      <c r="BQ50" s="783">
        <v>14.213143045327</v>
      </c>
      <c r="BR50" s="782">
        <f t="shared" si="25"/>
        <v>20.5913</v>
      </c>
      <c r="BS50" s="715">
        <v>9.0682967959527794</v>
      </c>
      <c r="BT50" s="715">
        <v>10.6098031648012</v>
      </c>
      <c r="BU50" s="715">
        <v>14.1845479493177</v>
      </c>
      <c r="BV50" s="715">
        <v>12.6292508009654</v>
      </c>
      <c r="BW50" s="783">
        <v>14.7355543007717</v>
      </c>
      <c r="BX50" s="782">
        <f t="shared" si="26"/>
        <v>9.2169000000000008</v>
      </c>
      <c r="BY50" s="715">
        <v>5.2022216107864798</v>
      </c>
      <c r="BZ50" s="715">
        <v>4.8894015398405699</v>
      </c>
      <c r="CA50" s="715">
        <v>10.3988669282679</v>
      </c>
      <c r="CB50" s="715">
        <v>12.060953090903</v>
      </c>
      <c r="CC50" s="783">
        <v>10.432918866032299</v>
      </c>
      <c r="CD50" s="782">
        <f t="shared" si="32"/>
        <v>9.2309000000000001</v>
      </c>
      <c r="CE50" s="715">
        <v>5.4005266591104304</v>
      </c>
      <c r="CF50" s="715">
        <v>6.0121299580673702</v>
      </c>
      <c r="CG50" s="715">
        <v>9.2814803373105494</v>
      </c>
      <c r="CH50" s="715">
        <v>7.9211118503344</v>
      </c>
      <c r="CI50" s="783">
        <v>10.098826534220001</v>
      </c>
    </row>
    <row r="51" spans="1:87" ht="14.25" customHeight="1">
      <c r="A51" s="12"/>
      <c r="B51" s="12"/>
      <c r="C51" s="781" t="s">
        <v>915</v>
      </c>
      <c r="D51" s="781"/>
      <c r="E51" s="781"/>
      <c r="F51" s="781"/>
      <c r="G51" s="781"/>
      <c r="H51" s="781"/>
      <c r="I51" s="69">
        <f>IF(I50=4,1,I50+1)</f>
        <v>4</v>
      </c>
      <c r="J51" s="5">
        <f t="shared" si="27"/>
        <v>2014</v>
      </c>
      <c r="K51" s="291" t="str">
        <f t="shared" si="18"/>
        <v>4Q14</v>
      </c>
      <c r="L51" s="782">
        <v>21.679600000000001</v>
      </c>
      <c r="M51" s="715">
        <v>23.480899999999998</v>
      </c>
      <c r="N51" s="715">
        <v>22.067299999999999</v>
      </c>
      <c r="O51" s="715">
        <v>22.067299999999999</v>
      </c>
      <c r="P51" s="715">
        <v>22.067299999999999</v>
      </c>
      <c r="Q51" s="783">
        <v>22.067299999999999</v>
      </c>
      <c r="R51" s="782">
        <v>18.169599999999999</v>
      </c>
      <c r="S51" s="715">
        <v>19.823899999999998</v>
      </c>
      <c r="T51" s="715">
        <v>20.338699999999999</v>
      </c>
      <c r="U51" s="715">
        <v>20.338699999999999</v>
      </c>
      <c r="V51" s="715">
        <v>20.338699999999999</v>
      </c>
      <c r="W51" s="783">
        <v>20.338699999999999</v>
      </c>
      <c r="X51" s="782">
        <v>9.7542000000000009</v>
      </c>
      <c r="Y51" s="715">
        <v>11.847799999999999</v>
      </c>
      <c r="Z51" s="715">
        <v>11.168100000000001</v>
      </c>
      <c r="AA51" s="715">
        <v>11.168100000000001</v>
      </c>
      <c r="AB51" s="715">
        <v>11.168100000000001</v>
      </c>
      <c r="AC51" s="783">
        <v>11.168100000000001</v>
      </c>
      <c r="AD51" s="715">
        <v>8.9329000000000001</v>
      </c>
      <c r="AE51" s="715">
        <v>10.7791</v>
      </c>
      <c r="AF51" s="715">
        <v>11.168100000000001</v>
      </c>
      <c r="AG51" s="715">
        <v>11.168100000000001</v>
      </c>
      <c r="AH51" s="715">
        <v>11.168100000000001</v>
      </c>
      <c r="AI51" s="783">
        <v>11.168100000000001</v>
      </c>
      <c r="AJ51" s="12"/>
      <c r="AK51" s="291" t="str">
        <f t="shared" si="19"/>
        <v>4Q14</v>
      </c>
      <c r="AL51" s="782">
        <f t="shared" si="20"/>
        <v>21.679600000000001</v>
      </c>
      <c r="AM51" s="715">
        <v>10.939313538814</v>
      </c>
      <c r="AN51" s="715">
        <v>8.6596550540837605</v>
      </c>
      <c r="AO51" s="715">
        <v>10.0778388743355</v>
      </c>
      <c r="AP51" s="715">
        <v>10.943077827921501</v>
      </c>
      <c r="AQ51" s="783">
        <v>11.533681842924199</v>
      </c>
      <c r="AR51" s="782">
        <f t="shared" si="21"/>
        <v>18.169599999999999</v>
      </c>
      <c r="AS51" s="715">
        <v>10.9842894548917</v>
      </c>
      <c r="AT51" s="715">
        <v>9.1373715521903698</v>
      </c>
      <c r="AU51" s="715">
        <v>10.4030363274896</v>
      </c>
      <c r="AV51" s="715">
        <v>9.9056199056199006</v>
      </c>
      <c r="AW51" s="783">
        <v>8.4861460957178796</v>
      </c>
      <c r="AX51" s="782">
        <f t="shared" si="22"/>
        <v>9.7542000000000009</v>
      </c>
      <c r="AY51" s="715">
        <v>6.3212617783667797</v>
      </c>
      <c r="AZ51" s="715">
        <v>4.5769500874110598</v>
      </c>
      <c r="BA51" s="715">
        <v>5.7602046379062797</v>
      </c>
      <c r="BB51" s="715">
        <v>17.2533686233174</v>
      </c>
      <c r="BC51" s="783">
        <v>4.8420267576111904</v>
      </c>
      <c r="BD51" s="782">
        <f t="shared" si="31"/>
        <v>8.9329000000000001</v>
      </c>
      <c r="BE51" s="715">
        <v>6.78215566248927</v>
      </c>
      <c r="BF51" s="715">
        <v>5.09924907976123</v>
      </c>
      <c r="BG51" s="715">
        <v>6.1027920648129204</v>
      </c>
      <c r="BH51" s="715">
        <v>5.6231538759320303</v>
      </c>
      <c r="BI51" s="783">
        <v>4.4171100759988402</v>
      </c>
      <c r="BJ51" s="12"/>
      <c r="BK51" s="291" t="str">
        <f t="shared" si="23"/>
        <v>4Q14</v>
      </c>
      <c r="BL51" s="782">
        <f t="shared" si="24"/>
        <v>21.679600000000001</v>
      </c>
      <c r="BM51" s="715">
        <v>10.410691881697</v>
      </c>
      <c r="BN51" s="715">
        <v>11.1961858862244</v>
      </c>
      <c r="BO51" s="715">
        <v>14.1480637413155</v>
      </c>
      <c r="BP51" s="715">
        <v>14.881808397399199</v>
      </c>
      <c r="BQ51" s="783">
        <v>15.085911145988399</v>
      </c>
      <c r="BR51" s="782">
        <f t="shared" si="25"/>
        <v>18.169599999999999</v>
      </c>
      <c r="BS51" s="715">
        <v>9.8405996046562692</v>
      </c>
      <c r="BT51" s="715">
        <v>10.3459834789896</v>
      </c>
      <c r="BU51" s="715">
        <v>13.4242627318696</v>
      </c>
      <c r="BV51" s="715">
        <v>13.4783838217687</v>
      </c>
      <c r="BW51" s="783">
        <v>15.403831705484601</v>
      </c>
      <c r="BX51" s="782">
        <f t="shared" si="26"/>
        <v>9.7542000000000009</v>
      </c>
      <c r="BY51" s="715">
        <v>5.7814877370529096</v>
      </c>
      <c r="BZ51" s="715">
        <v>4.7203507561979903</v>
      </c>
      <c r="CA51" s="715">
        <v>9.1583822684634502</v>
      </c>
      <c r="CB51" s="715">
        <v>9.0303024554116096</v>
      </c>
      <c r="CC51" s="783">
        <v>10.3128599049214</v>
      </c>
      <c r="CD51" s="782">
        <f t="shared" si="32"/>
        <v>8.9329000000000001</v>
      </c>
      <c r="CE51" s="715">
        <v>5.9061216351418304</v>
      </c>
      <c r="CF51" s="715">
        <v>5.2990035348640001</v>
      </c>
      <c r="CG51" s="715">
        <v>7.8207329634217704</v>
      </c>
      <c r="CH51" s="715">
        <v>7.5038676076876598</v>
      </c>
      <c r="CI51" s="783">
        <v>8.6161712792805591</v>
      </c>
    </row>
    <row r="52" spans="1:87" ht="14.25" customHeight="1">
      <c r="A52" s="12"/>
      <c r="B52" s="12"/>
      <c r="C52" s="69"/>
      <c r="D52" s="12"/>
      <c r="E52" s="69" t="s">
        <v>910</v>
      </c>
      <c r="F52" s="69" t="s">
        <v>911</v>
      </c>
      <c r="G52" s="69" t="s">
        <v>912</v>
      </c>
      <c r="H52" s="69" t="s">
        <v>913</v>
      </c>
      <c r="I52" s="69">
        <f>I48</f>
        <v>1</v>
      </c>
      <c r="J52" s="5">
        <f t="shared" si="27"/>
        <v>2015</v>
      </c>
      <c r="K52" s="291" t="str">
        <f t="shared" si="18"/>
        <v>1Q15</v>
      </c>
      <c r="L52" s="782">
        <v>22.7334</v>
      </c>
      <c r="M52" s="715">
        <v>24.593699999999998</v>
      </c>
      <c r="N52" s="715">
        <v>23.480899999999998</v>
      </c>
      <c r="O52" s="715">
        <v>23.480899999999998</v>
      </c>
      <c r="P52" s="715">
        <v>23.480899999999998</v>
      </c>
      <c r="Q52" s="783">
        <v>23.480899999999998</v>
      </c>
      <c r="R52" s="782">
        <v>19.616299999999999</v>
      </c>
      <c r="S52" s="715">
        <v>21.365100000000002</v>
      </c>
      <c r="T52" s="715">
        <v>19.823899999999998</v>
      </c>
      <c r="U52" s="715">
        <v>19.823899999999998</v>
      </c>
      <c r="V52" s="715">
        <v>19.823899999999998</v>
      </c>
      <c r="W52" s="783">
        <v>19.823899999999998</v>
      </c>
      <c r="X52" s="782">
        <v>9.9684000000000008</v>
      </c>
      <c r="Y52" s="715">
        <v>12.341200000000001</v>
      </c>
      <c r="Z52" s="715">
        <v>11.847799999999999</v>
      </c>
      <c r="AA52" s="715">
        <v>11.847799999999999</v>
      </c>
      <c r="AB52" s="715">
        <v>11.847799999999999</v>
      </c>
      <c r="AC52" s="783">
        <v>11.847799999999999</v>
      </c>
      <c r="AD52" s="715">
        <v>9.2539999999999996</v>
      </c>
      <c r="AE52" s="715">
        <v>11.4176</v>
      </c>
      <c r="AF52" s="715">
        <v>11.847799999999999</v>
      </c>
      <c r="AG52" s="715">
        <v>11.847799999999999</v>
      </c>
      <c r="AH52" s="715">
        <v>11.847799999999999</v>
      </c>
      <c r="AI52" s="783">
        <v>11.847799999999999</v>
      </c>
      <c r="AJ52" s="12"/>
      <c r="AK52" s="291" t="str">
        <f t="shared" si="19"/>
        <v>1Q15</v>
      </c>
      <c r="AL52" s="782">
        <f t="shared" si="20"/>
        <v>22.7334</v>
      </c>
      <c r="AM52" s="715">
        <v>10.9747005408781</v>
      </c>
      <c r="AN52" s="715">
        <v>8.9090610294175505</v>
      </c>
      <c r="AO52" s="715">
        <v>9.9958445579010906</v>
      </c>
      <c r="AP52" s="715">
        <v>11.0516739030497</v>
      </c>
      <c r="AQ52" s="783">
        <v>13.498755567423601</v>
      </c>
      <c r="AR52" s="782">
        <f t="shared" si="21"/>
        <v>19.616299999999999</v>
      </c>
      <c r="AS52" s="715">
        <v>10.7964205816555</v>
      </c>
      <c r="AT52" s="715">
        <v>9.9545906059315996</v>
      </c>
      <c r="AU52" s="715">
        <v>11.0217472815898</v>
      </c>
      <c r="AV52" s="715">
        <v>10.410453270338101</v>
      </c>
      <c r="AW52" s="783">
        <v>9.4330143540669908</v>
      </c>
      <c r="AX52" s="782">
        <f t="shared" si="22"/>
        <v>9.9684000000000008</v>
      </c>
      <c r="AY52" s="715">
        <v>6.2522265132100596</v>
      </c>
      <c r="AZ52" s="715">
        <v>4.8395278735310798</v>
      </c>
      <c r="BA52" s="715">
        <v>5.8358753185715804</v>
      </c>
      <c r="BB52" s="715">
        <v>17.595878849189798</v>
      </c>
      <c r="BC52" s="783">
        <v>5.6852747232923804</v>
      </c>
      <c r="BD52" s="782">
        <f t="shared" si="31"/>
        <v>9.2539999999999996</v>
      </c>
      <c r="BE52" s="715">
        <v>6.4006594115313096</v>
      </c>
      <c r="BF52" s="715">
        <v>5.3891891710549098</v>
      </c>
      <c r="BG52" s="715">
        <v>6.3709681153098501</v>
      </c>
      <c r="BH52" s="715">
        <v>6.0659536779070899</v>
      </c>
      <c r="BI52" s="783">
        <v>5.2266664649215997</v>
      </c>
      <c r="BJ52" s="12"/>
      <c r="BK52" s="291" t="str">
        <f t="shared" si="23"/>
        <v>1Q15</v>
      </c>
      <c r="BL52" s="782">
        <f t="shared" si="24"/>
        <v>22.7334</v>
      </c>
      <c r="BM52" s="715">
        <v>11.397949234108101</v>
      </c>
      <c r="BN52" s="715">
        <v>10.6559916715208</v>
      </c>
      <c r="BO52" s="715">
        <v>16.3110862969049</v>
      </c>
      <c r="BP52" s="715">
        <v>16.9422737201693</v>
      </c>
      <c r="BQ52" s="783">
        <v>16.594655252830901</v>
      </c>
      <c r="BR52" s="782">
        <f t="shared" si="25"/>
        <v>19.616299999999999</v>
      </c>
      <c r="BS52" s="715">
        <v>10.861745972274299</v>
      </c>
      <c r="BT52" s="715">
        <v>10.012810061721201</v>
      </c>
      <c r="BU52" s="715">
        <v>13.252315067382201</v>
      </c>
      <c r="BV52" s="715">
        <v>14.4974502069346</v>
      </c>
      <c r="BW52" s="783">
        <v>15.2838213643056</v>
      </c>
      <c r="BX52" s="782">
        <f t="shared" si="26"/>
        <v>9.9684000000000008</v>
      </c>
      <c r="BY52" s="715">
        <v>6.1782432602623603</v>
      </c>
      <c r="BZ52" s="715">
        <v>5.3687123589161496</v>
      </c>
      <c r="CA52" s="715">
        <v>9.7439555047569293</v>
      </c>
      <c r="CB52" s="715">
        <v>10.559128703337301</v>
      </c>
      <c r="CC52" s="783">
        <v>10.940341244788</v>
      </c>
      <c r="CD52" s="782">
        <f t="shared" si="32"/>
        <v>9.2539999999999996</v>
      </c>
      <c r="CE52" s="715">
        <v>6.05796027145949</v>
      </c>
      <c r="CF52" s="715">
        <v>6.0386841822049799</v>
      </c>
      <c r="CG52" s="715">
        <v>7.7790305096280203</v>
      </c>
      <c r="CH52" s="715">
        <v>9.0216648635803995</v>
      </c>
      <c r="CI52" s="783">
        <v>9.7673827715197099</v>
      </c>
    </row>
    <row r="53" spans="1:87" ht="14.25" customHeight="1">
      <c r="A53" s="12"/>
      <c r="B53" s="12"/>
      <c r="C53" s="12" t="s">
        <v>884</v>
      </c>
      <c r="D53" s="12"/>
      <c r="E53" s="662">
        <f>AVERAGE(AM81:AQ86)</f>
        <v>16.2811317957635</v>
      </c>
      <c r="F53" s="662">
        <f>AVERAGE(AS81:AW86)</f>
        <v>16.207046180263625</v>
      </c>
      <c r="G53" s="662">
        <f>AVERAGE(AY81:BC86)</f>
        <v>12.026952580590283</v>
      </c>
      <c r="H53" s="662">
        <f>AVERAGE(BE81:BI86)</f>
        <v>12.189450395723325</v>
      </c>
      <c r="I53" s="69">
        <f>IF(I52=4,1,I52+1)</f>
        <v>2</v>
      </c>
      <c r="J53" s="5">
        <f t="shared" si="27"/>
        <v>2015</v>
      </c>
      <c r="K53" s="291" t="str">
        <f t="shared" si="18"/>
        <v>2Q15</v>
      </c>
      <c r="L53" s="782">
        <v>23.4712</v>
      </c>
      <c r="M53" s="715">
        <v>22.440799999999999</v>
      </c>
      <c r="N53" s="715">
        <v>24.593699999999998</v>
      </c>
      <c r="O53" s="715">
        <v>24.593699999999998</v>
      </c>
      <c r="P53" s="715">
        <v>24.593699999999998</v>
      </c>
      <c r="Q53" s="783">
        <v>24.593699999999998</v>
      </c>
      <c r="R53" s="782">
        <v>21.8094</v>
      </c>
      <c r="S53" s="715">
        <v>20.583400000000001</v>
      </c>
      <c r="T53" s="715">
        <v>21.365100000000002</v>
      </c>
      <c r="U53" s="715">
        <v>21.365100000000002</v>
      </c>
      <c r="V53" s="715">
        <v>21.365100000000002</v>
      </c>
      <c r="W53" s="783">
        <v>21.365100000000002</v>
      </c>
      <c r="X53" s="782">
        <v>10.499700000000001</v>
      </c>
      <c r="Y53" s="715">
        <v>11.4298</v>
      </c>
      <c r="Z53" s="715">
        <v>12.341200000000001</v>
      </c>
      <c r="AA53" s="715">
        <v>12.341200000000001</v>
      </c>
      <c r="AB53" s="715">
        <v>12.341200000000001</v>
      </c>
      <c r="AC53" s="783">
        <v>12.341200000000001</v>
      </c>
      <c r="AD53" s="715">
        <v>10.142099999999999</v>
      </c>
      <c r="AE53" s="715">
        <v>10.9513</v>
      </c>
      <c r="AF53" s="715">
        <v>12.341200000000001</v>
      </c>
      <c r="AG53" s="715">
        <v>12.341200000000001</v>
      </c>
      <c r="AH53" s="715">
        <v>12.341200000000001</v>
      </c>
      <c r="AI53" s="783">
        <v>12.341200000000001</v>
      </c>
      <c r="AJ53" s="12"/>
      <c r="AK53" s="291" t="str">
        <f t="shared" si="19"/>
        <v>2Q15</v>
      </c>
      <c r="AL53" s="782">
        <f t="shared" si="20"/>
        <v>23.4712</v>
      </c>
      <c r="AM53" s="715">
        <v>11.9782130374776</v>
      </c>
      <c r="AN53" s="715">
        <v>10.1920161063397</v>
      </c>
      <c r="AO53" s="715">
        <v>11.0652994919033</v>
      </c>
      <c r="AP53" s="715">
        <v>12.1382016308239</v>
      </c>
      <c r="AQ53" s="783">
        <v>13.1569455274973</v>
      </c>
      <c r="AR53" s="782">
        <f t="shared" si="21"/>
        <v>21.8094</v>
      </c>
      <c r="AS53" s="715">
        <v>12.041745309204</v>
      </c>
      <c r="AT53" s="715">
        <v>11.5031953320367</v>
      </c>
      <c r="AU53" s="715">
        <v>12.081125525306</v>
      </c>
      <c r="AV53" s="715">
        <v>11.602725522144899</v>
      </c>
      <c r="AW53" s="783">
        <v>9.0543735224586293</v>
      </c>
      <c r="AX53" s="782">
        <f t="shared" si="22"/>
        <v>10.499700000000001</v>
      </c>
      <c r="AY53" s="715">
        <v>6.7806384916956501</v>
      </c>
      <c r="AZ53" s="715">
        <v>5.6668475002618903</v>
      </c>
      <c r="BA53" s="715">
        <v>6.6173009488541998</v>
      </c>
      <c r="BB53" s="715">
        <v>19.9828410370048</v>
      </c>
      <c r="BC53" s="783">
        <v>6.5182717307446802</v>
      </c>
      <c r="BD53" s="782">
        <f t="shared" si="31"/>
        <v>10.142099999999999</v>
      </c>
      <c r="BE53" s="715">
        <v>7.0939731276136504</v>
      </c>
      <c r="BF53" s="715">
        <v>6.3386203367406901</v>
      </c>
      <c r="BG53" s="715">
        <v>7.2843249653187199</v>
      </c>
      <c r="BH53" s="715">
        <v>6.6810589837152801</v>
      </c>
      <c r="BI53" s="783">
        <v>5.7374152984278499</v>
      </c>
      <c r="BJ53" s="12"/>
      <c r="BK53" s="291" t="str">
        <f t="shared" si="23"/>
        <v>2Q15</v>
      </c>
      <c r="BL53" s="782">
        <f t="shared" si="24"/>
        <v>23.4712</v>
      </c>
      <c r="BM53" s="715">
        <v>12.7998713961279</v>
      </c>
      <c r="BN53" s="715">
        <v>9.88599170185066</v>
      </c>
      <c r="BO53" s="715">
        <v>16.8796644924156</v>
      </c>
      <c r="BP53" s="715">
        <v>17.154354094817101</v>
      </c>
      <c r="BQ53" s="783">
        <v>16.296834549429501</v>
      </c>
      <c r="BR53" s="782">
        <f t="shared" si="25"/>
        <v>21.8094</v>
      </c>
      <c r="BS53" s="715">
        <v>12.059941520467801</v>
      </c>
      <c r="BT53" s="715">
        <v>9.5431054733380307</v>
      </c>
      <c r="BU53" s="715">
        <v>13.428566244578301</v>
      </c>
      <c r="BV53" s="715">
        <v>15.258964312591599</v>
      </c>
      <c r="BW53" s="783">
        <v>15.211129296235701</v>
      </c>
      <c r="BX53" s="782">
        <f t="shared" si="26"/>
        <v>10.499700000000001</v>
      </c>
      <c r="BY53" s="715">
        <v>8.31815669163724</v>
      </c>
      <c r="BZ53" s="715">
        <v>4.3612406942406299</v>
      </c>
      <c r="CA53" s="715">
        <v>9.9897928444639295</v>
      </c>
      <c r="CB53" s="715">
        <v>10.904739652265199</v>
      </c>
      <c r="CC53" s="783">
        <v>10.2848031066489</v>
      </c>
      <c r="CD53" s="782">
        <f t="shared" si="32"/>
        <v>10.142099999999999</v>
      </c>
      <c r="CE53" s="715">
        <v>8.6052754409505301</v>
      </c>
      <c r="CF53" s="715">
        <v>5.3071131009190902</v>
      </c>
      <c r="CG53" s="715">
        <v>8.22929198083086</v>
      </c>
      <c r="CH53" s="715">
        <v>9.5034929444433693</v>
      </c>
      <c r="CI53" s="783">
        <v>9.4614600438574801</v>
      </c>
    </row>
    <row r="54" spans="1:87" ht="14.25" customHeight="1">
      <c r="A54" s="12"/>
      <c r="B54" s="12"/>
      <c r="C54" s="12" t="s">
        <v>886</v>
      </c>
      <c r="D54" s="12"/>
      <c r="E54" s="662">
        <f>AVERAGE(AM77:AQ86)</f>
        <v>16.167189775700525</v>
      </c>
      <c r="F54" s="662">
        <f>AVERAGE(AS77:AW86)</f>
        <v>16.123041845273583</v>
      </c>
      <c r="G54" s="662">
        <f>AVERAGE(AY77:BC86)</f>
        <v>11.956183028879179</v>
      </c>
      <c r="H54" s="662">
        <f>AVERAGE(BE77:BI86)</f>
        <v>12.126972274067899</v>
      </c>
      <c r="I54" s="69">
        <f>IF(I53+1=5,1,I53+1)</f>
        <v>3</v>
      </c>
      <c r="J54" s="5">
        <f t="shared" si="27"/>
        <v>2015</v>
      </c>
      <c r="K54" s="291" t="str">
        <f t="shared" si="18"/>
        <v>3Q15</v>
      </c>
      <c r="L54" s="782">
        <v>23.540199999999999</v>
      </c>
      <c r="M54" s="715">
        <v>22.254100000000001</v>
      </c>
      <c r="N54" s="715">
        <v>22.440799999999999</v>
      </c>
      <c r="O54" s="715">
        <v>22.440799999999999</v>
      </c>
      <c r="P54" s="715">
        <v>22.440799999999999</v>
      </c>
      <c r="Q54" s="783">
        <v>22.440799999999999</v>
      </c>
      <c r="R54" s="782">
        <v>22.823599999999999</v>
      </c>
      <c r="S54" s="715">
        <v>21.9925</v>
      </c>
      <c r="T54" s="715">
        <v>20.583400000000001</v>
      </c>
      <c r="U54" s="715">
        <v>20.583400000000001</v>
      </c>
      <c r="V54" s="715">
        <v>20.583400000000001</v>
      </c>
      <c r="W54" s="783">
        <v>20.583400000000001</v>
      </c>
      <c r="X54" s="782">
        <v>10.6759</v>
      </c>
      <c r="Y54" s="715">
        <v>11.6625</v>
      </c>
      <c r="Z54" s="715">
        <v>11.4298</v>
      </c>
      <c r="AA54" s="715">
        <v>11.4298</v>
      </c>
      <c r="AB54" s="715">
        <v>11.4298</v>
      </c>
      <c r="AC54" s="783">
        <v>11.4298</v>
      </c>
      <c r="AD54" s="715">
        <v>10.6153</v>
      </c>
      <c r="AE54" s="715">
        <v>11.6875</v>
      </c>
      <c r="AF54" s="715">
        <v>11.4298</v>
      </c>
      <c r="AG54" s="715">
        <v>11.4298</v>
      </c>
      <c r="AH54" s="715">
        <v>11.4298</v>
      </c>
      <c r="AI54" s="783">
        <v>11.4298</v>
      </c>
      <c r="AJ54" s="12"/>
      <c r="AK54" s="291" t="str">
        <f t="shared" si="19"/>
        <v>3Q15</v>
      </c>
      <c r="AL54" s="782">
        <f t="shared" si="20"/>
        <v>23.540199999999999</v>
      </c>
      <c r="AM54" s="715">
        <v>13.61392571717</v>
      </c>
      <c r="AN54" s="715">
        <v>11.2813752145605</v>
      </c>
      <c r="AO54" s="715">
        <v>12.858861853077601</v>
      </c>
      <c r="AP54" s="715">
        <v>13.2005714616677</v>
      </c>
      <c r="AQ54" s="783">
        <v>15.609702474398899</v>
      </c>
      <c r="AR54" s="782">
        <f t="shared" si="21"/>
        <v>22.823599999999999</v>
      </c>
      <c r="AS54" s="715">
        <v>13.3532244556114</v>
      </c>
      <c r="AT54" s="715">
        <v>12.3698221010258</v>
      </c>
      <c r="AU54" s="715">
        <v>13.561499208164699</v>
      </c>
      <c r="AV54" s="715">
        <v>12.572906191639101</v>
      </c>
      <c r="AW54" s="783">
        <v>10.616822429906501</v>
      </c>
      <c r="AX54" s="782">
        <f t="shared" si="22"/>
        <v>10.6759</v>
      </c>
      <c r="AY54" s="715">
        <v>7.7770805792906197</v>
      </c>
      <c r="AZ54" s="715">
        <v>6.2543088314255302</v>
      </c>
      <c r="BA54" s="715">
        <v>7.5394697268294202</v>
      </c>
      <c r="BB54" s="715">
        <v>21.457728598780601</v>
      </c>
      <c r="BC54" s="783">
        <v>7.6117751832051903</v>
      </c>
      <c r="BD54" s="782">
        <f t="shared" si="31"/>
        <v>10.6153</v>
      </c>
      <c r="BE54" s="715">
        <v>7.8494887814227701</v>
      </c>
      <c r="BF54" s="715">
        <v>6.6309938124452001</v>
      </c>
      <c r="BG54" s="715">
        <v>7.9693008206548201</v>
      </c>
      <c r="BH54" s="715">
        <v>7.1844435802312399</v>
      </c>
      <c r="BI54" s="783">
        <v>6.6235016333890897</v>
      </c>
      <c r="BJ54" s="12"/>
      <c r="BK54" s="291" t="str">
        <f t="shared" si="23"/>
        <v>3Q15</v>
      </c>
      <c r="BL54" s="782">
        <f t="shared" si="24"/>
        <v>23.540199999999999</v>
      </c>
      <c r="BM54" s="715">
        <v>14.9862401518031</v>
      </c>
      <c r="BN54" s="715">
        <v>9.1330031881912603</v>
      </c>
      <c r="BO54" s="715">
        <v>17.601504697710901</v>
      </c>
      <c r="BP54" s="715">
        <v>17.716476072070002</v>
      </c>
      <c r="BQ54" s="783">
        <v>18.2145269890738</v>
      </c>
      <c r="BR54" s="782">
        <f t="shared" si="25"/>
        <v>22.823599999999999</v>
      </c>
      <c r="BS54" s="715">
        <v>13.265468426912699</v>
      </c>
      <c r="BT54" s="715">
        <v>9.1841570751523296</v>
      </c>
      <c r="BU54" s="715">
        <v>13.8673284698068</v>
      </c>
      <c r="BV54" s="715">
        <v>15.9802470919811</v>
      </c>
      <c r="BW54" s="783">
        <v>17.520311992200199</v>
      </c>
      <c r="BX54" s="782">
        <f t="shared" si="26"/>
        <v>10.6759</v>
      </c>
      <c r="BY54" s="715">
        <v>7.2208145104475596</v>
      </c>
      <c r="BZ54" s="715">
        <v>4.0539397398064798</v>
      </c>
      <c r="CA54" s="715">
        <v>10.600398887944101</v>
      </c>
      <c r="CB54" s="715">
        <v>11.019232208217501</v>
      </c>
      <c r="CC54" s="783">
        <v>11.200809889294501</v>
      </c>
      <c r="CD54" s="782">
        <f t="shared" si="32"/>
        <v>10.6153</v>
      </c>
      <c r="CE54" s="715">
        <v>6.9112131795103</v>
      </c>
      <c r="CF54" s="715">
        <v>4.8679646795903597</v>
      </c>
      <c r="CG54" s="715">
        <v>9.2467997269908206</v>
      </c>
      <c r="CH54" s="715">
        <v>10.154798257915299</v>
      </c>
      <c r="CI54" s="783">
        <v>10.8621545004283</v>
      </c>
    </row>
    <row r="55" spans="1:87" ht="14.25" customHeight="1">
      <c r="A55" s="12"/>
      <c r="B55" s="12"/>
      <c r="C55" s="12" t="s">
        <v>881</v>
      </c>
      <c r="D55" s="12"/>
      <c r="E55" s="662">
        <f>AVERAGE(AM73:AQ86)</f>
        <v>16.693825092020955</v>
      </c>
      <c r="F55" s="662">
        <f>AVERAGE(AS73:AW86)</f>
        <v>16.078511393647254</v>
      </c>
      <c r="G55" s="662">
        <f>AVERAGE(AY73:BC86)</f>
        <v>11.965668501832177</v>
      </c>
      <c r="H55" s="662">
        <f>AVERAGE(BE73:BI86)</f>
        <v>11.894008260500881</v>
      </c>
      <c r="I55" s="69">
        <f>IF(I54=4,1,I54+1)</f>
        <v>4</v>
      </c>
      <c r="J55" s="5">
        <f t="shared" si="27"/>
        <v>2015</v>
      </c>
      <c r="K55" s="291" t="str">
        <f t="shared" si="18"/>
        <v>4Q15</v>
      </c>
      <c r="L55" s="782">
        <v>22.692299999999999</v>
      </c>
      <c r="M55" s="715">
        <v>21.101299999999998</v>
      </c>
      <c r="N55" s="715">
        <v>22.254100000000001</v>
      </c>
      <c r="O55" s="715">
        <v>22.254100000000001</v>
      </c>
      <c r="P55" s="715">
        <v>22.254100000000001</v>
      </c>
      <c r="Q55" s="783">
        <v>22.254100000000001</v>
      </c>
      <c r="R55" s="782">
        <v>18.5932</v>
      </c>
      <c r="S55" s="715">
        <v>17.862300000000001</v>
      </c>
      <c r="T55" s="715">
        <v>21.9925</v>
      </c>
      <c r="U55" s="715">
        <v>21.9925</v>
      </c>
      <c r="V55" s="715">
        <v>21.9925</v>
      </c>
      <c r="W55" s="783">
        <v>21.9925</v>
      </c>
      <c r="X55" s="782">
        <v>10.6981</v>
      </c>
      <c r="Y55" s="715">
        <v>11.1784</v>
      </c>
      <c r="Z55" s="715">
        <v>11.6625</v>
      </c>
      <c r="AA55" s="715">
        <v>11.6625</v>
      </c>
      <c r="AB55" s="715">
        <v>11.6625</v>
      </c>
      <c r="AC55" s="783">
        <v>11.6625</v>
      </c>
      <c r="AD55" s="715">
        <v>9.6793999999999993</v>
      </c>
      <c r="AE55" s="715">
        <v>10.181100000000001</v>
      </c>
      <c r="AF55" s="715">
        <v>11.6625</v>
      </c>
      <c r="AG55" s="715">
        <v>11.6625</v>
      </c>
      <c r="AH55" s="715">
        <v>11.6625</v>
      </c>
      <c r="AI55" s="783">
        <v>11.6625</v>
      </c>
      <c r="AJ55" s="12"/>
      <c r="AK55" s="291" t="str">
        <f t="shared" si="19"/>
        <v>4Q15</v>
      </c>
      <c r="AL55" s="782">
        <f t="shared" si="20"/>
        <v>22.692299999999999</v>
      </c>
      <c r="AM55" s="715">
        <v>14.899093867297999</v>
      </c>
      <c r="AN55" s="715">
        <v>13.4652467749377</v>
      </c>
      <c r="AO55" s="715">
        <v>14.8842735424243</v>
      </c>
      <c r="AP55" s="715">
        <v>13.457771119862601</v>
      </c>
      <c r="AQ55" s="783">
        <v>83.653846153846104</v>
      </c>
      <c r="AR55" s="782">
        <f t="shared" si="21"/>
        <v>18.5932</v>
      </c>
      <c r="AS55" s="715">
        <v>15.3669629935911</v>
      </c>
      <c r="AT55" s="715">
        <v>14.1145320197044</v>
      </c>
      <c r="AU55" s="715">
        <v>15.565471082889999</v>
      </c>
      <c r="AV55" s="715">
        <v>13.595617529880499</v>
      </c>
      <c r="AW55" s="783">
        <v>10.0694444444444</v>
      </c>
      <c r="AX55" s="782">
        <f t="shared" si="22"/>
        <v>10.6981</v>
      </c>
      <c r="AY55" s="715">
        <v>9.3088036269655703</v>
      </c>
      <c r="AZ55" s="715">
        <v>7.2477448823505997</v>
      </c>
      <c r="BA55" s="715">
        <v>8.7422728427725698</v>
      </c>
      <c r="BB55" s="715">
        <v>7.6902364817677302</v>
      </c>
      <c r="BC55" s="783">
        <v>6.9857466980330596</v>
      </c>
      <c r="BD55" s="782">
        <f t="shared" si="31"/>
        <v>9.6793999999999993</v>
      </c>
      <c r="BE55" s="715">
        <v>8.4763377880131205</v>
      </c>
      <c r="BF55" s="715">
        <v>7.4726684860347303</v>
      </c>
      <c r="BG55" s="715">
        <v>8.5401097886188708</v>
      </c>
      <c r="BH55" s="715">
        <v>7.4476937680323898</v>
      </c>
      <c r="BI55" s="783">
        <v>6.37364243076596</v>
      </c>
      <c r="BJ55" s="12"/>
      <c r="BK55" s="291" t="str">
        <f t="shared" si="23"/>
        <v>4Q15</v>
      </c>
      <c r="BL55" s="782">
        <f t="shared" si="24"/>
        <v>22.692299999999999</v>
      </c>
      <c r="BM55" s="715">
        <v>16.2012154925796</v>
      </c>
      <c r="BN55" s="715">
        <v>9.7899129487758092</v>
      </c>
      <c r="BO55" s="715">
        <v>20.0747118434189</v>
      </c>
      <c r="BP55" s="715">
        <v>16.408602409626901</v>
      </c>
      <c r="BQ55" s="783">
        <v>18.1950160365563</v>
      </c>
      <c r="BR55" s="782">
        <f t="shared" si="25"/>
        <v>18.5932</v>
      </c>
      <c r="BS55" s="715">
        <v>16.6014625228519</v>
      </c>
      <c r="BT55" s="715">
        <v>10.950839328537199</v>
      </c>
      <c r="BU55" s="715">
        <v>16.459301613927899</v>
      </c>
      <c r="BV55" s="715">
        <v>17.586830299998802</v>
      </c>
      <c r="BW55" s="783">
        <v>18.504065040650399</v>
      </c>
      <c r="BX55" s="782">
        <f t="shared" si="26"/>
        <v>10.6981</v>
      </c>
      <c r="BY55" s="715">
        <v>7.1178990247401401</v>
      </c>
      <c r="BZ55" s="715">
        <v>4.2890281594581401</v>
      </c>
      <c r="CA55" s="715">
        <v>15.144914733762</v>
      </c>
      <c r="CB55" s="715">
        <v>11.4352152994917</v>
      </c>
      <c r="CC55" s="783">
        <v>11.102597606948899</v>
      </c>
      <c r="CD55" s="782">
        <f t="shared" si="32"/>
        <v>9.6793999999999993</v>
      </c>
      <c r="CE55" s="715">
        <v>7.5133221977130003</v>
      </c>
      <c r="CF55" s="715">
        <v>5.6327910831685397</v>
      </c>
      <c r="CG55" s="715">
        <v>9.1631024619332102</v>
      </c>
      <c r="CH55" s="715">
        <v>9.4597631359393599</v>
      </c>
      <c r="CI55" s="783">
        <v>10.199800616474</v>
      </c>
    </row>
    <row r="56" spans="1:87" ht="14.25" customHeight="1">
      <c r="A56" s="12"/>
      <c r="B56" s="12"/>
      <c r="C56" s="12" t="s">
        <v>887</v>
      </c>
      <c r="D56" s="12"/>
      <c r="E56" s="662">
        <f>AVERAGE(AM65:AQ86)</f>
        <v>18.270614828253066</v>
      </c>
      <c r="F56" s="662">
        <f>AVERAGE(AS65:AW86)</f>
        <v>17.344062816540788</v>
      </c>
      <c r="G56" s="662">
        <f>AVERAGE(AY65:BC86)</f>
        <v>12.110641773518143</v>
      </c>
      <c r="H56" s="662">
        <f>AVERAGE(BE65:BI86)</f>
        <v>11.961096449914985</v>
      </c>
      <c r="I56" s="69">
        <f>I52</f>
        <v>1</v>
      </c>
      <c r="J56" s="5">
        <f t="shared" si="27"/>
        <v>2016</v>
      </c>
      <c r="K56" s="291" t="str">
        <f t="shared" si="18"/>
        <v>1Q16</v>
      </c>
      <c r="L56" s="782">
        <v>20.959900000000001</v>
      </c>
      <c r="M56" s="715">
        <v>20.866</v>
      </c>
      <c r="N56" s="715">
        <v>21.101299999999998</v>
      </c>
      <c r="O56" s="715">
        <v>21.101299999999998</v>
      </c>
      <c r="P56" s="715">
        <v>21.101299999999998</v>
      </c>
      <c r="Q56" s="783">
        <v>21.101299999999998</v>
      </c>
      <c r="R56" s="782">
        <v>18.344799999999999</v>
      </c>
      <c r="S56" s="715">
        <v>18.3583</v>
      </c>
      <c r="T56" s="715">
        <v>17.862300000000001</v>
      </c>
      <c r="U56" s="715">
        <v>17.862300000000001</v>
      </c>
      <c r="V56" s="715">
        <v>17.862300000000001</v>
      </c>
      <c r="W56" s="783">
        <v>17.862300000000001</v>
      </c>
      <c r="X56" s="782">
        <v>9.8367000000000004</v>
      </c>
      <c r="Y56" s="715">
        <v>11.0589</v>
      </c>
      <c r="Z56" s="715">
        <v>11.1784</v>
      </c>
      <c r="AA56" s="715">
        <v>11.1784</v>
      </c>
      <c r="AB56" s="715">
        <v>11.1784</v>
      </c>
      <c r="AC56" s="783">
        <v>11.1784</v>
      </c>
      <c r="AD56" s="715">
        <v>9.1363000000000003</v>
      </c>
      <c r="AE56" s="715">
        <v>10.2746</v>
      </c>
      <c r="AF56" s="715">
        <v>11.1784</v>
      </c>
      <c r="AG56" s="715">
        <v>11.1784</v>
      </c>
      <c r="AH56" s="715">
        <v>11.1784</v>
      </c>
      <c r="AI56" s="783">
        <v>11.1784</v>
      </c>
      <c r="AJ56" s="12"/>
      <c r="AK56" s="291" t="str">
        <f t="shared" si="19"/>
        <v>1Q16</v>
      </c>
      <c r="AL56" s="782">
        <f t="shared" si="20"/>
        <v>20.959900000000001</v>
      </c>
      <c r="AM56" s="715">
        <v>15.606776538093101</v>
      </c>
      <c r="AN56" s="715">
        <v>13.893918837352199</v>
      </c>
      <c r="AO56" s="715">
        <v>15.856414938254799</v>
      </c>
      <c r="AP56" s="715">
        <v>15.035329296764299</v>
      </c>
      <c r="AQ56" s="783">
        <v>79.653846153846104</v>
      </c>
      <c r="AR56" s="782">
        <f t="shared" si="21"/>
        <v>18.344799999999999</v>
      </c>
      <c r="AS56" s="715">
        <v>15.385485391140399</v>
      </c>
      <c r="AT56" s="715">
        <v>13.9113767053783</v>
      </c>
      <c r="AU56" s="715">
        <v>14.2184801381693</v>
      </c>
      <c r="AV56" s="715">
        <v>15.102606766500299</v>
      </c>
      <c r="AW56" s="783">
        <v>10.5394402035623</v>
      </c>
      <c r="AX56" s="782">
        <f t="shared" si="22"/>
        <v>9.8367000000000004</v>
      </c>
      <c r="AY56" s="715">
        <v>9.5231854188198195</v>
      </c>
      <c r="AZ56" s="715">
        <v>7.7728979535042297</v>
      </c>
      <c r="BA56" s="715">
        <v>9.0760232030326708</v>
      </c>
      <c r="BB56" s="715">
        <v>8.8211581325825801</v>
      </c>
      <c r="BC56" s="783">
        <v>6.5831371911597696</v>
      </c>
      <c r="BD56" s="782">
        <f t="shared" si="31"/>
        <v>9.1363000000000003</v>
      </c>
      <c r="BE56" s="715">
        <v>8.7556190237559903</v>
      </c>
      <c r="BF56" s="715">
        <v>7.9119304202545404</v>
      </c>
      <c r="BG56" s="715">
        <v>8.4781336647996302</v>
      </c>
      <c r="BH56" s="715">
        <v>8.7691625251534209</v>
      </c>
      <c r="BI56" s="783">
        <v>6.3986023556328204</v>
      </c>
      <c r="BJ56" s="12"/>
      <c r="BK56" s="291" t="str">
        <f t="shared" si="23"/>
        <v>1Q16</v>
      </c>
      <c r="BL56" s="782">
        <f t="shared" si="24"/>
        <v>20.959900000000001</v>
      </c>
      <c r="BM56" s="715">
        <v>17.051631075941302</v>
      </c>
      <c r="BN56" s="715">
        <v>9.4996478957599901</v>
      </c>
      <c r="BO56" s="715">
        <v>18.027276007093</v>
      </c>
      <c r="BP56" s="715">
        <v>16.522340445452102</v>
      </c>
      <c r="BQ56" s="783">
        <v>18.345178251574499</v>
      </c>
      <c r="BR56" s="782">
        <f t="shared" si="25"/>
        <v>18.344799999999999</v>
      </c>
      <c r="BS56" s="715">
        <v>17.112106078870301</v>
      </c>
      <c r="BT56" s="715">
        <v>10.8172504169645</v>
      </c>
      <c r="BU56" s="715">
        <v>14.665173097230401</v>
      </c>
      <c r="BV56" s="715">
        <v>15.914173013362699</v>
      </c>
      <c r="BW56" s="783">
        <v>17.086867505118501</v>
      </c>
      <c r="BX56" s="782">
        <f t="shared" si="26"/>
        <v>9.8367000000000004</v>
      </c>
      <c r="BY56" s="715">
        <v>7.6170450798860401</v>
      </c>
      <c r="BZ56" s="715">
        <v>4.9037833624295999</v>
      </c>
      <c r="CA56" s="715">
        <v>13.700333923274799</v>
      </c>
      <c r="CB56" s="715">
        <v>11.524812180155999</v>
      </c>
      <c r="CC56" s="783">
        <v>11.2269030250655</v>
      </c>
      <c r="CD56" s="782">
        <f t="shared" si="32"/>
        <v>9.1363000000000003</v>
      </c>
      <c r="CE56" s="715">
        <v>8.3598022589928096</v>
      </c>
      <c r="CF56" s="715">
        <v>6.5698991592929596</v>
      </c>
      <c r="CG56" s="715">
        <v>9.6957042583094903</v>
      </c>
      <c r="CH56" s="715">
        <v>9.5916604776471708</v>
      </c>
      <c r="CI56" s="783">
        <v>10.1585096304399</v>
      </c>
    </row>
    <row r="57" spans="1:87" ht="14.25" customHeight="1">
      <c r="A57" s="12"/>
      <c r="B57" s="12"/>
      <c r="C57" s="781" t="s">
        <v>916</v>
      </c>
      <c r="D57" s="781"/>
      <c r="E57" s="781"/>
      <c r="F57" s="781"/>
      <c r="G57" s="781"/>
      <c r="H57" s="781"/>
      <c r="I57" s="69">
        <f>IF(I56=4,1,I56+1)</f>
        <v>2</v>
      </c>
      <c r="J57" s="5">
        <f t="shared" si="27"/>
        <v>2016</v>
      </c>
      <c r="K57" s="291" t="str">
        <f t="shared" si="18"/>
        <v>2Q16</v>
      </c>
      <c r="L57" s="782">
        <v>21.5976</v>
      </c>
      <c r="M57" s="715">
        <v>22.106000000000002</v>
      </c>
      <c r="N57" s="715">
        <v>20.866</v>
      </c>
      <c r="O57" s="715">
        <v>20.866</v>
      </c>
      <c r="P57" s="715">
        <v>20.866</v>
      </c>
      <c r="Q57" s="783">
        <v>20.866</v>
      </c>
      <c r="R57" s="782">
        <v>20.16</v>
      </c>
      <c r="S57" s="715">
        <v>20.386700000000001</v>
      </c>
      <c r="T57" s="715">
        <v>18.3583</v>
      </c>
      <c r="U57" s="715">
        <v>18.3583</v>
      </c>
      <c r="V57" s="715">
        <v>18.3583</v>
      </c>
      <c r="W57" s="783">
        <v>18.3583</v>
      </c>
      <c r="X57" s="782">
        <v>10.155200000000001</v>
      </c>
      <c r="Y57" s="715">
        <v>11.769399999999999</v>
      </c>
      <c r="Z57" s="715">
        <v>11.0589</v>
      </c>
      <c r="AA57" s="715">
        <v>11.0589</v>
      </c>
      <c r="AB57" s="715">
        <v>11.0589</v>
      </c>
      <c r="AC57" s="783">
        <v>11.0589</v>
      </c>
      <c r="AD57" s="715">
        <v>9.7478999999999996</v>
      </c>
      <c r="AE57" s="715">
        <v>11.2143</v>
      </c>
      <c r="AF57" s="715">
        <v>11.0589</v>
      </c>
      <c r="AG57" s="715">
        <v>11.0589</v>
      </c>
      <c r="AH57" s="715">
        <v>11.0589</v>
      </c>
      <c r="AI57" s="783">
        <v>11.0589</v>
      </c>
      <c r="AJ57" s="12"/>
      <c r="AK57" s="291" t="str">
        <f t="shared" si="19"/>
        <v>2Q16</v>
      </c>
      <c r="AL57" s="782">
        <f t="shared" si="20"/>
        <v>21.5976</v>
      </c>
      <c r="AM57" s="715">
        <v>15.192504715933801</v>
      </c>
      <c r="AN57" s="715">
        <v>13.1171174490227</v>
      </c>
      <c r="AO57" s="715">
        <v>14.557299503379101</v>
      </c>
      <c r="AP57" s="715">
        <v>16.0071527457314</v>
      </c>
      <c r="AQ57" s="783">
        <v>72.150000000000006</v>
      </c>
      <c r="AR57" s="782">
        <f t="shared" si="21"/>
        <v>20.16</v>
      </c>
      <c r="AS57" s="715">
        <v>14.6771984293672</v>
      </c>
      <c r="AT57" s="715">
        <v>13.0886214442013</v>
      </c>
      <c r="AU57" s="715">
        <v>13.288677614520299</v>
      </c>
      <c r="AV57" s="715">
        <v>15.9069196123925</v>
      </c>
      <c r="AW57" s="783">
        <v>11.1285347043702</v>
      </c>
      <c r="AX57" s="782">
        <f t="shared" si="22"/>
        <v>10.155200000000001</v>
      </c>
      <c r="AY57" s="715">
        <v>9.0434145029534303</v>
      </c>
      <c r="AZ57" s="715">
        <v>7.5654992588176899</v>
      </c>
      <c r="BA57" s="715">
        <v>8.5685078929964096</v>
      </c>
      <c r="BB57" s="715">
        <v>9.5376260796983896</v>
      </c>
      <c r="BC57" s="783">
        <v>7.3059059511382003</v>
      </c>
      <c r="BD57" s="782">
        <f t="shared" si="31"/>
        <v>9.7478999999999996</v>
      </c>
      <c r="BE57" s="715">
        <v>8.3419120553681605</v>
      </c>
      <c r="BF57" s="715">
        <v>7.6867847043769402</v>
      </c>
      <c r="BG57" s="715">
        <v>8.0144088845310897</v>
      </c>
      <c r="BH57" s="715">
        <v>9.3871322553164003</v>
      </c>
      <c r="BI57" s="783">
        <v>6.9825748968034604</v>
      </c>
      <c r="BJ57" s="12"/>
      <c r="BK57" s="291" t="str">
        <f t="shared" si="23"/>
        <v>2Q16</v>
      </c>
      <c r="BL57" s="782">
        <f t="shared" si="24"/>
        <v>21.5976</v>
      </c>
      <c r="BM57" s="715">
        <v>17.512265595980299</v>
      </c>
      <c r="BN57" s="715">
        <v>9.5728267463193504</v>
      </c>
      <c r="BO57" s="715">
        <v>18.8148107152353</v>
      </c>
      <c r="BP57" s="715">
        <v>16.3834695861817</v>
      </c>
      <c r="BQ57" s="783">
        <v>18.814468481079999</v>
      </c>
      <c r="BR57" s="782">
        <f t="shared" si="25"/>
        <v>20.16</v>
      </c>
      <c r="BS57" s="715">
        <v>17.533075185543701</v>
      </c>
      <c r="BT57" s="715">
        <v>10.6919352934231</v>
      </c>
      <c r="BU57" s="715">
        <v>14.9212562268163</v>
      </c>
      <c r="BV57" s="715">
        <v>15.961151968645201</v>
      </c>
      <c r="BW57" s="783">
        <v>16.8392648774796</v>
      </c>
      <c r="BX57" s="782">
        <f t="shared" si="26"/>
        <v>10.155200000000001</v>
      </c>
      <c r="BY57" s="715">
        <v>8.0171363602344705</v>
      </c>
      <c r="BZ57" s="715">
        <v>4.4017090889173804</v>
      </c>
      <c r="CA57" s="715">
        <v>16.4908873645734</v>
      </c>
      <c r="CB57" s="715">
        <v>11.2461348569961</v>
      </c>
      <c r="CC57" s="783">
        <v>11.2015939345566</v>
      </c>
      <c r="CD57" s="782">
        <f t="shared" si="32"/>
        <v>9.7478999999999996</v>
      </c>
      <c r="CE57" s="715">
        <v>8.4088038740911699</v>
      </c>
      <c r="CF57" s="715">
        <v>5.6617114377559297</v>
      </c>
      <c r="CG57" s="715">
        <v>12.2215912297605</v>
      </c>
      <c r="CH57" s="715">
        <v>9.9476157319819993</v>
      </c>
      <c r="CI57" s="783">
        <v>10.0975235451036</v>
      </c>
    </row>
    <row r="58" spans="1:87" ht="14.25" customHeight="1">
      <c r="A58" s="12"/>
      <c r="B58" s="12"/>
      <c r="C58" s="69"/>
      <c r="D58" s="12"/>
      <c r="E58" s="69" t="s">
        <v>910</v>
      </c>
      <c r="F58" s="69" t="s">
        <v>911</v>
      </c>
      <c r="G58" s="69" t="s">
        <v>912</v>
      </c>
      <c r="H58" s="69" t="s">
        <v>913</v>
      </c>
      <c r="I58" s="69">
        <f>IF(I57+1=5,1,I57+1)</f>
        <v>3</v>
      </c>
      <c r="J58" s="5">
        <f t="shared" si="27"/>
        <v>2016</v>
      </c>
      <c r="K58" s="291" t="str">
        <f t="shared" si="18"/>
        <v>3Q16</v>
      </c>
      <c r="L58" s="782">
        <v>26.860499999999998</v>
      </c>
      <c r="M58" s="715">
        <v>24.055599999999998</v>
      </c>
      <c r="N58" s="715">
        <v>22.106000000000002</v>
      </c>
      <c r="O58" s="715">
        <v>22.106000000000002</v>
      </c>
      <c r="P58" s="715">
        <v>22.106000000000002</v>
      </c>
      <c r="Q58" s="783">
        <v>22.106000000000002</v>
      </c>
      <c r="R58" s="782">
        <v>25.738900000000001</v>
      </c>
      <c r="S58" s="715">
        <v>23.378599999999999</v>
      </c>
      <c r="T58" s="715">
        <v>20.386700000000001</v>
      </c>
      <c r="U58" s="715">
        <v>20.386700000000001</v>
      </c>
      <c r="V58" s="715">
        <v>20.386700000000001</v>
      </c>
      <c r="W58" s="783">
        <v>20.386700000000001</v>
      </c>
      <c r="X58" s="782">
        <v>12.353899999999999</v>
      </c>
      <c r="Y58" s="715">
        <v>12.929500000000001</v>
      </c>
      <c r="Z58" s="715">
        <v>11.769399999999999</v>
      </c>
      <c r="AA58" s="715">
        <v>11.769399999999999</v>
      </c>
      <c r="AB58" s="715">
        <v>11.769399999999999</v>
      </c>
      <c r="AC58" s="783">
        <v>11.769399999999999</v>
      </c>
      <c r="AD58" s="715">
        <v>12.1286</v>
      </c>
      <c r="AE58" s="715">
        <v>12.6303</v>
      </c>
      <c r="AF58" s="715">
        <v>11.769399999999999</v>
      </c>
      <c r="AG58" s="715">
        <v>11.769399999999999</v>
      </c>
      <c r="AH58" s="715">
        <v>11.769399999999999</v>
      </c>
      <c r="AI58" s="783">
        <v>11.769399999999999</v>
      </c>
      <c r="AJ58" s="12"/>
      <c r="AK58" s="291" t="str">
        <f t="shared" si="19"/>
        <v>3Q16</v>
      </c>
      <c r="AL58" s="782">
        <f t="shared" si="20"/>
        <v>26.860499999999998</v>
      </c>
      <c r="AM58" s="715">
        <v>16.971911291818</v>
      </c>
      <c r="AN58" s="715">
        <v>14.2595180334852</v>
      </c>
      <c r="AO58" s="715">
        <v>15.677518897643001</v>
      </c>
      <c r="AP58" s="715">
        <v>17.0492565080697</v>
      </c>
      <c r="AQ58" s="783">
        <v>78.5833333333333</v>
      </c>
      <c r="AR58" s="782">
        <f t="shared" si="21"/>
        <v>25.738900000000001</v>
      </c>
      <c r="AS58" s="715">
        <v>16.284746970776901</v>
      </c>
      <c r="AT58" s="715">
        <v>14.1723136495644</v>
      </c>
      <c r="AU58" s="715">
        <v>14.7510524023806</v>
      </c>
      <c r="AV58" s="715">
        <v>16.821972203838499</v>
      </c>
      <c r="AW58" s="783">
        <v>12.3429319371728</v>
      </c>
      <c r="AX58" s="782">
        <f t="shared" si="22"/>
        <v>12.353899999999999</v>
      </c>
      <c r="AY58" s="715">
        <v>10.041696900795801</v>
      </c>
      <c r="AZ58" s="715">
        <v>8.14425798294657</v>
      </c>
      <c r="BA58" s="715">
        <v>9.3576941846112494</v>
      </c>
      <c r="BB58" s="715">
        <v>9.7576119785272795</v>
      </c>
      <c r="BC58" s="783">
        <v>7.8963804486655196</v>
      </c>
      <c r="BD58" s="782">
        <f t="shared" si="31"/>
        <v>12.1286</v>
      </c>
      <c r="BE58" s="715">
        <v>9.2948278991056998</v>
      </c>
      <c r="BF58" s="715">
        <v>8.1221508765867796</v>
      </c>
      <c r="BG58" s="715">
        <v>8.8848842596178592</v>
      </c>
      <c r="BH58" s="715">
        <v>9.5330447993826493</v>
      </c>
      <c r="BI58" s="783">
        <v>7.7405887083420097</v>
      </c>
      <c r="BJ58" s="12"/>
      <c r="BK58" s="291" t="str">
        <f t="shared" si="23"/>
        <v>3Q16</v>
      </c>
      <c r="BL58" s="782">
        <f t="shared" si="24"/>
        <v>26.860499999999998</v>
      </c>
      <c r="BM58" s="715">
        <v>15.332360616874</v>
      </c>
      <c r="BN58" s="715">
        <v>8.9939480898144293</v>
      </c>
      <c r="BO58" s="715">
        <v>18.9573315361765</v>
      </c>
      <c r="BP58" s="715">
        <v>15.737742409832499</v>
      </c>
      <c r="BQ58" s="783">
        <v>16.456241824473601</v>
      </c>
      <c r="BR58" s="782">
        <f t="shared" si="25"/>
        <v>25.738900000000001</v>
      </c>
      <c r="BS58" s="715">
        <v>15.756563245823401</v>
      </c>
      <c r="BT58" s="715">
        <v>9.7921891795055505</v>
      </c>
      <c r="BU58" s="715">
        <v>14.7116253691756</v>
      </c>
      <c r="BV58" s="715">
        <v>16.004778286414499</v>
      </c>
      <c r="BW58" s="783">
        <v>15.4003208400175</v>
      </c>
      <c r="BX58" s="782">
        <f t="shared" si="26"/>
        <v>12.353899999999999</v>
      </c>
      <c r="BY58" s="715">
        <v>7.5754462504368201</v>
      </c>
      <c r="BZ58" s="715">
        <v>4.0560381611917302</v>
      </c>
      <c r="CA58" s="715">
        <v>17.7328149474707</v>
      </c>
      <c r="CB58" s="715">
        <v>10.9756319204545</v>
      </c>
      <c r="CC58" s="783">
        <v>10.141556987726499</v>
      </c>
      <c r="CD58" s="782">
        <f t="shared" si="32"/>
        <v>12.1286</v>
      </c>
      <c r="CE58" s="715">
        <v>7.9679959335905099</v>
      </c>
      <c r="CF58" s="715">
        <v>5.3607663011854996</v>
      </c>
      <c r="CG58" s="715">
        <v>9.6745143171590104</v>
      </c>
      <c r="CH58" s="715">
        <v>9.9254800396091998</v>
      </c>
      <c r="CI58" s="783">
        <v>9.5160045403397593</v>
      </c>
    </row>
    <row r="59" spans="1:87" ht="14.25" customHeight="1">
      <c r="A59" s="12"/>
      <c r="B59" s="12"/>
      <c r="C59" s="12" t="s">
        <v>917</v>
      </c>
      <c r="D59" s="12"/>
      <c r="E59" s="662">
        <f>AVERAGE(AM8:AQ75)</f>
        <v>17.451844369442512</v>
      </c>
      <c r="F59" s="662">
        <f>AVERAGE(AS8:AW75)</f>
        <v>14.789390590177238</v>
      </c>
      <c r="G59" s="662">
        <f>AVERAGE(AY8:BC75)</f>
        <v>9.0736330644380931</v>
      </c>
      <c r="H59" s="662">
        <f>AVERAGE(BE8:BI75)</f>
        <v>8.2467031760817928</v>
      </c>
      <c r="I59" s="69">
        <f>IF(I58=4,1,I58+1)</f>
        <v>4</v>
      </c>
      <c r="J59" s="5">
        <f t="shared" si="27"/>
        <v>2016</v>
      </c>
      <c r="K59" s="291" t="str">
        <f t="shared" si="18"/>
        <v>4Q16</v>
      </c>
      <c r="L59" s="782">
        <v>27.212900000000001</v>
      </c>
      <c r="M59" s="715">
        <v>24.256799999999998</v>
      </c>
      <c r="N59" s="715">
        <v>24.055599999999998</v>
      </c>
      <c r="O59" s="715">
        <v>24.055599999999998</v>
      </c>
      <c r="P59" s="715">
        <v>24.055599999999998</v>
      </c>
      <c r="Q59" s="783">
        <v>24.055599999999998</v>
      </c>
      <c r="R59" s="782">
        <v>22.467500000000001</v>
      </c>
      <c r="S59" s="715">
        <v>21.726900000000001</v>
      </c>
      <c r="T59" s="715">
        <v>23.378599999999999</v>
      </c>
      <c r="U59" s="715">
        <v>23.378599999999999</v>
      </c>
      <c r="V59" s="715">
        <v>23.378599999999999</v>
      </c>
      <c r="W59" s="783">
        <v>23.378599999999999</v>
      </c>
      <c r="X59" s="782">
        <v>12.788399999999999</v>
      </c>
      <c r="Y59" s="715">
        <v>13.382899999999999</v>
      </c>
      <c r="Z59" s="715">
        <v>12.929500000000001</v>
      </c>
      <c r="AA59" s="715">
        <v>12.929500000000001</v>
      </c>
      <c r="AB59" s="715">
        <v>12.929500000000001</v>
      </c>
      <c r="AC59" s="783">
        <v>12.929500000000001</v>
      </c>
      <c r="AD59" s="715">
        <v>11.524100000000001</v>
      </c>
      <c r="AE59" s="715">
        <v>12.402699999999999</v>
      </c>
      <c r="AF59" s="715">
        <v>12.929500000000001</v>
      </c>
      <c r="AG59" s="715">
        <v>12.929500000000001</v>
      </c>
      <c r="AH59" s="715">
        <v>12.929500000000001</v>
      </c>
      <c r="AI59" s="783">
        <v>12.929500000000001</v>
      </c>
      <c r="AJ59" s="12"/>
      <c r="AK59" s="291" t="str">
        <f t="shared" si="19"/>
        <v>4Q16</v>
      </c>
      <c r="AL59" s="782">
        <f t="shared" si="20"/>
        <v>27.212900000000001</v>
      </c>
      <c r="AM59" s="715">
        <v>16.681755641083299</v>
      </c>
      <c r="AN59" s="715">
        <v>15.918574316111</v>
      </c>
      <c r="AO59" s="715">
        <v>15.8996603114082</v>
      </c>
      <c r="AP59" s="715">
        <v>17.454977522372399</v>
      </c>
      <c r="AQ59" s="783">
        <v>20.170940170940199</v>
      </c>
      <c r="AR59" s="782">
        <f t="shared" si="21"/>
        <v>22.467500000000001</v>
      </c>
      <c r="AS59" s="715">
        <v>17.198356702688201</v>
      </c>
      <c r="AT59" s="715">
        <v>15.743430890835301</v>
      </c>
      <c r="AU59" s="715">
        <v>15.704123112659699</v>
      </c>
      <c r="AV59" s="715">
        <v>17.745970341715001</v>
      </c>
      <c r="AW59" s="783">
        <v>12.4867724867725</v>
      </c>
      <c r="AX59" s="782">
        <f t="shared" si="22"/>
        <v>12.788399999999999</v>
      </c>
      <c r="AY59" s="715">
        <v>9.9504570543443798</v>
      </c>
      <c r="AZ59" s="715">
        <v>8.7035741654818892</v>
      </c>
      <c r="BA59" s="715">
        <v>9.4411740744080994</v>
      </c>
      <c r="BB59" s="715">
        <v>10.271142080477199</v>
      </c>
      <c r="BC59" s="783">
        <v>8.4878109366662198</v>
      </c>
      <c r="BD59" s="782">
        <f t="shared" si="31"/>
        <v>11.524100000000001</v>
      </c>
      <c r="BE59" s="715">
        <v>9.9348698981558492</v>
      </c>
      <c r="BF59" s="715">
        <v>9.3674134068342898</v>
      </c>
      <c r="BG59" s="715">
        <v>9.33322544205644</v>
      </c>
      <c r="BH59" s="715">
        <v>9.8450672080491106</v>
      </c>
      <c r="BI59" s="783">
        <v>7.5029045732606097</v>
      </c>
      <c r="BJ59" s="12"/>
      <c r="BK59" s="291" t="str">
        <f t="shared" si="23"/>
        <v>4Q16</v>
      </c>
      <c r="BL59" s="782">
        <f t="shared" si="24"/>
        <v>27.212900000000001</v>
      </c>
      <c r="BM59" s="715">
        <v>14.352246111620101</v>
      </c>
      <c r="BN59" s="715">
        <v>10.168876685674901</v>
      </c>
      <c r="BO59" s="715">
        <v>19.5619707538714</v>
      </c>
      <c r="BP59" s="715">
        <v>16.904715221389601</v>
      </c>
      <c r="BQ59" s="783">
        <v>18.013544619158399</v>
      </c>
      <c r="BR59" s="782">
        <f t="shared" si="25"/>
        <v>22.467500000000001</v>
      </c>
      <c r="BS59" s="715">
        <v>14.0146991272393</v>
      </c>
      <c r="BT59" s="715">
        <v>16.030077912665298</v>
      </c>
      <c r="BU59" s="715">
        <v>14.730638494845399</v>
      </c>
      <c r="BV59" s="715">
        <v>17.164215716291199</v>
      </c>
      <c r="BW59" s="783">
        <v>16.847348373864602</v>
      </c>
      <c r="BX59" s="782">
        <f t="shared" si="26"/>
        <v>12.788399999999999</v>
      </c>
      <c r="BY59" s="715">
        <v>6.9743443752455496</v>
      </c>
      <c r="BZ59" s="715">
        <v>4.0880982203765299</v>
      </c>
      <c r="CA59" s="715">
        <v>14.0383531727903</v>
      </c>
      <c r="CB59" s="715">
        <v>11.5358113174269</v>
      </c>
      <c r="CC59" s="783">
        <v>10.8198573575872</v>
      </c>
      <c r="CD59" s="782">
        <f t="shared" si="32"/>
        <v>11.524100000000001</v>
      </c>
      <c r="CE59" s="715">
        <v>6.5203668116549496</v>
      </c>
      <c r="CF59" s="715">
        <v>7.5844817938716096</v>
      </c>
      <c r="CG59" s="715">
        <v>8.7501011127384505</v>
      </c>
      <c r="CH59" s="715">
        <v>9.6780065637342094</v>
      </c>
      <c r="CI59" s="783">
        <v>9.6148317438143795</v>
      </c>
    </row>
    <row r="60" spans="1:87" ht="14.25" customHeight="1">
      <c r="A60" s="211"/>
      <c r="B60" s="12"/>
      <c r="C60" s="12" t="s">
        <v>918</v>
      </c>
      <c r="D60" s="12"/>
      <c r="E60" s="662">
        <f t="shared" ref="E60:H60" si="36">AVERAGE(E64,E68)</f>
        <v>16.511356338309774</v>
      </c>
      <c r="F60" s="662">
        <f t="shared" si="36"/>
        <v>14.249403727801335</v>
      </c>
      <c r="G60" s="662">
        <f t="shared" si="36"/>
        <v>8.0081879799852764</v>
      </c>
      <c r="H60" s="662" t="e">
        <f t="shared" si="36"/>
        <v>#DIV/0!</v>
      </c>
      <c r="I60" s="69">
        <f>I56</f>
        <v>1</v>
      </c>
      <c r="J60" s="5">
        <f t="shared" si="27"/>
        <v>2017</v>
      </c>
      <c r="K60" s="291" t="str">
        <f t="shared" si="18"/>
        <v>1Q17</v>
      </c>
      <c r="L60" s="782">
        <v>23.772500000000001</v>
      </c>
      <c r="M60" s="715">
        <v>22.7393</v>
      </c>
      <c r="N60" s="715">
        <v>24.256799999999998</v>
      </c>
      <c r="O60" s="715">
        <v>24.256799999999998</v>
      </c>
      <c r="P60" s="715">
        <v>24.256799999999998</v>
      </c>
      <c r="Q60" s="783">
        <v>24.256799999999998</v>
      </c>
      <c r="R60" s="782">
        <v>20.287800000000001</v>
      </c>
      <c r="S60" s="715">
        <v>21.135400000000001</v>
      </c>
      <c r="T60" s="715">
        <v>21.726900000000001</v>
      </c>
      <c r="U60" s="715">
        <v>21.726900000000001</v>
      </c>
      <c r="V60" s="715">
        <v>21.726900000000001</v>
      </c>
      <c r="W60" s="783">
        <v>21.726900000000001</v>
      </c>
      <c r="X60" s="782">
        <v>11.058999999999999</v>
      </c>
      <c r="Y60" s="715">
        <v>12.589399999999999</v>
      </c>
      <c r="Z60" s="715">
        <v>13.382899999999999</v>
      </c>
      <c r="AA60" s="715">
        <v>13.382899999999999</v>
      </c>
      <c r="AB60" s="715">
        <v>13.382899999999999</v>
      </c>
      <c r="AC60" s="783">
        <v>13.382899999999999</v>
      </c>
      <c r="AD60" s="715">
        <v>10.239100000000001</v>
      </c>
      <c r="AE60" s="715">
        <v>11.9025</v>
      </c>
      <c r="AF60" s="715">
        <v>13.382899999999999</v>
      </c>
      <c r="AG60" s="715">
        <v>13.382899999999999</v>
      </c>
      <c r="AH60" s="715">
        <v>13.382899999999999</v>
      </c>
      <c r="AI60" s="783">
        <v>13.382899999999999</v>
      </c>
      <c r="AJ60" s="12"/>
      <c r="AK60" s="291" t="str">
        <f t="shared" si="19"/>
        <v>1Q17</v>
      </c>
      <c r="AL60" s="782">
        <f t="shared" si="20"/>
        <v>23.772500000000001</v>
      </c>
      <c r="AM60" s="715">
        <v>17.7316040068742</v>
      </c>
      <c r="AN60" s="715">
        <v>17.362804075599001</v>
      </c>
      <c r="AO60" s="715">
        <v>16.701723724901701</v>
      </c>
      <c r="AP60" s="715">
        <v>17.2152601301526</v>
      </c>
      <c r="AQ60" s="783">
        <v>22.371794871794901</v>
      </c>
      <c r="AR60" s="782">
        <f t="shared" si="21"/>
        <v>20.287800000000001</v>
      </c>
      <c r="AS60" s="715">
        <v>18.1945316001793</v>
      </c>
      <c r="AT60" s="715">
        <v>16.9806941660513</v>
      </c>
      <c r="AU60" s="715">
        <v>17.0676456803624</v>
      </c>
      <c r="AV60" s="715">
        <v>16.272629181153299</v>
      </c>
      <c r="AW60" s="783">
        <v>13.286802030456901</v>
      </c>
      <c r="AX60" s="782">
        <f t="shared" si="22"/>
        <v>11.058999999999999</v>
      </c>
      <c r="AY60" s="715">
        <v>10.6046500596097</v>
      </c>
      <c r="AZ60" s="715">
        <v>9.9657818359920096</v>
      </c>
      <c r="BA60" s="715">
        <v>9.5272581843654205</v>
      </c>
      <c r="BB60" s="715">
        <v>10.0912602544482</v>
      </c>
      <c r="BC60" s="783">
        <v>10.2362649676181</v>
      </c>
      <c r="BD60" s="782">
        <f t="shared" si="31"/>
        <v>10.239100000000001</v>
      </c>
      <c r="BE60" s="715">
        <v>10.6614615642502</v>
      </c>
      <c r="BF60" s="715">
        <v>10.2604777628974</v>
      </c>
      <c r="BG60" s="715">
        <v>10.278063739100901</v>
      </c>
      <c r="BH60" s="715">
        <v>9.71505194619394</v>
      </c>
      <c r="BI60" s="783">
        <v>9.25020942552141</v>
      </c>
      <c r="BJ60" s="12"/>
      <c r="BK60" s="291" t="str">
        <f t="shared" si="23"/>
        <v>1Q17</v>
      </c>
      <c r="BL60" s="782">
        <f t="shared" si="24"/>
        <v>23.772500000000001</v>
      </c>
      <c r="BM60" s="715">
        <v>11.933163548308199</v>
      </c>
      <c r="BN60" s="715">
        <v>11.0429443217241</v>
      </c>
      <c r="BO60" s="715">
        <v>20.870326430420398</v>
      </c>
      <c r="BP60" s="715">
        <v>17.1616901526493</v>
      </c>
      <c r="BQ60" s="783">
        <v>18.1428389425202</v>
      </c>
      <c r="BR60" s="782">
        <f t="shared" si="25"/>
        <v>20.287800000000001</v>
      </c>
      <c r="BS60" s="715">
        <v>16.823628337187301</v>
      </c>
      <c r="BT60" s="715">
        <v>16.4090568862275</v>
      </c>
      <c r="BU60" s="715">
        <v>13.793318238288</v>
      </c>
      <c r="BV60" s="715">
        <v>16.2845808786291</v>
      </c>
      <c r="BW60" s="783">
        <v>16.7740088736224</v>
      </c>
      <c r="BX60" s="782">
        <f t="shared" si="26"/>
        <v>11.058999999999999</v>
      </c>
      <c r="BY60" s="715">
        <v>5.9788422712741802</v>
      </c>
      <c r="BZ60" s="715">
        <v>5.0997884348216402</v>
      </c>
      <c r="CA60" s="715">
        <v>16.395215797510499</v>
      </c>
      <c r="CB60" s="715">
        <v>12.1321311527739</v>
      </c>
      <c r="CC60" s="783">
        <v>11.1062594072335</v>
      </c>
      <c r="CD60" s="782">
        <f t="shared" si="32"/>
        <v>10.239100000000001</v>
      </c>
      <c r="CE60" s="715">
        <v>7.1875639175984203</v>
      </c>
      <c r="CF60" s="715">
        <v>10.405610801995</v>
      </c>
      <c r="CG60" s="715">
        <v>9.4890909221203508</v>
      </c>
      <c r="CH60" s="715">
        <v>10.6121068424686</v>
      </c>
      <c r="CI60" s="783">
        <v>10.0928444397349</v>
      </c>
    </row>
    <row r="61" spans="1:87" ht="14.25" customHeight="1">
      <c r="A61" s="12"/>
      <c r="B61" s="12"/>
      <c r="C61" s="12" t="s">
        <v>919</v>
      </c>
      <c r="D61" s="12"/>
      <c r="E61" s="662">
        <f t="shared" ref="E61:H61" si="37">AVERAGE(E65,E69)</f>
        <v>18.174451528888053</v>
      </c>
      <c r="F61" s="662">
        <f t="shared" si="37"/>
        <v>15.177675768515218</v>
      </c>
      <c r="G61" s="662">
        <f t="shared" si="37"/>
        <v>9.1033872247162755</v>
      </c>
      <c r="H61" s="662">
        <f t="shared" si="37"/>
        <v>8.1673101789748106</v>
      </c>
      <c r="I61" s="69">
        <f>IF(I60=4,1,I60+1)</f>
        <v>2</v>
      </c>
      <c r="J61" s="5">
        <f t="shared" si="27"/>
        <v>2017</v>
      </c>
      <c r="K61" s="291" t="str">
        <f t="shared" si="18"/>
        <v>2Q17</v>
      </c>
      <c r="L61" s="782">
        <v>23.079699999999999</v>
      </c>
      <c r="M61" s="715">
        <v>22.702400000000001</v>
      </c>
      <c r="N61" s="715">
        <v>22.7393</v>
      </c>
      <c r="O61" s="715">
        <v>22.7393</v>
      </c>
      <c r="P61" s="715">
        <v>22.7393</v>
      </c>
      <c r="Q61" s="783">
        <v>22.7393</v>
      </c>
      <c r="R61" s="782">
        <v>20.967400000000001</v>
      </c>
      <c r="S61" s="715">
        <v>21.716799999999999</v>
      </c>
      <c r="T61" s="715">
        <v>21.135400000000001</v>
      </c>
      <c r="U61" s="715">
        <v>21.135400000000001</v>
      </c>
      <c r="V61" s="715">
        <v>21.135400000000001</v>
      </c>
      <c r="W61" s="783">
        <v>21.135400000000001</v>
      </c>
      <c r="X61" s="782">
        <v>11.0655</v>
      </c>
      <c r="Y61" s="715">
        <v>12.721</v>
      </c>
      <c r="Z61" s="715">
        <v>12.589399999999999</v>
      </c>
      <c r="AA61" s="715">
        <v>12.589399999999999</v>
      </c>
      <c r="AB61" s="715">
        <v>12.589399999999999</v>
      </c>
      <c r="AC61" s="783">
        <v>12.589399999999999</v>
      </c>
      <c r="AD61" s="715">
        <v>10.5108</v>
      </c>
      <c r="AE61" s="715">
        <v>12.115500000000001</v>
      </c>
      <c r="AF61" s="715">
        <v>12.589399999999999</v>
      </c>
      <c r="AG61" s="715">
        <v>12.589399999999999</v>
      </c>
      <c r="AH61" s="715">
        <v>12.589399999999999</v>
      </c>
      <c r="AI61" s="783">
        <v>12.589399999999999</v>
      </c>
      <c r="AJ61" s="12"/>
      <c r="AK61" s="291" t="str">
        <f t="shared" si="19"/>
        <v>2Q17</v>
      </c>
      <c r="AL61" s="782">
        <f t="shared" si="20"/>
        <v>23.079699999999999</v>
      </c>
      <c r="AM61" s="715">
        <v>15.955842056904601</v>
      </c>
      <c r="AN61" s="715">
        <v>16.454725077569499</v>
      </c>
      <c r="AO61" s="715">
        <v>15.071863077920799</v>
      </c>
      <c r="AP61" s="715">
        <v>17.153753026634401</v>
      </c>
      <c r="AQ61" s="783">
        <v>20.324324324324301</v>
      </c>
      <c r="AR61" s="782">
        <f t="shared" si="21"/>
        <v>20.967400000000001</v>
      </c>
      <c r="AS61" s="715">
        <v>16.662185175226298</v>
      </c>
      <c r="AT61" s="715">
        <v>16.515356585111899</v>
      </c>
      <c r="AU61" s="715">
        <v>14.0478637498165</v>
      </c>
      <c r="AV61" s="715">
        <v>16.4813306967547</v>
      </c>
      <c r="AW61" s="783">
        <v>11.539641943734001</v>
      </c>
      <c r="AX61" s="782">
        <f t="shared" si="22"/>
        <v>11.0655</v>
      </c>
      <c r="AY61" s="715">
        <v>9.7421991223443207</v>
      </c>
      <c r="AZ61" s="715">
        <v>9.8326539192146498</v>
      </c>
      <c r="BA61" s="715">
        <v>9.1354420629513093</v>
      </c>
      <c r="BB61" s="715">
        <v>10.0301823820195</v>
      </c>
      <c r="BC61" s="783">
        <v>8.5575226430084701</v>
      </c>
      <c r="BD61" s="782">
        <f t="shared" si="31"/>
        <v>10.5108</v>
      </c>
      <c r="BE61" s="715">
        <v>9.6946287353799292</v>
      </c>
      <c r="BF61" s="715">
        <v>10.038852223917701</v>
      </c>
      <c r="BG61" s="715">
        <v>9.46400162584521</v>
      </c>
      <c r="BH61" s="715">
        <v>9.8743163848070896</v>
      </c>
      <c r="BI61" s="783">
        <v>7.5679134780037103</v>
      </c>
      <c r="BJ61" s="12"/>
      <c r="BK61" s="291" t="str">
        <f t="shared" si="23"/>
        <v>2Q17</v>
      </c>
      <c r="BL61" s="782">
        <f t="shared" si="24"/>
        <v>23.079699999999999</v>
      </c>
      <c r="BM61" s="715">
        <v>13.2951376349264</v>
      </c>
      <c r="BN61" s="715">
        <v>13.2763337893297</v>
      </c>
      <c r="BO61" s="715">
        <v>23.801267295453901</v>
      </c>
      <c r="BP61" s="715">
        <v>16.379993668319099</v>
      </c>
      <c r="BQ61" s="783">
        <v>16.591943342394899</v>
      </c>
      <c r="BR61" s="782">
        <f t="shared" si="25"/>
        <v>20.967400000000001</v>
      </c>
      <c r="BS61" s="715">
        <v>17.049246231155799</v>
      </c>
      <c r="BT61" s="715">
        <v>17.095296811696301</v>
      </c>
      <c r="BU61" s="715">
        <v>19.798798215503901</v>
      </c>
      <c r="BV61" s="715">
        <v>15.924489582583</v>
      </c>
      <c r="BW61" s="783">
        <v>16.041937816341299</v>
      </c>
      <c r="BX61" s="782">
        <f t="shared" si="26"/>
        <v>11.0655</v>
      </c>
      <c r="BY61" s="715">
        <v>6.3198598389438603</v>
      </c>
      <c r="BZ61" s="715">
        <v>4.9359877663941196</v>
      </c>
      <c r="CA61" s="715">
        <v>17.383003839682701</v>
      </c>
      <c r="CB61" s="715">
        <v>11.7950653273586</v>
      </c>
      <c r="CC61" s="783">
        <v>10.3600924530421</v>
      </c>
      <c r="CD61" s="782">
        <f t="shared" si="32"/>
        <v>10.5108</v>
      </c>
      <c r="CE61" s="715">
        <v>7.7212457311679499</v>
      </c>
      <c r="CF61" s="715">
        <v>9.0079669398661206</v>
      </c>
      <c r="CG61" s="715">
        <v>12.531851583217</v>
      </c>
      <c r="CH61" s="715">
        <v>10.499869312052001</v>
      </c>
      <c r="CI61" s="783">
        <v>9.6355215467831101</v>
      </c>
    </row>
    <row r="62" spans="1:87" ht="14.25" customHeight="1">
      <c r="A62" s="12"/>
      <c r="B62" s="12"/>
      <c r="C62" s="12" t="s">
        <v>920</v>
      </c>
      <c r="D62" s="12"/>
      <c r="E62" s="662">
        <f t="shared" ref="E62:H62" si="38">AVERAGE(E66,E70)</f>
        <v>18.375615705208343</v>
      </c>
      <c r="F62" s="662">
        <f t="shared" si="38"/>
        <v>16.379830180926785</v>
      </c>
      <c r="G62" s="662">
        <f t="shared" si="38"/>
        <v>10.316037257276058</v>
      </c>
      <c r="H62" s="662">
        <f t="shared" si="38"/>
        <v>9.7916138824697967</v>
      </c>
      <c r="I62" s="69">
        <f>IF(I61+1=5,1,I61+1)</f>
        <v>3</v>
      </c>
      <c r="J62" s="5">
        <f t="shared" si="27"/>
        <v>2017</v>
      </c>
      <c r="K62" s="291" t="str">
        <f t="shared" si="18"/>
        <v>3Q17</v>
      </c>
      <c r="L62" s="782">
        <v>23.767099999999999</v>
      </c>
      <c r="M62" s="715">
        <v>25.029900000000001</v>
      </c>
      <c r="N62" s="715">
        <v>22.702400000000001</v>
      </c>
      <c r="O62" s="715">
        <v>22.702400000000001</v>
      </c>
      <c r="P62" s="715">
        <v>22.702400000000001</v>
      </c>
      <c r="Q62" s="783">
        <v>22.702400000000001</v>
      </c>
      <c r="R62" s="782">
        <v>23.063400000000001</v>
      </c>
      <c r="S62" s="715">
        <v>24.7196</v>
      </c>
      <c r="T62" s="715">
        <v>21.716799999999999</v>
      </c>
      <c r="U62" s="715">
        <v>21.716799999999999</v>
      </c>
      <c r="V62" s="715">
        <v>21.716799999999999</v>
      </c>
      <c r="W62" s="783">
        <v>21.716799999999999</v>
      </c>
      <c r="X62" s="782">
        <v>11.6577</v>
      </c>
      <c r="Y62" s="715">
        <v>14.009499999999999</v>
      </c>
      <c r="Z62" s="715">
        <v>12.721</v>
      </c>
      <c r="AA62" s="715">
        <v>12.721</v>
      </c>
      <c r="AB62" s="715">
        <v>12.721</v>
      </c>
      <c r="AC62" s="783">
        <v>12.721</v>
      </c>
      <c r="AD62" s="715">
        <v>11.4338</v>
      </c>
      <c r="AE62" s="715">
        <v>13.734999999999999</v>
      </c>
      <c r="AF62" s="715">
        <v>12.721</v>
      </c>
      <c r="AG62" s="715">
        <v>12.721</v>
      </c>
      <c r="AH62" s="715">
        <v>12.721</v>
      </c>
      <c r="AI62" s="783">
        <v>12.721</v>
      </c>
      <c r="AJ62" s="12"/>
      <c r="AK62" s="291" t="str">
        <f t="shared" si="19"/>
        <v>3Q17</v>
      </c>
      <c r="AL62" s="782">
        <f t="shared" si="20"/>
        <v>23.767099999999999</v>
      </c>
      <c r="AM62" s="715">
        <v>18.277944487279001</v>
      </c>
      <c r="AN62" s="715">
        <v>16.381399653636301</v>
      </c>
      <c r="AO62" s="715">
        <v>17.773286649310901</v>
      </c>
      <c r="AP62" s="715">
        <v>15.9479768786127</v>
      </c>
      <c r="AQ62" s="783">
        <v>20.1666666666667</v>
      </c>
      <c r="AR62" s="782">
        <f t="shared" si="21"/>
        <v>23.063400000000001</v>
      </c>
      <c r="AS62" s="715">
        <v>18.242696233720501</v>
      </c>
      <c r="AT62" s="715">
        <v>17.050241446624899</v>
      </c>
      <c r="AU62" s="715">
        <v>16.5320018157059</v>
      </c>
      <c r="AV62" s="715">
        <v>15.619338768115901</v>
      </c>
      <c r="AW62" s="783">
        <v>11.7815789473684</v>
      </c>
      <c r="AX62" s="782">
        <f t="shared" si="22"/>
        <v>11.6577</v>
      </c>
      <c r="AY62" s="715">
        <v>10.9794454706282</v>
      </c>
      <c r="AZ62" s="715">
        <v>10.0118264817743</v>
      </c>
      <c r="BA62" s="715">
        <v>10.225250052137399</v>
      </c>
      <c r="BB62" s="715">
        <v>9.4047158300927691</v>
      </c>
      <c r="BC62" s="783">
        <v>8.4983885933869292</v>
      </c>
      <c r="BD62" s="782">
        <f t="shared" si="31"/>
        <v>11.4338</v>
      </c>
      <c r="BE62" s="715">
        <v>10.5132240979169</v>
      </c>
      <c r="BF62" s="715">
        <v>10.299049845344101</v>
      </c>
      <c r="BG62" s="715">
        <v>10.320699660105101</v>
      </c>
      <c r="BH62" s="715">
        <v>9.3266401834669495</v>
      </c>
      <c r="BI62" s="783">
        <v>7.73541989514516</v>
      </c>
      <c r="BJ62" s="12"/>
      <c r="BK62" s="291" t="str">
        <f t="shared" si="23"/>
        <v>3Q17</v>
      </c>
      <c r="BL62" s="782">
        <f t="shared" si="24"/>
        <v>23.767099999999999</v>
      </c>
      <c r="BM62" s="715">
        <v>11.434005530167999</v>
      </c>
      <c r="BN62" s="715">
        <v>11.367127496159799</v>
      </c>
      <c r="BO62" s="715">
        <v>23.189227331859001</v>
      </c>
      <c r="BP62" s="715">
        <v>14.860151345119601</v>
      </c>
      <c r="BQ62" s="783">
        <v>13.777493251753199</v>
      </c>
      <c r="BR62" s="782">
        <f t="shared" si="25"/>
        <v>23.063400000000001</v>
      </c>
      <c r="BS62" s="715">
        <v>14.0498710232158</v>
      </c>
      <c r="BT62" s="715">
        <v>13.595443689142</v>
      </c>
      <c r="BU62" s="715">
        <v>18.6196315729647</v>
      </c>
      <c r="BV62" s="715">
        <v>14.765783907363801</v>
      </c>
      <c r="BW62" s="783">
        <v>14.327805506359701</v>
      </c>
      <c r="BX62" s="782">
        <f t="shared" si="26"/>
        <v>11.6577</v>
      </c>
      <c r="BY62" s="715">
        <v>5.4645320974003404</v>
      </c>
      <c r="BZ62" s="715">
        <v>3.97258403706561</v>
      </c>
      <c r="CA62" s="715">
        <v>17.696597926342399</v>
      </c>
      <c r="CB62" s="715">
        <v>10.3345445475001</v>
      </c>
      <c r="CC62" s="783">
        <v>8.8796425471765108</v>
      </c>
      <c r="CD62" s="782">
        <f t="shared" si="32"/>
        <v>11.4338</v>
      </c>
      <c r="CE62" s="715">
        <v>6.6162899663212604</v>
      </c>
      <c r="CF62" s="715">
        <v>7.1279661477878502</v>
      </c>
      <c r="CG62" s="715">
        <v>9.5245217113368401</v>
      </c>
      <c r="CH62" s="715">
        <v>9.3224285404756806</v>
      </c>
      <c r="CI62" s="783">
        <v>8.6477165502680702</v>
      </c>
    </row>
    <row r="63" spans="1:87" ht="14.25" customHeight="1">
      <c r="A63" s="12"/>
      <c r="B63" s="12"/>
      <c r="C63" s="12" t="s">
        <v>921</v>
      </c>
      <c r="D63" s="12"/>
      <c r="E63" s="662">
        <f>AVERAGE(AM8:AQ35)</f>
        <v>19.372174186392851</v>
      </c>
      <c r="F63" s="662">
        <f>AVERAGE(AS8:AW35)</f>
        <v>16.698670553729919</v>
      </c>
      <c r="G63" s="662">
        <f>AVERAGE(AY8:BC35)</f>
        <v>9.6234398026286101</v>
      </c>
      <c r="H63" s="662">
        <f>AVERAGE(BE8:BI35)</f>
        <v>8.299118515323439</v>
      </c>
      <c r="I63" s="69">
        <f>IF(I62=4,1,I62+1)</f>
        <v>4</v>
      </c>
      <c r="J63" s="5">
        <f t="shared" si="27"/>
        <v>2017</v>
      </c>
      <c r="K63" s="291" t="str">
        <f t="shared" si="18"/>
        <v>4Q17</v>
      </c>
      <c r="L63" s="782">
        <v>22.828199999999999</v>
      </c>
      <c r="M63" s="715">
        <v>24.671199999999999</v>
      </c>
      <c r="N63" s="715">
        <v>25.029900000000001</v>
      </c>
      <c r="O63" s="715">
        <v>25.029900000000001</v>
      </c>
      <c r="P63" s="715">
        <v>25.029900000000001</v>
      </c>
      <c r="Q63" s="783">
        <v>25.029900000000001</v>
      </c>
      <c r="R63" s="782">
        <v>18.946999999999999</v>
      </c>
      <c r="S63" s="715">
        <v>21.531400000000001</v>
      </c>
      <c r="T63" s="715">
        <v>24.7196</v>
      </c>
      <c r="U63" s="715">
        <v>24.7196</v>
      </c>
      <c r="V63" s="715">
        <v>24.7196</v>
      </c>
      <c r="W63" s="783">
        <v>24.7196</v>
      </c>
      <c r="X63" s="782">
        <v>12.186299999999999</v>
      </c>
      <c r="Y63" s="715">
        <v>13.6599</v>
      </c>
      <c r="Z63" s="715">
        <v>14.009499999999999</v>
      </c>
      <c r="AA63" s="715">
        <v>14.009499999999999</v>
      </c>
      <c r="AB63" s="715">
        <v>14.009499999999999</v>
      </c>
      <c r="AC63" s="783">
        <v>14.009499999999999</v>
      </c>
      <c r="AD63" s="715">
        <v>10.170500000000001</v>
      </c>
      <c r="AE63" s="715">
        <v>12.414400000000001</v>
      </c>
      <c r="AF63" s="715">
        <v>14.009499999999999</v>
      </c>
      <c r="AG63" s="715">
        <v>14.009499999999999</v>
      </c>
      <c r="AH63" s="715">
        <v>14.009499999999999</v>
      </c>
      <c r="AI63" s="783">
        <v>14.009499999999999</v>
      </c>
      <c r="AJ63" s="12"/>
      <c r="AK63" s="291" t="str">
        <f t="shared" si="19"/>
        <v>4Q17</v>
      </c>
      <c r="AL63" s="782">
        <f t="shared" si="20"/>
        <v>22.828199999999999</v>
      </c>
      <c r="AM63" s="715">
        <v>19.615028752299001</v>
      </c>
      <c r="AN63" s="715">
        <v>18.761351357850401</v>
      </c>
      <c r="AO63" s="715">
        <v>20.3668719163684</v>
      </c>
      <c r="AP63" s="715">
        <v>14.749642641156701</v>
      </c>
      <c r="AQ63" s="783">
        <v>17.234896180103998</v>
      </c>
      <c r="AR63" s="782">
        <f t="shared" si="21"/>
        <v>18.946999999999999</v>
      </c>
      <c r="AS63" s="715">
        <v>19.113634363172299</v>
      </c>
      <c r="AT63" s="715">
        <v>19.1607469048102</v>
      </c>
      <c r="AU63" s="715">
        <v>18.625486090338001</v>
      </c>
      <c r="AV63" s="715">
        <v>15.184611983197</v>
      </c>
      <c r="AW63" s="783">
        <v>13.147368421052599</v>
      </c>
      <c r="AX63" s="782">
        <f t="shared" si="22"/>
        <v>12.186299999999999</v>
      </c>
      <c r="AY63" s="715">
        <v>13.2211502199879</v>
      </c>
      <c r="AZ63" s="715">
        <v>10.8983183864816</v>
      </c>
      <c r="BA63" s="715">
        <v>11.474224139550699</v>
      </c>
      <c r="BB63" s="715">
        <v>9.2205540111036992</v>
      </c>
      <c r="BC63" s="783">
        <v>9.3118232464059094</v>
      </c>
      <c r="BD63" s="782">
        <f t="shared" si="31"/>
        <v>10.170500000000001</v>
      </c>
      <c r="BE63" s="715">
        <v>11.1083674198787</v>
      </c>
      <c r="BF63" s="715">
        <v>10.8722348425467</v>
      </c>
      <c r="BG63" s="715">
        <v>10.7747774030119</v>
      </c>
      <c r="BH63" s="715">
        <v>9.1390090216859505</v>
      </c>
      <c r="BI63" s="783">
        <v>8.2823917207974294</v>
      </c>
      <c r="BJ63" s="12"/>
      <c r="BK63" s="291" t="str">
        <f t="shared" si="23"/>
        <v>4Q17</v>
      </c>
      <c r="BL63" s="782">
        <f t="shared" si="24"/>
        <v>22.828199999999999</v>
      </c>
      <c r="BM63" s="715">
        <v>13.047724606230799</v>
      </c>
      <c r="BN63" s="715">
        <v>13.0830374054452</v>
      </c>
      <c r="BO63" s="715">
        <v>30.398533533533499</v>
      </c>
      <c r="BP63" s="715">
        <v>15.1654976430214</v>
      </c>
      <c r="BQ63" s="783">
        <v>16.426796453234601</v>
      </c>
      <c r="BR63" s="782">
        <f t="shared" si="25"/>
        <v>18.946999999999999</v>
      </c>
      <c r="BS63" s="715">
        <v>14.8416684865691</v>
      </c>
      <c r="BT63" s="715">
        <v>18.0734597156398</v>
      </c>
      <c r="BU63" s="715">
        <v>23.157758012374298</v>
      </c>
      <c r="BV63" s="715">
        <v>16.1584549974664</v>
      </c>
      <c r="BW63" s="783">
        <v>15.3246131759451</v>
      </c>
      <c r="BX63" s="782">
        <f t="shared" si="26"/>
        <v>12.186299999999999</v>
      </c>
      <c r="BY63" s="715">
        <v>6.33942479775392</v>
      </c>
      <c r="BZ63" s="715">
        <v>5.3993013760985704</v>
      </c>
      <c r="CA63" s="715">
        <v>29.4939880182529</v>
      </c>
      <c r="CB63" s="715">
        <v>10.9915068013633</v>
      </c>
      <c r="CC63" s="783">
        <v>10.943205290701201</v>
      </c>
      <c r="CD63" s="782">
        <f t="shared" si="32"/>
        <v>10.170500000000001</v>
      </c>
      <c r="CE63" s="715">
        <v>7.1880837900999301</v>
      </c>
      <c r="CF63" s="715">
        <v>11.002715913029601</v>
      </c>
      <c r="CG63" s="715">
        <v>17.926023127558199</v>
      </c>
      <c r="CH63" s="715">
        <v>9.8729907958619005</v>
      </c>
      <c r="CI63" s="783">
        <v>9.0273841277273501</v>
      </c>
    </row>
    <row r="64" spans="1:87" ht="14.25" customHeight="1">
      <c r="A64" s="12"/>
      <c r="B64" s="12"/>
      <c r="C64" s="12" t="s">
        <v>922</v>
      </c>
      <c r="D64" s="12"/>
      <c r="E64" s="662">
        <f>AVERAGE(AM8:AQ19)</f>
        <v>22.394953041679578</v>
      </c>
      <c r="F64" s="662">
        <f>AVERAGE(AS8:AW19)</f>
        <v>19.063007806196822</v>
      </c>
      <c r="G64" s="662">
        <f>AVERAGE(AY8:BC19)</f>
        <v>10.384988120065191</v>
      </c>
      <c r="H64" s="662" t="e">
        <f>AVERAGE(BE8:BI19)</f>
        <v>#DIV/0!</v>
      </c>
      <c r="I64" s="69">
        <f>I60</f>
        <v>1</v>
      </c>
      <c r="J64" s="5">
        <f t="shared" si="27"/>
        <v>2018</v>
      </c>
      <c r="K64" s="291" t="str">
        <f t="shared" si="18"/>
        <v>1Q18</v>
      </c>
      <c r="L64" s="782">
        <v>22.697700000000001</v>
      </c>
      <c r="M64" s="715">
        <v>22.461500000000001</v>
      </c>
      <c r="N64" s="715">
        <v>24.671199999999999</v>
      </c>
      <c r="O64" s="715">
        <v>24.671199999999999</v>
      </c>
      <c r="P64" s="715">
        <v>24.671199999999999</v>
      </c>
      <c r="Q64" s="783">
        <v>24.671199999999999</v>
      </c>
      <c r="R64" s="782">
        <v>19.645199999999999</v>
      </c>
      <c r="S64" s="715">
        <v>20.2361</v>
      </c>
      <c r="T64" s="715">
        <v>21.531400000000001</v>
      </c>
      <c r="U64" s="715">
        <v>21.531400000000001</v>
      </c>
      <c r="V64" s="715">
        <v>21.531400000000001</v>
      </c>
      <c r="W64" s="783">
        <v>21.531400000000001</v>
      </c>
      <c r="X64" s="782">
        <v>11.7067</v>
      </c>
      <c r="Y64" s="715">
        <v>12.4771</v>
      </c>
      <c r="Z64" s="715">
        <v>13.6599</v>
      </c>
      <c r="AA64" s="715">
        <v>13.6599</v>
      </c>
      <c r="AB64" s="715">
        <v>13.6599</v>
      </c>
      <c r="AC64" s="783">
        <v>13.6599</v>
      </c>
      <c r="AD64" s="715">
        <v>10.163399999999999</v>
      </c>
      <c r="AE64" s="715">
        <v>11.605</v>
      </c>
      <c r="AF64" s="715">
        <v>13.6599</v>
      </c>
      <c r="AG64" s="715">
        <v>13.6599</v>
      </c>
      <c r="AH64" s="715">
        <v>13.6599</v>
      </c>
      <c r="AI64" s="783">
        <v>13.6599</v>
      </c>
      <c r="AJ64" s="12"/>
      <c r="AK64" s="291" t="str">
        <f t="shared" si="19"/>
        <v>1Q18</v>
      </c>
      <c r="AL64" s="782">
        <f t="shared" si="20"/>
        <v>22.697700000000001</v>
      </c>
      <c r="AM64" s="715">
        <v>19.997181435645999</v>
      </c>
      <c r="AN64" s="715">
        <v>18.5234169124132</v>
      </c>
      <c r="AO64" s="715">
        <v>20.0561270625894</v>
      </c>
      <c r="AP64" s="715">
        <v>14.106439675078301</v>
      </c>
      <c r="AQ64" s="783">
        <v>17.559171648664801</v>
      </c>
      <c r="AR64" s="782">
        <f t="shared" si="21"/>
        <v>19.645199999999999</v>
      </c>
      <c r="AS64" s="715">
        <v>18.771186440678001</v>
      </c>
      <c r="AT64" s="715">
        <v>19.371574001566199</v>
      </c>
      <c r="AU64" s="715">
        <v>17.428936895963599</v>
      </c>
      <c r="AV64" s="715">
        <v>14.0337570772353</v>
      </c>
      <c r="AW64" s="783">
        <v>13.0179028132992</v>
      </c>
      <c r="AX64" s="782">
        <f t="shared" si="22"/>
        <v>11.7067</v>
      </c>
      <c r="AY64" s="715">
        <v>13.616533231839</v>
      </c>
      <c r="AZ64" s="715">
        <v>11.671039259236499</v>
      </c>
      <c r="BA64" s="715">
        <v>11.237328099240401</v>
      </c>
      <c r="BB64" s="715">
        <v>8.5636391786993808</v>
      </c>
      <c r="BC64" s="783">
        <v>9.4807678314934005</v>
      </c>
      <c r="BD64" s="782">
        <f t="shared" si="31"/>
        <v>10.163399999999999</v>
      </c>
      <c r="BE64" s="715">
        <v>11.355119303791399</v>
      </c>
      <c r="BF64" s="715">
        <v>11.846434747342601</v>
      </c>
      <c r="BG64" s="715">
        <v>10.611930261701501</v>
      </c>
      <c r="BH64" s="715">
        <v>8.6543815287443895</v>
      </c>
      <c r="BI64" s="783">
        <v>8.2379108421674392</v>
      </c>
      <c r="BJ64" s="12"/>
      <c r="BK64" s="291" t="str">
        <f t="shared" si="23"/>
        <v>1Q18</v>
      </c>
      <c r="BL64" s="782">
        <f t="shared" si="24"/>
        <v>22.697700000000001</v>
      </c>
      <c r="BM64" s="715">
        <v>19.384227863700598</v>
      </c>
      <c r="BN64" s="715">
        <v>13.908477197883499</v>
      </c>
      <c r="BO64" s="715">
        <v>33.2283092526121</v>
      </c>
      <c r="BP64" s="715">
        <v>16.0444901612988</v>
      </c>
      <c r="BQ64" s="783">
        <v>17.191582410452199</v>
      </c>
      <c r="BR64" s="782">
        <f t="shared" si="25"/>
        <v>19.645199999999999</v>
      </c>
      <c r="BS64" s="715">
        <v>20.975609756097601</v>
      </c>
      <c r="BT64" s="715">
        <v>18.8101636941119</v>
      </c>
      <c r="BU64" s="715">
        <v>20.277493036496299</v>
      </c>
      <c r="BV64" s="715">
        <v>16.155061799158801</v>
      </c>
      <c r="BW64" s="783">
        <v>15.4</v>
      </c>
      <c r="BX64" s="782">
        <f t="shared" si="26"/>
        <v>11.7067</v>
      </c>
      <c r="BY64" s="715">
        <v>8.8108588558203795</v>
      </c>
      <c r="BZ64" s="715">
        <v>5.7308744067364401</v>
      </c>
      <c r="CA64" s="715">
        <v>31.517612592006198</v>
      </c>
      <c r="CB64" s="715">
        <v>11.8960133684471</v>
      </c>
      <c r="CC64" s="783">
        <v>11.3467411692216</v>
      </c>
      <c r="CD64" s="782">
        <f t="shared" si="32"/>
        <v>10.163399999999999</v>
      </c>
      <c r="CE64" s="715">
        <v>8.6006847953429606</v>
      </c>
      <c r="CF64" s="715">
        <v>11.055244811169899</v>
      </c>
      <c r="CG64" s="715">
        <v>18.195775926978001</v>
      </c>
      <c r="CH64" s="715">
        <v>10.898807331445401</v>
      </c>
      <c r="CI64" s="783">
        <v>9.3971229634638203</v>
      </c>
    </row>
    <row r="65" spans="1:87" ht="14.25" customHeight="1">
      <c r="A65" s="12"/>
      <c r="B65" s="12"/>
      <c r="C65" s="12" t="s">
        <v>923</v>
      </c>
      <c r="D65" s="12"/>
      <c r="E65" s="662">
        <f>AVERAGE(AM16:AQ27)</f>
        <v>19.262472338714346</v>
      </c>
      <c r="F65" s="662">
        <f>AVERAGE(AS16:AW27)</f>
        <v>17.294949146403418</v>
      </c>
      <c r="G65" s="662">
        <f>AVERAGE(AY16:BC27)</f>
        <v>9.8177655309079377</v>
      </c>
      <c r="H65" s="662">
        <f>AVERAGE(BE16:BI27)</f>
        <v>8.656236152701716</v>
      </c>
      <c r="I65" s="69">
        <f>IF(I64=4,1,I64+1)</f>
        <v>2</v>
      </c>
      <c r="J65" s="5">
        <f t="shared" si="27"/>
        <v>2018</v>
      </c>
      <c r="K65" s="291" t="str">
        <f t="shared" si="18"/>
        <v>2Q18</v>
      </c>
      <c r="L65" s="782">
        <v>20.039300000000001</v>
      </c>
      <c r="M65" s="715">
        <v>21.920100000000001</v>
      </c>
      <c r="N65" s="715">
        <v>22.461500000000001</v>
      </c>
      <c r="O65" s="715">
        <v>22.461500000000001</v>
      </c>
      <c r="P65" s="715">
        <v>22.461500000000001</v>
      </c>
      <c r="Q65" s="783">
        <v>22.461500000000001</v>
      </c>
      <c r="R65" s="782">
        <v>17.949300000000001</v>
      </c>
      <c r="S65" s="715">
        <v>20.331800000000001</v>
      </c>
      <c r="T65" s="715">
        <v>20.2361</v>
      </c>
      <c r="U65" s="715">
        <v>20.2361</v>
      </c>
      <c r="V65" s="715">
        <v>20.2361</v>
      </c>
      <c r="W65" s="783">
        <v>20.2361</v>
      </c>
      <c r="X65" s="782">
        <v>11.0237</v>
      </c>
      <c r="Y65" s="715">
        <v>12.019600000000001</v>
      </c>
      <c r="Z65" s="715">
        <v>12.4771</v>
      </c>
      <c r="AA65" s="715">
        <v>12.4771</v>
      </c>
      <c r="AB65" s="715">
        <v>12.4771</v>
      </c>
      <c r="AC65" s="783">
        <v>12.4771</v>
      </c>
      <c r="AD65" s="715">
        <v>9.6943999999999999</v>
      </c>
      <c r="AE65" s="715">
        <v>11.569800000000001</v>
      </c>
      <c r="AF65" s="715">
        <v>12.4771</v>
      </c>
      <c r="AG65" s="715">
        <v>12.4771</v>
      </c>
      <c r="AH65" s="715">
        <v>12.4771</v>
      </c>
      <c r="AI65" s="783">
        <v>12.4771</v>
      </c>
      <c r="AJ65" s="12"/>
      <c r="AK65" s="291" t="str">
        <f t="shared" si="19"/>
        <v>2Q18</v>
      </c>
      <c r="AL65" s="782">
        <f t="shared" si="20"/>
        <v>20.039300000000001</v>
      </c>
      <c r="AM65" s="715">
        <v>22.475329167076101</v>
      </c>
      <c r="AN65" s="715">
        <v>20.593353168224599</v>
      </c>
      <c r="AO65" s="715">
        <v>22.034457060929199</v>
      </c>
      <c r="AP65" s="715">
        <v>15.0484698200582</v>
      </c>
      <c r="AQ65" s="783">
        <v>17.710061951419</v>
      </c>
      <c r="AR65" s="782">
        <f t="shared" si="21"/>
        <v>17.949300000000001</v>
      </c>
      <c r="AS65" s="715">
        <v>20.958533907609201</v>
      </c>
      <c r="AT65" s="715">
        <v>20.7874310296456</v>
      </c>
      <c r="AU65" s="715">
        <v>19.019306099608301</v>
      </c>
      <c r="AV65" s="715">
        <v>14.6337362059905</v>
      </c>
      <c r="AW65" s="783">
        <v>13.4704370179949</v>
      </c>
      <c r="AX65" s="782">
        <f t="shared" si="22"/>
        <v>11.0237</v>
      </c>
      <c r="AY65" s="715">
        <v>14.964076135473301</v>
      </c>
      <c r="AZ65" s="715">
        <v>13.0378810681472</v>
      </c>
      <c r="BA65" s="715">
        <v>13.237373175453</v>
      </c>
      <c r="BB65" s="715">
        <v>9.4429334346529998</v>
      </c>
      <c r="BC65" s="783">
        <v>9.6626506732740101</v>
      </c>
      <c r="BD65" s="782">
        <f t="shared" si="31"/>
        <v>9.6943999999999999</v>
      </c>
      <c r="BE65" s="715">
        <v>12.700347002688099</v>
      </c>
      <c r="BF65" s="715">
        <v>13.273740829749199</v>
      </c>
      <c r="BG65" s="715">
        <v>11.9112839944216</v>
      </c>
      <c r="BH65" s="715">
        <v>9.2980473345789996</v>
      </c>
      <c r="BI65" s="783">
        <v>8.6781159357397808</v>
      </c>
      <c r="BJ65" s="12"/>
      <c r="BK65" s="291" t="str">
        <f t="shared" si="23"/>
        <v>2Q18</v>
      </c>
      <c r="BL65" s="782">
        <f t="shared" si="24"/>
        <v>20.039300000000001</v>
      </c>
      <c r="BM65" s="715">
        <v>20.835102571861299</v>
      </c>
      <c r="BN65" s="715">
        <v>15.761428299699</v>
      </c>
      <c r="BO65" s="715">
        <v>32.483285140441502</v>
      </c>
      <c r="BP65" s="715">
        <v>16.165528201573299</v>
      </c>
      <c r="BQ65" s="783">
        <v>17.8036123538146</v>
      </c>
      <c r="BR65" s="782">
        <f t="shared" si="25"/>
        <v>17.949300000000001</v>
      </c>
      <c r="BS65" s="715">
        <v>21.336898395721899</v>
      </c>
      <c r="BT65" s="715">
        <v>20.8168507577704</v>
      </c>
      <c r="BU65" s="715">
        <v>20.106441243853801</v>
      </c>
      <c r="BV65" s="715">
        <v>16.634658775064899</v>
      </c>
      <c r="BW65" s="783">
        <v>15.6780308821281</v>
      </c>
      <c r="BX65" s="782">
        <f t="shared" si="26"/>
        <v>11.0237</v>
      </c>
      <c r="BY65" s="715">
        <v>9.5962061947483903</v>
      </c>
      <c r="BZ65" s="715">
        <v>5.11271417938661</v>
      </c>
      <c r="CA65" s="715">
        <v>26.051184266846999</v>
      </c>
      <c r="CB65" s="715">
        <v>12.257617505758001</v>
      </c>
      <c r="CC65" s="783">
        <v>11.6439186851917</v>
      </c>
      <c r="CD65" s="782">
        <f t="shared" si="32"/>
        <v>9.6943999999999999</v>
      </c>
      <c r="CE65" s="715">
        <v>9.4467034692216405</v>
      </c>
      <c r="CF65" s="715">
        <v>9.3415389650446894</v>
      </c>
      <c r="CG65" s="715">
        <v>17.722520144499502</v>
      </c>
      <c r="CH65" s="715">
        <v>11.4820845836601</v>
      </c>
      <c r="CI65" s="783">
        <v>9.5855066578281196</v>
      </c>
    </row>
    <row r="66" spans="1:87" ht="14.25" customHeight="1">
      <c r="A66" s="12"/>
      <c r="B66" s="12"/>
      <c r="C66" s="12" t="s">
        <v>924</v>
      </c>
      <c r="D66" s="12"/>
      <c r="E66" s="662">
        <f>AVERAGE(AM24:AQ35)</f>
        <v>17.224511078395345</v>
      </c>
      <c r="F66" s="662">
        <f>AVERAGE(AS24:AW35)</f>
        <v>14.896640295870613</v>
      </c>
      <c r="G66" s="662">
        <f>AVERAGE(AY24:BC35)</f>
        <v>8.9307838896084188</v>
      </c>
      <c r="H66" s="662">
        <f>AVERAGE(BE24:BI35)</f>
        <v>8.2881320038219322</v>
      </c>
      <c r="I66" s="69">
        <f>IF(I65+1=5,1,I65+1)</f>
        <v>3</v>
      </c>
      <c r="J66" s="5">
        <f t="shared" si="27"/>
        <v>2018</v>
      </c>
      <c r="K66" s="291" t="str">
        <f t="shared" si="18"/>
        <v>3Q18</v>
      </c>
      <c r="L66" s="782">
        <v>19.009799999999998</v>
      </c>
      <c r="M66" s="715">
        <v>21.9</v>
      </c>
      <c r="N66" s="715">
        <v>21.920100000000001</v>
      </c>
      <c r="O66" s="715">
        <v>21.920100000000001</v>
      </c>
      <c r="P66" s="715">
        <v>21.920100000000001</v>
      </c>
      <c r="Q66" s="783">
        <v>21.920100000000001</v>
      </c>
      <c r="R66" s="782">
        <v>18.036999999999999</v>
      </c>
      <c r="S66" s="715">
        <v>21.138300000000001</v>
      </c>
      <c r="T66" s="715">
        <v>20.331800000000001</v>
      </c>
      <c r="U66" s="715">
        <v>20.331800000000001</v>
      </c>
      <c r="V66" s="715">
        <v>20.331800000000001</v>
      </c>
      <c r="W66" s="783">
        <v>20.331800000000001</v>
      </c>
      <c r="X66" s="782">
        <v>11.528</v>
      </c>
      <c r="Y66" s="715">
        <v>12.1732</v>
      </c>
      <c r="Z66" s="715">
        <v>12.019600000000001</v>
      </c>
      <c r="AA66" s="715">
        <v>12.019600000000001</v>
      </c>
      <c r="AB66" s="715">
        <v>12.019600000000001</v>
      </c>
      <c r="AC66" s="783">
        <v>12.019600000000001</v>
      </c>
      <c r="AD66" s="715">
        <v>9.8882999999999992</v>
      </c>
      <c r="AE66" s="715">
        <v>12.0319</v>
      </c>
      <c r="AF66" s="715">
        <v>12.019600000000001</v>
      </c>
      <c r="AG66" s="715">
        <v>12.019600000000001</v>
      </c>
      <c r="AH66" s="715">
        <v>12.019600000000001</v>
      </c>
      <c r="AI66" s="783">
        <v>12.019600000000001</v>
      </c>
      <c r="AJ66" s="12"/>
      <c r="AK66" s="291" t="str">
        <f t="shared" si="19"/>
        <v>3Q18</v>
      </c>
      <c r="AL66" s="782">
        <f t="shared" si="20"/>
        <v>19.009799999999998</v>
      </c>
      <c r="AM66" s="715">
        <v>20.218534252416902</v>
      </c>
      <c r="AN66" s="715">
        <v>18.7777991734784</v>
      </c>
      <c r="AO66" s="715">
        <v>19.449682429963001</v>
      </c>
      <c r="AP66" s="715">
        <v>16.572022290843901</v>
      </c>
      <c r="AQ66" s="783">
        <v>17.710061951419</v>
      </c>
      <c r="AR66" s="782">
        <f t="shared" si="21"/>
        <v>18.036999999999999</v>
      </c>
      <c r="AS66" s="715">
        <v>19.8855246785566</v>
      </c>
      <c r="AT66" s="715">
        <v>19.339238904456298</v>
      </c>
      <c r="AU66" s="715">
        <v>18.3909754120508</v>
      </c>
      <c r="AV66" s="715">
        <v>15.9416418370492</v>
      </c>
      <c r="AW66" s="783">
        <v>13.3333333333333</v>
      </c>
      <c r="AX66" s="782">
        <f t="shared" si="22"/>
        <v>11.528</v>
      </c>
      <c r="AY66" s="715">
        <v>13.1266307559514</v>
      </c>
      <c r="AZ66" s="715">
        <v>12.3867992139277</v>
      </c>
      <c r="BA66" s="715">
        <v>11.466262650738599</v>
      </c>
      <c r="BB66" s="715">
        <v>10.687788081140001</v>
      </c>
      <c r="BC66" s="783">
        <v>9.6667809175315593</v>
      </c>
      <c r="BD66" s="782">
        <f t="shared" si="31"/>
        <v>9.8882999999999992</v>
      </c>
      <c r="BE66" s="715">
        <v>12.4195386896497</v>
      </c>
      <c r="BF66" s="715">
        <v>12.663318332875701</v>
      </c>
      <c r="BG66" s="715">
        <v>11.541856278119299</v>
      </c>
      <c r="BH66" s="715">
        <v>10.2055491446263</v>
      </c>
      <c r="BI66" s="783">
        <v>8.5830829229704602</v>
      </c>
      <c r="BJ66" s="12"/>
      <c r="BK66" s="291" t="str">
        <f t="shared" si="23"/>
        <v>3Q18</v>
      </c>
      <c r="BL66" s="782">
        <f t="shared" si="24"/>
        <v>19.009799999999998</v>
      </c>
      <c r="BM66" s="715">
        <v>25.815956686658499</v>
      </c>
      <c r="BN66" s="715">
        <v>17.0264463502361</v>
      </c>
      <c r="BO66" s="715">
        <v>29.025166871739799</v>
      </c>
      <c r="BP66" s="715">
        <v>16.2119049357539</v>
      </c>
      <c r="BQ66" s="783">
        <v>17.3509445420435</v>
      </c>
      <c r="BR66" s="782">
        <f t="shared" si="25"/>
        <v>18.036999999999999</v>
      </c>
      <c r="BS66" s="715">
        <v>25.175836642087301</v>
      </c>
      <c r="BT66" s="715">
        <v>19.871944121071</v>
      </c>
      <c r="BU66" s="715">
        <v>18.931028236702101</v>
      </c>
      <c r="BV66" s="715">
        <v>16.638279736708501</v>
      </c>
      <c r="BW66" s="783">
        <v>15.468940316687</v>
      </c>
      <c r="BX66" s="782">
        <f t="shared" si="26"/>
        <v>11.528</v>
      </c>
      <c r="BY66" s="715">
        <v>12.1990038422253</v>
      </c>
      <c r="BZ66" s="715">
        <v>5.0333249197971401</v>
      </c>
      <c r="CA66" s="715">
        <v>24.0965972999172</v>
      </c>
      <c r="CB66" s="715">
        <v>12.327696931207401</v>
      </c>
      <c r="CC66" s="783">
        <v>11.5890282932563</v>
      </c>
      <c r="CD66" s="782">
        <f t="shared" si="32"/>
        <v>9.8882999999999992</v>
      </c>
      <c r="CE66" s="715">
        <v>10.9486870372588</v>
      </c>
      <c r="CF66" s="715">
        <v>8.4251849217201293</v>
      </c>
      <c r="CG66" s="715">
        <v>16.1964084418045</v>
      </c>
      <c r="CH66" s="715">
        <v>11.286621192426299</v>
      </c>
      <c r="CI66" s="783">
        <v>9.3998419809461708</v>
      </c>
    </row>
    <row r="67" spans="1:87" ht="14.25" customHeight="1">
      <c r="A67" s="12"/>
      <c r="B67" s="12"/>
      <c r="C67" s="12" t="s">
        <v>925</v>
      </c>
      <c r="D67" s="12"/>
      <c r="E67" s="662">
        <f>AVERAGE(AM36:AQ75)</f>
        <v>16.187707655771675</v>
      </c>
      <c r="F67" s="662">
        <f>AVERAGE(AS36:AW75)</f>
        <v>13.567451413503498</v>
      </c>
      <c r="G67" s="662">
        <f>AVERAGE(AY36:BC75)</f>
        <v>8.6942664150866467</v>
      </c>
      <c r="H67" s="662">
        <f>AVERAGE(BE36:BI75)</f>
        <v>8.2278336539548018</v>
      </c>
      <c r="I67" s="69">
        <f>IF(I66=4,1,I66+1)</f>
        <v>4</v>
      </c>
      <c r="J67" s="5">
        <f t="shared" si="27"/>
        <v>2018</v>
      </c>
      <c r="K67" s="291" t="str">
        <f t="shared" si="18"/>
        <v>4Q18</v>
      </c>
      <c r="L67" s="782">
        <v>20.496300000000002</v>
      </c>
      <c r="M67" s="715">
        <v>23.0381</v>
      </c>
      <c r="N67" s="715">
        <v>21.9</v>
      </c>
      <c r="O67" s="715">
        <v>21.9</v>
      </c>
      <c r="P67" s="715">
        <v>21.9</v>
      </c>
      <c r="Q67" s="783">
        <v>21.9</v>
      </c>
      <c r="R67" s="782">
        <v>17.7559</v>
      </c>
      <c r="S67" s="715">
        <v>20.435600000000001</v>
      </c>
      <c r="T67" s="715">
        <v>21.138300000000001</v>
      </c>
      <c r="U67" s="715">
        <v>21.138300000000001</v>
      </c>
      <c r="V67" s="715">
        <v>21.138300000000001</v>
      </c>
      <c r="W67" s="783">
        <v>21.138300000000001</v>
      </c>
      <c r="X67" s="782">
        <v>11.641</v>
      </c>
      <c r="Y67" s="715">
        <v>12.8368</v>
      </c>
      <c r="Z67" s="715">
        <v>12.1732</v>
      </c>
      <c r="AA67" s="715">
        <v>12.1732</v>
      </c>
      <c r="AB67" s="715">
        <v>12.1732</v>
      </c>
      <c r="AC67" s="783">
        <v>12.1732</v>
      </c>
      <c r="AD67" s="715">
        <v>10.2113</v>
      </c>
      <c r="AE67" s="715">
        <v>12.105700000000001</v>
      </c>
      <c r="AF67" s="715">
        <v>12.1732</v>
      </c>
      <c r="AG67" s="715">
        <v>12.1732</v>
      </c>
      <c r="AH67" s="715">
        <v>12.1732</v>
      </c>
      <c r="AI67" s="783">
        <v>12.1732</v>
      </c>
      <c r="AJ67" s="12"/>
      <c r="AK67" s="291" t="str">
        <f t="shared" si="19"/>
        <v>4Q18</v>
      </c>
      <c r="AL67" s="782">
        <f t="shared" si="20"/>
        <v>20.496300000000002</v>
      </c>
      <c r="AM67" s="715">
        <v>20.668809737379402</v>
      </c>
      <c r="AN67" s="715">
        <v>15.9005325905884</v>
      </c>
      <c r="AO67" s="715">
        <v>20.3173920023305</v>
      </c>
      <c r="AP67" s="715">
        <v>20.006952491309399</v>
      </c>
      <c r="AQ67" s="783">
        <v>20.5307092900158</v>
      </c>
      <c r="AR67" s="782">
        <f t="shared" si="21"/>
        <v>17.7559</v>
      </c>
      <c r="AS67" s="715">
        <v>20.4015998693984</v>
      </c>
      <c r="AT67" s="715">
        <v>19.895637296834899</v>
      </c>
      <c r="AU67" s="715">
        <v>19.111709286675602</v>
      </c>
      <c r="AV67" s="715">
        <v>17.639967306906399</v>
      </c>
      <c r="AW67" s="783">
        <v>14.750623441396501</v>
      </c>
      <c r="AX67" s="782">
        <f t="shared" si="22"/>
        <v>11.641</v>
      </c>
      <c r="AY67" s="715">
        <v>12.074723405307701</v>
      </c>
      <c r="AZ67" s="715">
        <v>12.195018424916301</v>
      </c>
      <c r="BA67" s="715">
        <v>11.569258386006201</v>
      </c>
      <c r="BB67" s="715">
        <v>12.928671491471199</v>
      </c>
      <c r="BC67" s="783">
        <v>10.222826802459499</v>
      </c>
      <c r="BD67" s="782">
        <f t="shared" si="31"/>
        <v>10.2113</v>
      </c>
      <c r="BE67" s="715">
        <v>11.8871481239925</v>
      </c>
      <c r="BF67" s="715">
        <v>11.964258549333101</v>
      </c>
      <c r="BG67" s="715">
        <v>11.817655580723001</v>
      </c>
      <c r="BH67" s="715">
        <v>11.2019939501488</v>
      </c>
      <c r="BI67" s="783">
        <v>8.8425288587657693</v>
      </c>
      <c r="BJ67" s="12"/>
      <c r="BK67" s="291" t="str">
        <f t="shared" si="23"/>
        <v>4Q18</v>
      </c>
      <c r="BL67" s="782">
        <f t="shared" si="24"/>
        <v>20.496300000000002</v>
      </c>
      <c r="BM67" s="715">
        <v>28.066034167082801</v>
      </c>
      <c r="BN67" s="715">
        <v>21.307420333945799</v>
      </c>
      <c r="BO67" s="715">
        <v>26.889103128374899</v>
      </c>
      <c r="BP67" s="715">
        <v>16.423273947979698</v>
      </c>
      <c r="BQ67" s="783">
        <v>17.1725751374574</v>
      </c>
      <c r="BR67" s="782">
        <f t="shared" si="25"/>
        <v>17.7559</v>
      </c>
      <c r="BS67" s="715">
        <v>28.456581773550202</v>
      </c>
      <c r="BT67" s="715">
        <v>23.082437275985701</v>
      </c>
      <c r="BU67" s="715">
        <v>20.345307595445401</v>
      </c>
      <c r="BV67" s="715">
        <v>16.801093827897802</v>
      </c>
      <c r="BW67" s="783">
        <v>16.611607819366601</v>
      </c>
      <c r="BX67" s="782">
        <f t="shared" si="26"/>
        <v>11.641</v>
      </c>
      <c r="BY67" s="715">
        <v>13.7639728827608</v>
      </c>
      <c r="BZ67" s="715">
        <v>7.5504903192001098</v>
      </c>
      <c r="CA67" s="715">
        <v>23.121079340232299</v>
      </c>
      <c r="CB67" s="715">
        <v>12.2357248665092</v>
      </c>
      <c r="CC67" s="783">
        <v>10.7451877747124</v>
      </c>
      <c r="CD67" s="782">
        <f t="shared" si="32"/>
        <v>10.2113</v>
      </c>
      <c r="CE67" s="715">
        <v>11.1463692074734</v>
      </c>
      <c r="CF67" s="715">
        <v>12.6304413193167</v>
      </c>
      <c r="CG67" s="715">
        <v>16.374575188527999</v>
      </c>
      <c r="CH67" s="715">
        <v>10.8915082737996</v>
      </c>
      <c r="CI67" s="783">
        <v>10.199528117422799</v>
      </c>
    </row>
    <row r="68" spans="1:87" ht="14.25" customHeight="1">
      <c r="A68" s="12"/>
      <c r="B68" s="12"/>
      <c r="C68" s="12" t="s">
        <v>926</v>
      </c>
      <c r="D68" s="12"/>
      <c r="E68" s="662">
        <f>AVERAGE(AM36:AQ51)</f>
        <v>10.627759634939974</v>
      </c>
      <c r="F68" s="662">
        <f>AVERAGE(AS36:AW51)</f>
        <v>9.4357996494058476</v>
      </c>
      <c r="G68" s="662">
        <f>AVERAGE(AY36:BC51)</f>
        <v>5.6313878399053614</v>
      </c>
      <c r="H68" s="662">
        <f>AVERAGE(BE36:BI51)</f>
        <v>5.4314602700251715</v>
      </c>
      <c r="I68" s="69">
        <f>I64</f>
        <v>1</v>
      </c>
      <c r="J68" s="5">
        <f t="shared" si="27"/>
        <v>2019</v>
      </c>
      <c r="K68" s="291" t="str">
        <f t="shared" si="18"/>
        <v>1Q19</v>
      </c>
      <c r="L68" s="782">
        <v>18.586300000000001</v>
      </c>
      <c r="M68" s="715">
        <v>23.230599999999999</v>
      </c>
      <c r="N68" s="715">
        <v>23.033799999999999</v>
      </c>
      <c r="O68" s="715">
        <v>23.033799999999999</v>
      </c>
      <c r="P68" s="715">
        <v>23.033799999999999</v>
      </c>
      <c r="Q68" s="783">
        <v>23.033799999999999</v>
      </c>
      <c r="R68" s="782">
        <v>16.691099999999999</v>
      </c>
      <c r="S68" s="715">
        <v>21.184899999999999</v>
      </c>
      <c r="T68" s="715">
        <v>20.435600000000001</v>
      </c>
      <c r="U68" s="715">
        <v>20.435600000000001</v>
      </c>
      <c r="V68" s="715">
        <v>20.435600000000001</v>
      </c>
      <c r="W68" s="783">
        <v>20.435600000000001</v>
      </c>
      <c r="X68" s="782">
        <v>10.718999999999999</v>
      </c>
      <c r="Y68" s="715">
        <v>12.922700000000001</v>
      </c>
      <c r="Z68" s="715">
        <v>12.8368</v>
      </c>
      <c r="AA68" s="715">
        <v>12.8368</v>
      </c>
      <c r="AB68" s="715">
        <v>12.8368</v>
      </c>
      <c r="AC68" s="783">
        <v>12.8368</v>
      </c>
      <c r="AD68" s="715">
        <v>9.4314</v>
      </c>
      <c r="AE68" s="715">
        <v>12.3409</v>
      </c>
      <c r="AF68" s="715">
        <v>12.8368</v>
      </c>
      <c r="AG68" s="715">
        <v>12.8368</v>
      </c>
      <c r="AH68" s="715">
        <v>12.8368</v>
      </c>
      <c r="AI68" s="783">
        <v>12.8368</v>
      </c>
      <c r="AJ68" s="12"/>
      <c r="AK68" s="291" t="str">
        <f t="shared" si="19"/>
        <v>1Q19</v>
      </c>
      <c r="AL68" s="782">
        <f t="shared" si="20"/>
        <v>18.586300000000001</v>
      </c>
      <c r="AM68" s="715">
        <v>21.591940880684898</v>
      </c>
      <c r="AN68" s="715">
        <v>16.3220713054363</v>
      </c>
      <c r="AO68" s="715">
        <v>20.9216903189234</v>
      </c>
      <c r="AP68" s="715">
        <v>20.7308970099668</v>
      </c>
      <c r="AQ68" s="783">
        <v>22.300897242324801</v>
      </c>
      <c r="AR68" s="782">
        <f t="shared" si="21"/>
        <v>16.691099999999999</v>
      </c>
      <c r="AS68" s="715">
        <v>21.109095211800899</v>
      </c>
      <c r="AT68" s="715">
        <v>20.016832183134198</v>
      </c>
      <c r="AU68" s="715">
        <v>20.596974608319801</v>
      </c>
      <c r="AV68" s="715">
        <v>19.1940941248847</v>
      </c>
      <c r="AW68" s="783">
        <v>14.7025171624714</v>
      </c>
      <c r="AX68" s="782">
        <f t="shared" si="22"/>
        <v>10.718999999999999</v>
      </c>
      <c r="AY68" s="715">
        <v>12.2299186581744</v>
      </c>
      <c r="AZ68" s="715">
        <v>12.2332703953318</v>
      </c>
      <c r="BA68" s="715">
        <v>11.5069141760127</v>
      </c>
      <c r="BB68" s="715">
        <v>13.594794257068299</v>
      </c>
      <c r="BC68" s="783">
        <v>11.0410116059098</v>
      </c>
      <c r="BD68" s="782">
        <f t="shared" si="31"/>
        <v>9.4314</v>
      </c>
      <c r="BE68" s="715">
        <v>12.6639328350543</v>
      </c>
      <c r="BF68" s="715">
        <v>12.5960409466614</v>
      </c>
      <c r="BG68" s="715">
        <v>12.3328687695918</v>
      </c>
      <c r="BH68" s="715">
        <v>12.4744740331326</v>
      </c>
      <c r="BI68" s="783">
        <v>9.4987184392038593</v>
      </c>
      <c r="BJ68" s="12"/>
      <c r="BK68" s="291" t="str">
        <f t="shared" si="23"/>
        <v>1Q19</v>
      </c>
      <c r="BL68" s="782">
        <f t="shared" si="24"/>
        <v>18.586300000000001</v>
      </c>
      <c r="BM68" s="715">
        <v>23.6974210277568</v>
      </c>
      <c r="BN68" s="715">
        <v>23.589525782489201</v>
      </c>
      <c r="BO68" s="715">
        <v>25.791558894553301</v>
      </c>
      <c r="BP68" s="715">
        <v>17.307023437642702</v>
      </c>
      <c r="BQ68" s="783">
        <v>17.537528451010001</v>
      </c>
      <c r="BR68" s="782">
        <f t="shared" si="25"/>
        <v>16.691099999999999</v>
      </c>
      <c r="BS68" s="715">
        <v>29.616858237547898</v>
      </c>
      <c r="BT68" s="715">
        <v>22.745507730881702</v>
      </c>
      <c r="BU68" s="715">
        <v>17.6495944054221</v>
      </c>
      <c r="BV68" s="715">
        <v>16.987359911395298</v>
      </c>
      <c r="BW68" s="783">
        <v>17.128682643871201</v>
      </c>
      <c r="BX68" s="782">
        <f t="shared" si="26"/>
        <v>10.718999999999999</v>
      </c>
      <c r="BY68" s="715">
        <v>13.8194579192422</v>
      </c>
      <c r="BZ68" s="715">
        <v>7.9942188901472404</v>
      </c>
      <c r="CA68" s="715">
        <v>22.026197427592699</v>
      </c>
      <c r="CB68" s="715">
        <v>13.3849672643896</v>
      </c>
      <c r="CC68" s="783">
        <v>10.5374575768322</v>
      </c>
      <c r="CD68" s="782">
        <f t="shared" si="32"/>
        <v>9.4314</v>
      </c>
      <c r="CE68" s="715">
        <v>10.810994531561599</v>
      </c>
      <c r="CF68" s="715">
        <v>11.5073082924952</v>
      </c>
      <c r="CG68" s="715">
        <v>16.071896079336099</v>
      </c>
      <c r="CH68" s="715">
        <v>11.679860272055899</v>
      </c>
      <c r="CI68" s="783">
        <v>10.218256912726</v>
      </c>
    </row>
    <row r="69" spans="1:87" ht="14.25" customHeight="1">
      <c r="A69" s="12"/>
      <c r="B69" s="12"/>
      <c r="C69" s="12" t="s">
        <v>927</v>
      </c>
      <c r="D69" s="12"/>
      <c r="E69" s="662">
        <f>AVERAGE(AM48:AQ63)</f>
        <v>17.086430719061759</v>
      </c>
      <c r="F69" s="662">
        <f>AVERAGE(AS48:AW63)</f>
        <v>13.060402390627019</v>
      </c>
      <c r="G69" s="662">
        <f>AVERAGE(AY48:BC63)</f>
        <v>8.3890089185246133</v>
      </c>
      <c r="H69" s="662">
        <f>AVERAGE(BE48:BI63)</f>
        <v>7.6783842052479061</v>
      </c>
      <c r="I69" s="69">
        <f>IF(I68=4,1,I68+1)</f>
        <v>2</v>
      </c>
      <c r="J69" s="5">
        <f t="shared" si="27"/>
        <v>2019</v>
      </c>
      <c r="K69" s="291" t="str">
        <f t="shared" si="18"/>
        <v>2Q19</v>
      </c>
      <c r="L69" s="782">
        <v>18.092400000000001</v>
      </c>
      <c r="M69" s="715">
        <v>23.507400000000001</v>
      </c>
      <c r="N69" s="715">
        <v>23.226400000000002</v>
      </c>
      <c r="O69" s="715">
        <v>23.226400000000002</v>
      </c>
      <c r="P69" s="715">
        <v>23.226400000000002</v>
      </c>
      <c r="Q69" s="783">
        <v>23.226400000000002</v>
      </c>
      <c r="R69" s="782">
        <v>17.776299999999999</v>
      </c>
      <c r="S69" s="715">
        <v>22.347300000000001</v>
      </c>
      <c r="T69" s="715">
        <v>21.184899999999999</v>
      </c>
      <c r="U69" s="715">
        <v>21.184899999999999</v>
      </c>
      <c r="V69" s="715">
        <v>21.184899999999999</v>
      </c>
      <c r="W69" s="783">
        <v>21.184899999999999</v>
      </c>
      <c r="X69" s="782">
        <v>10.4598</v>
      </c>
      <c r="Y69" s="715">
        <v>13.251899999999999</v>
      </c>
      <c r="Z69" s="715">
        <v>12.922700000000001</v>
      </c>
      <c r="AA69" s="715">
        <v>12.922700000000001</v>
      </c>
      <c r="AB69" s="715">
        <v>12.922700000000001</v>
      </c>
      <c r="AC69" s="783">
        <v>12.922700000000001</v>
      </c>
      <c r="AD69" s="715">
        <v>9.8543000000000003</v>
      </c>
      <c r="AE69" s="715">
        <v>12.8606</v>
      </c>
      <c r="AF69" s="715">
        <v>12.922700000000001</v>
      </c>
      <c r="AG69" s="715">
        <v>12.922700000000001</v>
      </c>
      <c r="AH69" s="715">
        <v>12.922700000000001</v>
      </c>
      <c r="AI69" s="783">
        <v>12.922700000000001</v>
      </c>
      <c r="AJ69" s="12"/>
      <c r="AK69" s="291" t="str">
        <f t="shared" si="19"/>
        <v>2Q19</v>
      </c>
      <c r="AL69" s="782">
        <f t="shared" si="20"/>
        <v>18.092400000000001</v>
      </c>
      <c r="AM69" s="715">
        <v>21.784416902937199</v>
      </c>
      <c r="AN69" s="715">
        <v>17.250068540648599</v>
      </c>
      <c r="AO69" s="715">
        <v>22.120547945205502</v>
      </c>
      <c r="AP69" s="715">
        <v>21.579520697167801</v>
      </c>
      <c r="AQ69" s="783">
        <v>18.736782952041501</v>
      </c>
      <c r="AR69" s="782">
        <f t="shared" si="21"/>
        <v>17.776299999999999</v>
      </c>
      <c r="AS69" s="715">
        <v>22.1397240609299</v>
      </c>
      <c r="AT69" s="715">
        <v>20.814886888834799</v>
      </c>
      <c r="AU69" s="715">
        <v>21.559412550066799</v>
      </c>
      <c r="AV69" s="715">
        <v>20.203977562468101</v>
      </c>
      <c r="AW69" s="783">
        <v>14.4305239179954</v>
      </c>
      <c r="AX69" s="782">
        <f t="shared" si="22"/>
        <v>10.4598</v>
      </c>
      <c r="AY69" s="715">
        <v>12.0202300603609</v>
      </c>
      <c r="AZ69" s="715">
        <v>12.6144758164482</v>
      </c>
      <c r="BA69" s="715">
        <v>11.7393095004713</v>
      </c>
      <c r="BB69" s="715">
        <v>14.265995216413099</v>
      </c>
      <c r="BC69" s="783">
        <v>10.3526050422766</v>
      </c>
      <c r="BD69" s="782">
        <f t="shared" si="31"/>
        <v>9.8543000000000003</v>
      </c>
      <c r="BE69" s="715">
        <v>13.3289772635557</v>
      </c>
      <c r="BF69" s="715">
        <v>13.1897408687117</v>
      </c>
      <c r="BG69" s="715">
        <v>12.849733579212099</v>
      </c>
      <c r="BH69" s="715">
        <v>13.133248032386</v>
      </c>
      <c r="BI69" s="783">
        <v>9.4087010231322701</v>
      </c>
      <c r="BJ69" s="12"/>
      <c r="BK69" s="291" t="str">
        <f t="shared" si="23"/>
        <v>2Q19</v>
      </c>
      <c r="BL69" s="782">
        <f t="shared" si="24"/>
        <v>18.092400000000001</v>
      </c>
      <c r="BM69" s="715">
        <v>24.742040170703</v>
      </c>
      <c r="BN69" s="715">
        <v>24.021492034170802</v>
      </c>
      <c r="BO69" s="715">
        <v>23.4933771233793</v>
      </c>
      <c r="BP69" s="715">
        <v>18.0285981640464</v>
      </c>
      <c r="BQ69" s="783">
        <v>18.379104744491201</v>
      </c>
      <c r="BR69" s="782">
        <f t="shared" si="25"/>
        <v>17.776299999999999</v>
      </c>
      <c r="BS69" s="715">
        <v>25.962792945155801</v>
      </c>
      <c r="BT69" s="715">
        <v>19.639281741617701</v>
      </c>
      <c r="BU69" s="715">
        <v>15.870049091686999</v>
      </c>
      <c r="BV69" s="715">
        <v>18.0227065984269</v>
      </c>
      <c r="BW69" s="783">
        <v>18.523968446601899</v>
      </c>
      <c r="BX69" s="782">
        <f t="shared" si="26"/>
        <v>10.4598</v>
      </c>
      <c r="BY69" s="715">
        <v>14.326424404120401</v>
      </c>
      <c r="BZ69" s="715">
        <v>7.1606597322998997</v>
      </c>
      <c r="CA69" s="715">
        <v>25.6475468440842</v>
      </c>
      <c r="CB69" s="715">
        <v>14.752252083434</v>
      </c>
      <c r="CC69" s="783">
        <v>11.3109397504525</v>
      </c>
      <c r="CD69" s="782">
        <f t="shared" si="32"/>
        <v>9.8543000000000003</v>
      </c>
      <c r="CE69" s="715">
        <v>11.112001785686999</v>
      </c>
      <c r="CF69" s="715">
        <v>11.7841043437958</v>
      </c>
      <c r="CG69" s="715">
        <v>15.946937408692801</v>
      </c>
      <c r="CH69" s="715">
        <v>12.6190343687216</v>
      </c>
      <c r="CI69" s="783">
        <v>10.944111913626999</v>
      </c>
    </row>
    <row r="70" spans="1:87" ht="14.25" customHeight="1">
      <c r="A70" s="12"/>
      <c r="B70" s="12"/>
      <c r="C70" s="12" t="s">
        <v>928</v>
      </c>
      <c r="D70" s="12"/>
      <c r="E70" s="662">
        <f>AVERAGE(AM60:AQ75)</f>
        <v>19.526720332021341</v>
      </c>
      <c r="F70" s="662">
        <f>AVERAGE(AS60:AW75)</f>
        <v>17.863020065982958</v>
      </c>
      <c r="G70" s="662">
        <f>AVERAGE(AY60:BC75)</f>
        <v>11.701290624943695</v>
      </c>
      <c r="H70" s="662">
        <f>AVERAGE(BE60:BI75)</f>
        <v>11.295095761117661</v>
      </c>
      <c r="I70" s="69">
        <f>IF(I69+1=5,1,I69+1)</f>
        <v>3</v>
      </c>
      <c r="J70" s="5">
        <f t="shared" si="27"/>
        <v>2019</v>
      </c>
      <c r="K70" s="291" t="str">
        <f t="shared" si="18"/>
        <v>3Q19</v>
      </c>
      <c r="L70" s="782">
        <v>20.498799999999999</v>
      </c>
      <c r="M70" s="715">
        <v>26.376200000000001</v>
      </c>
      <c r="N70" s="715">
        <v>23.503399999999999</v>
      </c>
      <c r="O70" s="715">
        <v>23.503399999999999</v>
      </c>
      <c r="P70" s="715">
        <v>23.503399999999999</v>
      </c>
      <c r="Q70" s="783">
        <v>23.503399999999999</v>
      </c>
      <c r="R70" s="782">
        <v>20.390499999999999</v>
      </c>
      <c r="S70" s="715">
        <v>25.556899999999999</v>
      </c>
      <c r="T70" s="715">
        <v>22.347300000000001</v>
      </c>
      <c r="U70" s="715">
        <v>22.347300000000001</v>
      </c>
      <c r="V70" s="715">
        <v>22.347300000000001</v>
      </c>
      <c r="W70" s="783">
        <v>22.347300000000001</v>
      </c>
      <c r="X70" s="782">
        <v>11.1172</v>
      </c>
      <c r="Y70" s="715">
        <v>14.793200000000001</v>
      </c>
      <c r="Z70" s="715">
        <v>13.251899999999999</v>
      </c>
      <c r="AA70" s="715">
        <v>13.251899999999999</v>
      </c>
      <c r="AB70" s="715">
        <v>13.251899999999999</v>
      </c>
      <c r="AC70" s="783">
        <v>13.251899999999999</v>
      </c>
      <c r="AD70" s="715">
        <v>11.2417</v>
      </c>
      <c r="AE70" s="715">
        <v>14.610799999999999</v>
      </c>
      <c r="AF70" s="715">
        <v>13.251899999999999</v>
      </c>
      <c r="AG70" s="715">
        <v>13.251899999999999</v>
      </c>
      <c r="AH70" s="715">
        <v>13.251899999999999</v>
      </c>
      <c r="AI70" s="783">
        <v>13.251899999999999</v>
      </c>
      <c r="AJ70" s="12"/>
      <c r="AK70" s="291" t="str">
        <f t="shared" si="19"/>
        <v>3Q19</v>
      </c>
      <c r="AL70" s="782">
        <f t="shared" si="20"/>
        <v>20.498799999999999</v>
      </c>
      <c r="AM70" s="715">
        <v>24.245630293402701</v>
      </c>
      <c r="AN70" s="715">
        <v>18.926855452818401</v>
      </c>
      <c r="AO70" s="715">
        <v>25.111709286675602</v>
      </c>
      <c r="AP70" s="715">
        <v>22.0107066381156</v>
      </c>
      <c r="AQ70" s="783">
        <v>18.677629730409201</v>
      </c>
      <c r="AR70" s="782">
        <f t="shared" si="21"/>
        <v>20.390499999999999</v>
      </c>
      <c r="AS70" s="715">
        <v>24.559917682444201</v>
      </c>
      <c r="AT70" s="715">
        <v>22.898527656187799</v>
      </c>
      <c r="AU70" s="715">
        <v>24.575869336143299</v>
      </c>
      <c r="AV70" s="715">
        <v>20.983974686128398</v>
      </c>
      <c r="AW70" s="783">
        <v>14.7202797202797</v>
      </c>
      <c r="AX70" s="782">
        <f t="shared" si="22"/>
        <v>11.1172</v>
      </c>
      <c r="AY70" s="715">
        <v>12.9700972455721</v>
      </c>
      <c r="AZ70" s="715">
        <v>13.7961004266903</v>
      </c>
      <c r="BA70" s="715">
        <v>12.589375476923101</v>
      </c>
      <c r="BB70" s="715">
        <v>14.538753651645001</v>
      </c>
      <c r="BC70" s="783">
        <v>10.3251758897163</v>
      </c>
      <c r="BD70" s="782">
        <f t="shared" si="31"/>
        <v>11.2417</v>
      </c>
      <c r="BE70" s="715">
        <v>14.403700175227801</v>
      </c>
      <c r="BF70" s="715">
        <v>14.572876084436899</v>
      </c>
      <c r="BG70" s="715">
        <v>14.6792074636279</v>
      </c>
      <c r="BH70" s="715">
        <v>13.6358243911247</v>
      </c>
      <c r="BI70" s="783">
        <v>9.4601225986614104</v>
      </c>
      <c r="BJ70" s="12"/>
      <c r="BK70" s="291" t="str">
        <f t="shared" si="23"/>
        <v>3Q19</v>
      </c>
      <c r="BL70" s="782">
        <f t="shared" si="24"/>
        <v>20.498799999999999</v>
      </c>
      <c r="BM70" s="715">
        <v>22.911092065994101</v>
      </c>
      <c r="BN70" s="715">
        <v>22.684546980981001</v>
      </c>
      <c r="BO70" s="715">
        <v>23.0472722740321</v>
      </c>
      <c r="BP70" s="715">
        <v>18.562480488484098</v>
      </c>
      <c r="BQ70" s="783">
        <v>17.196000181915</v>
      </c>
      <c r="BR70" s="782">
        <f t="shared" si="25"/>
        <v>20.390499999999999</v>
      </c>
      <c r="BS70" s="715">
        <v>24.196740395809101</v>
      </c>
      <c r="BT70" s="715">
        <v>19.250459840588601</v>
      </c>
      <c r="BU70" s="715">
        <v>14.9761977139175</v>
      </c>
      <c r="BV70" s="715">
        <v>19.154446768158</v>
      </c>
      <c r="BW70" s="783">
        <v>17.6816450875857</v>
      </c>
      <c r="BX70" s="782">
        <f t="shared" si="26"/>
        <v>11.1172</v>
      </c>
      <c r="BY70" s="715">
        <v>13.667693155228401</v>
      </c>
      <c r="BZ70" s="715">
        <v>7.4503412945722296</v>
      </c>
      <c r="CA70" s="715">
        <v>30.114087931275598</v>
      </c>
      <c r="CB70" s="715">
        <v>15.5163968058044</v>
      </c>
      <c r="CC70" s="783">
        <v>11.1544756048268</v>
      </c>
      <c r="CD70" s="782">
        <f t="shared" si="32"/>
        <v>11.2417</v>
      </c>
      <c r="CE70" s="715">
        <v>11.266430673689401</v>
      </c>
      <c r="CF70" s="715">
        <v>12.2155263486962</v>
      </c>
      <c r="CG70" s="715">
        <v>15.5063637404971</v>
      </c>
      <c r="CH70" s="715">
        <v>13.3370545414741</v>
      </c>
      <c r="CI70" s="783">
        <v>10.5691443030444</v>
      </c>
    </row>
    <row r="71" spans="1:87" ht="14.25" customHeight="1">
      <c r="A71" s="12"/>
      <c r="B71" s="12"/>
      <c r="C71" s="12"/>
      <c r="D71" s="12"/>
      <c r="E71" s="12"/>
      <c r="F71" s="12"/>
      <c r="G71" s="12"/>
      <c r="H71" s="12"/>
      <c r="I71" s="69">
        <f>IF(I70=4,1,I70+1)</f>
        <v>4</v>
      </c>
      <c r="J71" s="5">
        <f t="shared" si="27"/>
        <v>2019</v>
      </c>
      <c r="K71" s="291" t="str">
        <f t="shared" si="18"/>
        <v>4Q19</v>
      </c>
      <c r="L71" s="782">
        <v>19.7102</v>
      </c>
      <c r="M71" s="715">
        <v>24.122900000000001</v>
      </c>
      <c r="N71" s="715">
        <v>26.3719</v>
      </c>
      <c r="O71" s="715">
        <v>26.3719</v>
      </c>
      <c r="P71" s="715">
        <v>26.3719</v>
      </c>
      <c r="Q71" s="783">
        <v>26.3719</v>
      </c>
      <c r="R71" s="782">
        <v>15.954499999999999</v>
      </c>
      <c r="S71" s="715">
        <v>18.897400000000001</v>
      </c>
      <c r="T71" s="715">
        <v>25.556899999999999</v>
      </c>
      <c r="U71" s="715">
        <v>25.556899999999999</v>
      </c>
      <c r="V71" s="715">
        <v>25.556899999999999</v>
      </c>
      <c r="W71" s="783">
        <v>25.556899999999999</v>
      </c>
      <c r="X71" s="782">
        <v>10.916600000000001</v>
      </c>
      <c r="Y71" s="715">
        <v>13.7194</v>
      </c>
      <c r="Z71" s="715">
        <v>14.793200000000001</v>
      </c>
      <c r="AA71" s="715">
        <v>14.793200000000001</v>
      </c>
      <c r="AB71" s="715">
        <v>14.793200000000001</v>
      </c>
      <c r="AC71" s="783">
        <v>14.793200000000001</v>
      </c>
      <c r="AD71" s="715">
        <v>10.854200000000001</v>
      </c>
      <c r="AE71" s="715">
        <v>12.8467</v>
      </c>
      <c r="AF71" s="715">
        <v>14.793200000000001</v>
      </c>
      <c r="AG71" s="715">
        <v>14.793200000000001</v>
      </c>
      <c r="AH71" s="715">
        <v>14.793200000000001</v>
      </c>
      <c r="AI71" s="783">
        <v>14.793200000000001</v>
      </c>
      <c r="AJ71" s="12"/>
      <c r="AK71" s="291" t="str">
        <f t="shared" si="19"/>
        <v>4Q19</v>
      </c>
      <c r="AL71" s="782">
        <f t="shared" si="20"/>
        <v>19.7102</v>
      </c>
      <c r="AM71" s="715">
        <v>24.598213221955302</v>
      </c>
      <c r="AN71" s="715">
        <v>21.862621869104199</v>
      </c>
      <c r="AO71" s="715">
        <v>24.9480221869395</v>
      </c>
      <c r="AP71" s="715">
        <v>21.303664921466002</v>
      </c>
      <c r="AQ71" s="783">
        <v>22.038037730043701</v>
      </c>
      <c r="AR71" s="782">
        <f t="shared" si="21"/>
        <v>15.954499999999999</v>
      </c>
      <c r="AS71" s="715">
        <v>24.500152625152602</v>
      </c>
      <c r="AT71" s="715">
        <v>23.289573531643601</v>
      </c>
      <c r="AU71" s="715">
        <v>24.616695059625201</v>
      </c>
      <c r="AV71" s="715">
        <v>20.707379134859998</v>
      </c>
      <c r="AW71" s="783">
        <v>13.419203747072601</v>
      </c>
      <c r="AX71" s="782">
        <f t="shared" si="22"/>
        <v>10.916600000000001</v>
      </c>
      <c r="AY71" s="715">
        <v>13.040938255454099</v>
      </c>
      <c r="AZ71" s="715">
        <v>15.552757560763199</v>
      </c>
      <c r="BA71" s="715">
        <v>11.8107075820958</v>
      </c>
      <c r="BB71" s="715">
        <v>13.201985791394099</v>
      </c>
      <c r="BC71" s="783">
        <v>9.3627293419853004</v>
      </c>
      <c r="BD71" s="782">
        <f t="shared" si="31"/>
        <v>10.854200000000001</v>
      </c>
      <c r="BE71" s="715">
        <v>14.363320845507699</v>
      </c>
      <c r="BF71" s="715">
        <v>13.597737754988501</v>
      </c>
      <c r="BG71" s="715">
        <v>13.6092786505394</v>
      </c>
      <c r="BH71" s="715">
        <v>12.6617017462373</v>
      </c>
      <c r="BI71" s="783">
        <v>8.0837870522272794</v>
      </c>
      <c r="BJ71" s="12"/>
      <c r="BK71" s="291" t="str">
        <f t="shared" si="23"/>
        <v>4Q19</v>
      </c>
      <c r="BL71" s="782">
        <f t="shared" si="24"/>
        <v>19.7102</v>
      </c>
      <c r="BM71" s="715">
        <v>22.941199164636402</v>
      </c>
      <c r="BN71" s="715">
        <v>25.1826307908707</v>
      </c>
      <c r="BO71" s="715">
        <v>742.46799442280303</v>
      </c>
      <c r="BP71" s="715">
        <v>51.539734556059202</v>
      </c>
      <c r="BQ71" s="783">
        <v>18.773529455913501</v>
      </c>
      <c r="BR71" s="782">
        <f t="shared" si="25"/>
        <v>15.954499999999999</v>
      </c>
      <c r="BS71" s="715">
        <v>24.4120836560806</v>
      </c>
      <c r="BT71" s="715">
        <v>19.315068493150701</v>
      </c>
      <c r="BU71" s="715">
        <v>15.750081624413101</v>
      </c>
      <c r="BV71" s="715">
        <v>20.6897066816639</v>
      </c>
      <c r="BW71" s="783">
        <v>19.252942952007199</v>
      </c>
      <c r="BX71" s="782">
        <f t="shared" si="26"/>
        <v>10.916600000000001</v>
      </c>
      <c r="BY71" s="715">
        <v>12.8627005385798</v>
      </c>
      <c r="BZ71" s="715">
        <v>8.3525767950180292</v>
      </c>
      <c r="CA71" s="715">
        <v>24.2403751473379</v>
      </c>
      <c r="CB71" s="715">
        <v>16.729522716731399</v>
      </c>
      <c r="CC71" s="783">
        <v>11.7565902366369</v>
      </c>
      <c r="CD71" s="782">
        <f t="shared" si="32"/>
        <v>10.854200000000001</v>
      </c>
      <c r="CE71" s="715">
        <v>10.591679578122401</v>
      </c>
      <c r="CF71" s="715">
        <v>10.7911630214727</v>
      </c>
      <c r="CG71" s="715">
        <v>13.760511897776</v>
      </c>
      <c r="CH71" s="715">
        <v>13.3151035628192</v>
      </c>
      <c r="CI71" s="783">
        <v>11.118698209023799</v>
      </c>
    </row>
    <row r="72" spans="1:87" ht="14.25" customHeight="1">
      <c r="A72" s="211" t="s">
        <v>1</v>
      </c>
      <c r="B72" s="12"/>
      <c r="C72" s="773" t="str">
        <f>Comparables!S90</f>
        <v>Cap. Goods Peer Group</v>
      </c>
      <c r="D72" s="81"/>
      <c r="E72" s="81"/>
      <c r="F72" s="81"/>
      <c r="G72" s="81"/>
      <c r="H72" s="82"/>
      <c r="I72" s="69">
        <f>I68</f>
        <v>1</v>
      </c>
      <c r="J72" s="5">
        <f t="shared" si="27"/>
        <v>2020</v>
      </c>
      <c r="K72" s="291" t="str">
        <f t="shared" si="18"/>
        <v>1Q20</v>
      </c>
      <c r="L72" s="782">
        <v>20.733699999999999</v>
      </c>
      <c r="M72" s="715">
        <v>25.0166</v>
      </c>
      <c r="N72" s="715">
        <v>24.122900000000001</v>
      </c>
      <c r="O72" s="715">
        <v>24.122900000000001</v>
      </c>
      <c r="P72" s="715">
        <v>24.122900000000001</v>
      </c>
      <c r="Q72" s="783">
        <v>24.122900000000001</v>
      </c>
      <c r="R72" s="782">
        <v>17.539000000000001</v>
      </c>
      <c r="S72" s="715">
        <v>20.667400000000001</v>
      </c>
      <c r="T72" s="715">
        <v>18.897400000000001</v>
      </c>
      <c r="U72" s="715">
        <v>18.897400000000001</v>
      </c>
      <c r="V72" s="715">
        <v>18.897400000000001</v>
      </c>
      <c r="W72" s="783">
        <v>18.897400000000001</v>
      </c>
      <c r="X72" s="782">
        <v>11.466200000000001</v>
      </c>
      <c r="Y72" s="715">
        <v>14.7155</v>
      </c>
      <c r="Z72" s="715">
        <v>13.7194</v>
      </c>
      <c r="AA72" s="715">
        <v>13.7194</v>
      </c>
      <c r="AB72" s="715">
        <v>13.7194</v>
      </c>
      <c r="AC72" s="783">
        <v>13.7194</v>
      </c>
      <c r="AD72" s="715">
        <v>11.338100000000001</v>
      </c>
      <c r="AE72" s="715">
        <v>13.9605</v>
      </c>
      <c r="AF72" s="715">
        <v>13.7194</v>
      </c>
      <c r="AG72" s="715">
        <v>13.7194</v>
      </c>
      <c r="AH72" s="715">
        <v>13.7194</v>
      </c>
      <c r="AI72" s="783">
        <v>13.7194</v>
      </c>
      <c r="AJ72" s="12"/>
      <c r="AK72" s="291" t="str">
        <f t="shared" si="19"/>
        <v>1Q20</v>
      </c>
      <c r="AL72" s="782">
        <f t="shared" si="20"/>
        <v>20.733699999999999</v>
      </c>
      <c r="AM72" s="715">
        <v>24.150938326094799</v>
      </c>
      <c r="AN72" s="715">
        <v>22.022785811754598</v>
      </c>
      <c r="AO72" s="715">
        <v>26.978663454861501</v>
      </c>
      <c r="AP72" s="715">
        <v>22.726337448559701</v>
      </c>
      <c r="AQ72" s="783">
        <v>22.361108440222299</v>
      </c>
      <c r="AR72" s="782">
        <f t="shared" si="21"/>
        <v>17.539000000000001</v>
      </c>
      <c r="AS72" s="715">
        <v>21.676074406670899</v>
      </c>
      <c r="AT72" s="715">
        <v>22.413970210580398</v>
      </c>
      <c r="AU72" s="715">
        <v>22.254073004743201</v>
      </c>
      <c r="AV72" s="715">
        <v>19.7144132083891</v>
      </c>
      <c r="AW72" s="783">
        <v>13.365517241379299</v>
      </c>
      <c r="AX72" s="782">
        <f t="shared" si="22"/>
        <v>11.466200000000001</v>
      </c>
      <c r="AY72" s="715">
        <v>13.140693534794099</v>
      </c>
      <c r="AZ72" s="715">
        <v>17.753029920302801</v>
      </c>
      <c r="BA72" s="715">
        <v>13.334774527567101</v>
      </c>
      <c r="BB72" s="715">
        <v>14.6630133422256</v>
      </c>
      <c r="BC72" s="783">
        <v>9.5006017082676504</v>
      </c>
      <c r="BD72" s="782">
        <f t="shared" si="31"/>
        <v>11.338100000000001</v>
      </c>
      <c r="BE72" s="715">
        <v>13.4225475232659</v>
      </c>
      <c r="BF72" s="715">
        <v>15.691728942063</v>
      </c>
      <c r="BG72" s="715">
        <v>13.1858626537768</v>
      </c>
      <c r="BH72" s="715">
        <v>14.2275973172747</v>
      </c>
      <c r="BI72" s="783">
        <v>8.7443957905330993</v>
      </c>
      <c r="BJ72" s="12"/>
      <c r="BK72" s="291" t="str">
        <f t="shared" si="23"/>
        <v>1Q20</v>
      </c>
      <c r="BL72" s="782">
        <f t="shared" si="24"/>
        <v>20.733699999999999</v>
      </c>
      <c r="BM72" s="715">
        <v>17.5267411238021</v>
      </c>
      <c r="BN72" s="715">
        <v>22.261822364933099</v>
      </c>
      <c r="BO72" s="715">
        <v>649.50721162907303</v>
      </c>
      <c r="BP72" s="715">
        <v>42.8914940993145</v>
      </c>
      <c r="BQ72" s="783">
        <v>17.734212611249301</v>
      </c>
      <c r="BR72" s="782">
        <f t="shared" si="25"/>
        <v>17.539000000000001</v>
      </c>
      <c r="BS72" s="715">
        <v>16.112386574833302</v>
      </c>
      <c r="BT72" s="715">
        <v>16.481324278437999</v>
      </c>
      <c r="BU72" s="715">
        <v>13.6540241011591</v>
      </c>
      <c r="BV72" s="715">
        <v>17.353743580307398</v>
      </c>
      <c r="BW72" s="783">
        <v>17.773696849837499</v>
      </c>
      <c r="BX72" s="782">
        <f t="shared" si="26"/>
        <v>11.466200000000001</v>
      </c>
      <c r="BY72" s="715">
        <v>9.8614526646038101</v>
      </c>
      <c r="BZ72" s="715">
        <v>8.9144088443626295</v>
      </c>
      <c r="CA72" s="715"/>
      <c r="CB72" s="715">
        <v>15.2716598940273</v>
      </c>
      <c r="CC72" s="783">
        <v>11.9371984794053</v>
      </c>
      <c r="CD72" s="782">
        <f t="shared" si="32"/>
        <v>11.338100000000001</v>
      </c>
      <c r="CE72" s="715">
        <v>9.0120718721198898</v>
      </c>
      <c r="CF72" s="715">
        <v>10.990644209248201</v>
      </c>
      <c r="CG72" s="715">
        <v>11.741001553121899</v>
      </c>
      <c r="CH72" s="715">
        <v>12.427811782767201</v>
      </c>
      <c r="CI72" s="783">
        <v>11.240920086014601</v>
      </c>
    </row>
    <row r="73" spans="1:87" ht="14.25" customHeight="1">
      <c r="A73" s="12"/>
      <c r="B73" s="12"/>
      <c r="C73" s="781" t="s">
        <v>915</v>
      </c>
      <c r="D73" s="781"/>
      <c r="E73" s="781"/>
      <c r="F73" s="781"/>
      <c r="G73" s="781"/>
      <c r="H73" s="781"/>
      <c r="I73" s="69">
        <f>IF(I72=4,1,I72+1)</f>
        <v>2</v>
      </c>
      <c r="J73" s="5">
        <f t="shared" si="27"/>
        <v>2020</v>
      </c>
      <c r="K73" s="291" t="str">
        <f t="shared" si="18"/>
        <v>2Q20</v>
      </c>
      <c r="L73" s="782">
        <v>21.440300000000001</v>
      </c>
      <c r="M73" s="715">
        <v>24.090499999999999</v>
      </c>
      <c r="N73" s="715">
        <v>25.0166</v>
      </c>
      <c r="O73" s="715">
        <v>25.0166</v>
      </c>
      <c r="P73" s="715">
        <v>25.0166</v>
      </c>
      <c r="Q73" s="783">
        <v>25.0166</v>
      </c>
      <c r="R73" s="782">
        <v>22.303799999999999</v>
      </c>
      <c r="S73" s="715">
        <v>21.623200000000001</v>
      </c>
      <c r="T73" s="715">
        <v>20.667400000000001</v>
      </c>
      <c r="U73" s="715">
        <v>20.667400000000001</v>
      </c>
      <c r="V73" s="715">
        <v>20.667400000000001</v>
      </c>
      <c r="W73" s="783">
        <v>20.667400000000001</v>
      </c>
      <c r="X73" s="782">
        <v>13.5961</v>
      </c>
      <c r="Y73" s="715">
        <v>15.0067</v>
      </c>
      <c r="Z73" s="715">
        <v>14.7155</v>
      </c>
      <c r="AA73" s="715">
        <v>14.7155</v>
      </c>
      <c r="AB73" s="715">
        <v>14.7155</v>
      </c>
      <c r="AC73" s="783">
        <v>14.7155</v>
      </c>
      <c r="AD73" s="715">
        <v>13.8093</v>
      </c>
      <c r="AE73" s="715">
        <v>14.552300000000001</v>
      </c>
      <c r="AF73" s="715">
        <v>14.7155</v>
      </c>
      <c r="AG73" s="715">
        <v>14.7155</v>
      </c>
      <c r="AH73" s="715">
        <v>14.7155</v>
      </c>
      <c r="AI73" s="783">
        <v>14.7155</v>
      </c>
      <c r="AJ73" s="12"/>
      <c r="AK73" s="291" t="str">
        <f t="shared" si="19"/>
        <v>2Q20</v>
      </c>
      <c r="AL73" s="782">
        <f t="shared" si="20"/>
        <v>21.440300000000001</v>
      </c>
      <c r="AM73" s="715">
        <v>19.659771428122699</v>
      </c>
      <c r="AN73" s="715">
        <v>17.897159906266999</v>
      </c>
      <c r="AO73" s="715">
        <v>22.5695103649992</v>
      </c>
      <c r="AP73" s="715">
        <v>18.503614364069701</v>
      </c>
      <c r="AQ73" s="783">
        <v>28.2439248051353</v>
      </c>
      <c r="AR73" s="782">
        <f t="shared" si="21"/>
        <v>22.303799999999999</v>
      </c>
      <c r="AS73" s="715">
        <v>18.406853582554501</v>
      </c>
      <c r="AT73" s="715">
        <v>18.7006199100523</v>
      </c>
      <c r="AU73" s="715">
        <v>19.4875416120246</v>
      </c>
      <c r="AV73" s="715">
        <v>16.7891560839413</v>
      </c>
      <c r="AW73" s="783">
        <v>14.9032258064516</v>
      </c>
      <c r="AX73" s="782">
        <f t="shared" si="22"/>
        <v>13.5961</v>
      </c>
      <c r="AY73" s="715">
        <v>11.7060983861026</v>
      </c>
      <c r="AZ73" s="715">
        <v>18.210129401083101</v>
      </c>
      <c r="BA73" s="715">
        <v>11.756786004056799</v>
      </c>
      <c r="BB73" s="715">
        <v>14.219845002532001</v>
      </c>
      <c r="BC73" s="783">
        <v>11.6540606664239</v>
      </c>
      <c r="BD73" s="782">
        <f t="shared" si="31"/>
        <v>13.8093</v>
      </c>
      <c r="BE73" s="715">
        <v>11.8571842051646</v>
      </c>
      <c r="BF73" s="715">
        <v>15.8835936734414</v>
      </c>
      <c r="BG73" s="715">
        <v>11.272551051406699</v>
      </c>
      <c r="BH73" s="715">
        <v>13.1408227441087</v>
      </c>
      <c r="BI73" s="783">
        <v>10.252465604512</v>
      </c>
      <c r="BJ73" s="12"/>
      <c r="BK73" s="291" t="str">
        <f t="shared" si="23"/>
        <v>2Q20</v>
      </c>
      <c r="BL73" s="782">
        <f t="shared" si="24"/>
        <v>21.440300000000001</v>
      </c>
      <c r="BM73" s="715">
        <v>13.7596348884381</v>
      </c>
      <c r="BN73" s="715">
        <v>17.5804740540875</v>
      </c>
      <c r="BO73" s="715">
        <v>666.37127127819599</v>
      </c>
      <c r="BP73" s="715">
        <v>37.906538616739098</v>
      </c>
      <c r="BQ73" s="783">
        <v>17.318721686355602</v>
      </c>
      <c r="BR73" s="782">
        <f t="shared" si="25"/>
        <v>22.303799999999999</v>
      </c>
      <c r="BS73" s="715">
        <v>12.5249261447563</v>
      </c>
      <c r="BT73" s="715">
        <v>14.533735315521399</v>
      </c>
      <c r="BU73" s="715">
        <v>13.977170463675201</v>
      </c>
      <c r="BV73" s="715">
        <v>17.160752720790999</v>
      </c>
      <c r="BW73" s="783">
        <v>17.516110955449701</v>
      </c>
      <c r="BX73" s="782">
        <f t="shared" si="26"/>
        <v>13.5961</v>
      </c>
      <c r="BY73" s="715">
        <v>8.1510109918097093</v>
      </c>
      <c r="BZ73" s="715">
        <v>7.5611859674321797</v>
      </c>
      <c r="CA73" s="715"/>
      <c r="CB73" s="715">
        <v>14.727524945524401</v>
      </c>
      <c r="CC73" s="783">
        <v>10.944667815762701</v>
      </c>
      <c r="CD73" s="782">
        <f t="shared" si="32"/>
        <v>13.8093</v>
      </c>
      <c r="CE73" s="715">
        <v>7.5157935811650098</v>
      </c>
      <c r="CF73" s="715">
        <v>10.075354706715499</v>
      </c>
      <c r="CG73" s="715">
        <v>11.693477565016501</v>
      </c>
      <c r="CH73" s="715">
        <v>12.3198580391385</v>
      </c>
      <c r="CI73" s="783">
        <v>10.8240208659149</v>
      </c>
    </row>
    <row r="74" spans="1:87" ht="14.25" customHeight="1">
      <c r="A74" s="12"/>
      <c r="B74" s="12"/>
      <c r="C74" s="69"/>
      <c r="D74" s="12"/>
      <c r="E74" s="69" t="s">
        <v>910</v>
      </c>
      <c r="F74" s="69" t="s">
        <v>911</v>
      </c>
      <c r="G74" s="69" t="s">
        <v>912</v>
      </c>
      <c r="H74" s="69" t="s">
        <v>913</v>
      </c>
      <c r="I74" s="69">
        <f>IF(I73+1=5,1,I73+1)</f>
        <v>3</v>
      </c>
      <c r="J74" s="5">
        <f t="shared" si="27"/>
        <v>2020</v>
      </c>
      <c r="K74" s="291" t="str">
        <f t="shared" si="18"/>
        <v>3Q20</v>
      </c>
      <c r="L74" s="782">
        <v>16.860600000000002</v>
      </c>
      <c r="M74" s="715">
        <v>18.537400000000002</v>
      </c>
      <c r="N74" s="715">
        <v>24.090499999999999</v>
      </c>
      <c r="O74" s="715">
        <v>24.090499999999999</v>
      </c>
      <c r="P74" s="715">
        <v>24.090499999999999</v>
      </c>
      <c r="Q74" s="783">
        <v>24.090499999999999</v>
      </c>
      <c r="R74" s="782">
        <v>17.927</v>
      </c>
      <c r="S74" s="715">
        <v>17.5291</v>
      </c>
      <c r="T74" s="715">
        <v>21.623200000000001</v>
      </c>
      <c r="U74" s="715">
        <v>21.623200000000001</v>
      </c>
      <c r="V74" s="715">
        <v>21.623200000000001</v>
      </c>
      <c r="W74" s="783">
        <v>21.623200000000001</v>
      </c>
      <c r="X74" s="782">
        <v>12.067299999999999</v>
      </c>
      <c r="Y74" s="715">
        <v>12.4819</v>
      </c>
      <c r="Z74" s="715">
        <v>15.0067</v>
      </c>
      <c r="AA74" s="715">
        <v>15.0067</v>
      </c>
      <c r="AB74" s="715">
        <v>15.0067</v>
      </c>
      <c r="AC74" s="783">
        <v>15.0067</v>
      </c>
      <c r="AD74" s="715">
        <v>11.552899999999999</v>
      </c>
      <c r="AE74" s="715">
        <v>12.3127</v>
      </c>
      <c r="AF74" s="715">
        <v>15.0067</v>
      </c>
      <c r="AG74" s="715">
        <v>15.0067</v>
      </c>
      <c r="AH74" s="715">
        <v>15.0067</v>
      </c>
      <c r="AI74" s="783">
        <v>15.0067</v>
      </c>
      <c r="AJ74" s="12"/>
      <c r="AK74" s="291" t="str">
        <f t="shared" si="19"/>
        <v>3Q20</v>
      </c>
      <c r="AL74" s="782">
        <f t="shared" si="20"/>
        <v>16.860600000000002</v>
      </c>
      <c r="AM74" s="715">
        <v>20.535244780224598</v>
      </c>
      <c r="AN74" s="715">
        <v>15.8189298015738</v>
      </c>
      <c r="AO74" s="715">
        <v>23.379586812808899</v>
      </c>
      <c r="AP74" s="715">
        <v>19.6012197335797</v>
      </c>
      <c r="AQ74" s="783">
        <v>27.501582934870399</v>
      </c>
      <c r="AR74" s="782">
        <f t="shared" si="21"/>
        <v>17.927</v>
      </c>
      <c r="AS74" s="715">
        <v>20.239864271924201</v>
      </c>
      <c r="AT74" s="715">
        <v>18.7604185139209</v>
      </c>
      <c r="AU74" s="715">
        <v>20.767762033966399</v>
      </c>
      <c r="AV74" s="715">
        <v>18.423326133909299</v>
      </c>
      <c r="AW74" s="783">
        <v>14.680652680652701</v>
      </c>
      <c r="AX74" s="782">
        <f t="shared" si="22"/>
        <v>12.067299999999999</v>
      </c>
      <c r="AY74" s="715">
        <v>13.064953230283599</v>
      </c>
      <c r="AZ74" s="715">
        <v>16.512227422282599</v>
      </c>
      <c r="BA74" s="715">
        <v>12.523413146292601</v>
      </c>
      <c r="BB74" s="715">
        <v>14.6980062164592</v>
      </c>
      <c r="BC74" s="783">
        <v>11.3790542079959</v>
      </c>
      <c r="BD74" s="782">
        <f t="shared" si="31"/>
        <v>11.552899999999999</v>
      </c>
      <c r="BE74" s="715">
        <v>13.2572136445254</v>
      </c>
      <c r="BF74" s="715">
        <v>16.3477708057932</v>
      </c>
      <c r="BG74" s="715">
        <v>12.122566750727399</v>
      </c>
      <c r="BH74" s="715">
        <v>13.9077997746548</v>
      </c>
      <c r="BI74" s="783">
        <v>10.072731572447299</v>
      </c>
      <c r="BJ74" s="12"/>
      <c r="BK74" s="291" t="str">
        <f t="shared" si="23"/>
        <v>3Q20</v>
      </c>
      <c r="BL74" s="782">
        <f t="shared" si="24"/>
        <v>16.860600000000002</v>
      </c>
      <c r="BM74" s="715">
        <v>13.9515096065874</v>
      </c>
      <c r="BN74" s="715">
        <v>17.179660415722001</v>
      </c>
      <c r="BO74" s="715"/>
      <c r="BP74" s="715">
        <v>39.415229490272601</v>
      </c>
      <c r="BQ74" s="783">
        <v>18.420867479112001</v>
      </c>
      <c r="BR74" s="782">
        <f t="shared" si="25"/>
        <v>17.927</v>
      </c>
      <c r="BS74" s="715">
        <v>13.143423547664201</v>
      </c>
      <c r="BT74" s="715">
        <v>15.7926252757643</v>
      </c>
      <c r="BU74" s="715">
        <v>11.5207306857749</v>
      </c>
      <c r="BV74" s="715">
        <v>19.577294570659198</v>
      </c>
      <c r="BW74" s="783">
        <v>19.348187102131199</v>
      </c>
      <c r="BX74" s="782">
        <f t="shared" si="26"/>
        <v>12.067299999999999</v>
      </c>
      <c r="BY74" s="715">
        <v>8.6475229941545404</v>
      </c>
      <c r="BZ74" s="715">
        <v>7.5663032963924399</v>
      </c>
      <c r="CA74" s="715"/>
      <c r="CB74" s="715">
        <v>16.398589972675801</v>
      </c>
      <c r="CC74" s="783">
        <v>13.0317764934829</v>
      </c>
      <c r="CD74" s="782">
        <f t="shared" si="32"/>
        <v>11.552899999999999</v>
      </c>
      <c r="CE74" s="715">
        <v>8.0574066310076304</v>
      </c>
      <c r="CF74" s="715">
        <v>11.455186403480299</v>
      </c>
      <c r="CG74" s="715">
        <v>12.1940402897499</v>
      </c>
      <c r="CH74" s="715">
        <v>14.1615035463187</v>
      </c>
      <c r="CI74" s="783">
        <v>12.6911814506045</v>
      </c>
    </row>
    <row r="75" spans="1:87" ht="14.25" customHeight="1">
      <c r="A75" s="12"/>
      <c r="B75" s="12"/>
      <c r="C75" s="12" t="s">
        <v>884</v>
      </c>
      <c r="D75" s="12"/>
      <c r="E75" s="662">
        <f>AVERAGE(BM81:BQ86)</f>
        <v>15.683339457774522</v>
      </c>
      <c r="F75" s="662">
        <f>AVERAGE(BS81:BW86)</f>
        <v>16.168745623234717</v>
      </c>
      <c r="G75" s="662">
        <f>AVERAGE(BY81:CC86)</f>
        <v>10.768373282856134</v>
      </c>
      <c r="H75" s="662">
        <f>AVERAGE(CE81:CI86)</f>
        <v>11.620890184734101</v>
      </c>
      <c r="I75" s="69">
        <f>IF(I74=4,1,I74+1)</f>
        <v>4</v>
      </c>
      <c r="J75" s="5">
        <f t="shared" si="27"/>
        <v>2020</v>
      </c>
      <c r="K75" s="291" t="str">
        <f t="shared" si="18"/>
        <v>4Q20</v>
      </c>
      <c r="L75" s="782">
        <v>19.057200000000002</v>
      </c>
      <c r="M75" s="715">
        <v>19.3749</v>
      </c>
      <c r="N75" s="715">
        <v>18.537400000000002</v>
      </c>
      <c r="O75" s="715">
        <v>18.537400000000002</v>
      </c>
      <c r="P75" s="715">
        <v>18.537400000000002</v>
      </c>
      <c r="Q75" s="783">
        <v>18.537400000000002</v>
      </c>
      <c r="R75" s="782">
        <v>18.055399999999999</v>
      </c>
      <c r="S75" s="715">
        <v>18.9633</v>
      </c>
      <c r="T75" s="715">
        <v>17.5291</v>
      </c>
      <c r="U75" s="715">
        <v>17.5291</v>
      </c>
      <c r="V75" s="715">
        <v>17.5291</v>
      </c>
      <c r="W75" s="783">
        <v>17.5291</v>
      </c>
      <c r="X75" s="782">
        <v>18.3811</v>
      </c>
      <c r="Y75" s="715">
        <v>13.530799999999999</v>
      </c>
      <c r="Z75" s="715">
        <v>12.4819</v>
      </c>
      <c r="AA75" s="715">
        <v>12.4819</v>
      </c>
      <c r="AB75" s="715">
        <v>12.4819</v>
      </c>
      <c r="AC75" s="783">
        <v>12.4819</v>
      </c>
      <c r="AD75" s="715">
        <v>12.472</v>
      </c>
      <c r="AE75" s="715">
        <v>13.092599999999999</v>
      </c>
      <c r="AF75" s="715">
        <v>12.4819</v>
      </c>
      <c r="AG75" s="715">
        <v>12.4819</v>
      </c>
      <c r="AH75" s="715">
        <v>12.4819</v>
      </c>
      <c r="AI75" s="783">
        <v>12.4819</v>
      </c>
      <c r="AJ75" s="12"/>
      <c r="AK75" s="291" t="str">
        <f t="shared" si="19"/>
        <v>4Q20</v>
      </c>
      <c r="AL75" s="782">
        <f t="shared" si="20"/>
        <v>19.057200000000002</v>
      </c>
      <c r="AM75" s="715">
        <v>14.4221283831607</v>
      </c>
      <c r="AN75" s="715">
        <v>10.8122994961928</v>
      </c>
      <c r="AO75" s="715">
        <v>15.600711315119099</v>
      </c>
      <c r="AP75" s="715">
        <v>13.773136872442199</v>
      </c>
      <c r="AQ75" s="783">
        <v>14.6417832875778</v>
      </c>
      <c r="AR75" s="782">
        <f t="shared" si="21"/>
        <v>18.055399999999999</v>
      </c>
      <c r="AS75" s="715">
        <v>14.8865768377963</v>
      </c>
      <c r="AT75" s="715">
        <v>12.8079075362167</v>
      </c>
      <c r="AU75" s="715">
        <v>15.177157561361801</v>
      </c>
      <c r="AV75" s="715">
        <v>14.103346191800499</v>
      </c>
      <c r="AW75" s="783">
        <v>10.7540983606557</v>
      </c>
      <c r="AX75" s="782">
        <f t="shared" si="22"/>
        <v>18.3811</v>
      </c>
      <c r="AY75" s="715">
        <v>10.342674767029999</v>
      </c>
      <c r="AZ75" s="715">
        <v>12.114813261602499</v>
      </c>
      <c r="BA75" s="715">
        <v>9.0373840481786107</v>
      </c>
      <c r="BB75" s="715">
        <v>11.113353061982799</v>
      </c>
      <c r="BC75" s="783">
        <v>8.3832981092451995</v>
      </c>
      <c r="BD75" s="782">
        <f t="shared" si="31"/>
        <v>12.472</v>
      </c>
      <c r="BE75" s="715">
        <v>9.7555816796082606</v>
      </c>
      <c r="BF75" s="715">
        <v>11.082343072522599</v>
      </c>
      <c r="BG75" s="715">
        <v>8.6945520377183794</v>
      </c>
      <c r="BH75" s="715">
        <v>10.407686029648</v>
      </c>
      <c r="BI75" s="783">
        <v>6.865640275054</v>
      </c>
      <c r="BJ75" s="12"/>
      <c r="BK75" s="291" t="str">
        <f t="shared" si="23"/>
        <v>4Q20</v>
      </c>
      <c r="BL75" s="782">
        <f t="shared" si="24"/>
        <v>19.057200000000002</v>
      </c>
      <c r="BM75" s="715">
        <v>11.1878312459125</v>
      </c>
      <c r="BN75" s="715">
        <v>15.8605218246713</v>
      </c>
      <c r="BO75" s="715">
        <v>13.074326127188</v>
      </c>
      <c r="BP75" s="715">
        <v>14.3644481864395</v>
      </c>
      <c r="BQ75" s="783">
        <v>13.5962086905669</v>
      </c>
      <c r="BR75" s="782">
        <f t="shared" si="25"/>
        <v>18.055399999999999</v>
      </c>
      <c r="BS75" s="715">
        <v>10.9166666666667</v>
      </c>
      <c r="BT75" s="715">
        <v>13.0018303843807</v>
      </c>
      <c r="BU75" s="715">
        <v>10.365631193732201</v>
      </c>
      <c r="BV75" s="715">
        <v>16.529463280370301</v>
      </c>
      <c r="BW75" s="783">
        <v>14.8943908238915</v>
      </c>
      <c r="BX75" s="782">
        <f t="shared" si="26"/>
        <v>18.3811</v>
      </c>
      <c r="BY75" s="715">
        <v>6.8788190403083496</v>
      </c>
      <c r="BZ75" s="715">
        <v>7.0102347385175099</v>
      </c>
      <c r="CA75" s="715"/>
      <c r="CB75" s="715">
        <v>13.2075042312185</v>
      </c>
      <c r="CC75" s="783">
        <v>12.1601264994065</v>
      </c>
      <c r="CD75" s="782">
        <f t="shared" si="32"/>
        <v>12.472</v>
      </c>
      <c r="CE75" s="715">
        <v>6.2097034226505503</v>
      </c>
      <c r="CF75" s="715">
        <v>8.9033540715749595</v>
      </c>
      <c r="CG75" s="715">
        <v>8.6851186752440697</v>
      </c>
      <c r="CH75" s="715">
        <v>11.793632965070399</v>
      </c>
      <c r="CI75" s="783">
        <v>9.8597315777774401</v>
      </c>
    </row>
    <row r="76" spans="1:87" ht="14.25" customHeight="1">
      <c r="A76" s="211"/>
      <c r="B76" s="12"/>
      <c r="C76" s="12" t="s">
        <v>886</v>
      </c>
      <c r="D76" s="12"/>
      <c r="E76" s="662">
        <f>AVERAGE(BM77:BQ86)</f>
        <v>15.757842039857469</v>
      </c>
      <c r="F76" s="662">
        <f>AVERAGE(BS77:BW86)</f>
        <v>16.211283525086312</v>
      </c>
      <c r="G76" s="662">
        <f>AVERAGE(BY77:CC86)</f>
        <v>10.797620950823877</v>
      </c>
      <c r="H76" s="662">
        <f>AVERAGE(CE77:CI86)</f>
        <v>11.601419698040905</v>
      </c>
      <c r="I76" s="69">
        <f>I72</f>
        <v>1</v>
      </c>
      <c r="J76" s="5">
        <f t="shared" si="27"/>
        <v>2021</v>
      </c>
      <c r="K76" s="291" t="str">
        <f t="shared" si="18"/>
        <v>1Q21</v>
      </c>
      <c r="L76" s="782">
        <v>17.4925</v>
      </c>
      <c r="M76" s="715">
        <v>20.603200000000001</v>
      </c>
      <c r="N76" s="715">
        <v>19.3749</v>
      </c>
      <c r="O76" s="715">
        <v>19.3749</v>
      </c>
      <c r="P76" s="715">
        <v>19.3749</v>
      </c>
      <c r="Q76" s="783">
        <v>19.3749</v>
      </c>
      <c r="R76" s="782">
        <v>18.084199999999999</v>
      </c>
      <c r="S76" s="715">
        <v>20.542300000000001</v>
      </c>
      <c r="T76" s="715">
        <v>18.9633</v>
      </c>
      <c r="U76" s="715">
        <v>18.9633</v>
      </c>
      <c r="V76" s="715">
        <v>18.9633</v>
      </c>
      <c r="W76" s="783">
        <v>18.9633</v>
      </c>
      <c r="X76" s="782">
        <v>15.8529</v>
      </c>
      <c r="Y76" s="715">
        <v>13.9343</v>
      </c>
      <c r="Z76" s="715">
        <v>13.530799999999999</v>
      </c>
      <c r="AA76" s="715">
        <v>13.530799999999999</v>
      </c>
      <c r="AB76" s="715">
        <v>13.530799999999999</v>
      </c>
      <c r="AC76" s="783">
        <v>13.530799999999999</v>
      </c>
      <c r="AD76" s="715">
        <v>11.9975</v>
      </c>
      <c r="AE76" s="715">
        <v>14.1533</v>
      </c>
      <c r="AF76" s="715">
        <v>13.530799999999999</v>
      </c>
      <c r="AG76" s="715">
        <v>13.530799999999999</v>
      </c>
      <c r="AH76" s="715">
        <v>13.530799999999999</v>
      </c>
      <c r="AI76" s="783">
        <v>13.530799999999999</v>
      </c>
      <c r="AJ76" s="12"/>
      <c r="AK76" s="291" t="str">
        <f t="shared" si="19"/>
        <v>1Q21</v>
      </c>
      <c r="AL76" s="782">
        <f t="shared" si="20"/>
        <v>17.4925</v>
      </c>
      <c r="AM76" s="715">
        <v>15.014176832348801</v>
      </c>
      <c r="AN76" s="715">
        <v>11.762100009524</v>
      </c>
      <c r="AO76" s="715">
        <v>17.508231022493</v>
      </c>
      <c r="AP76" s="715">
        <v>14.9484539723962</v>
      </c>
      <c r="AQ76" s="783">
        <v>15.3815249519327</v>
      </c>
      <c r="AR76" s="782">
        <f t="shared" si="21"/>
        <v>18.084199999999999</v>
      </c>
      <c r="AS76" s="715">
        <v>15.4657873042045</v>
      </c>
      <c r="AT76" s="715">
        <v>14.209666367996601</v>
      </c>
      <c r="AU76" s="715">
        <v>15.693845888639901</v>
      </c>
      <c r="AV76" s="715">
        <v>14.443686006825899</v>
      </c>
      <c r="AW76" s="783">
        <v>10.8648648648649</v>
      </c>
      <c r="AX76" s="782">
        <f t="shared" si="22"/>
        <v>15.8529</v>
      </c>
      <c r="AY76" s="715">
        <v>10.6573226693313</v>
      </c>
      <c r="AZ76" s="715">
        <v>11.9267964065934</v>
      </c>
      <c r="BA76" s="715">
        <v>10.5195834978257</v>
      </c>
      <c r="BB76" s="715">
        <v>11.128020294465101</v>
      </c>
      <c r="BC76" s="783">
        <v>8.7923965197611906</v>
      </c>
      <c r="BD76" s="782">
        <f t="shared" si="31"/>
        <v>11.9975</v>
      </c>
      <c r="BE76" s="715">
        <v>10.7614328987076</v>
      </c>
      <c r="BF76" s="715">
        <v>12.3090957616733</v>
      </c>
      <c r="BG76" s="715">
        <v>10.549168640280101</v>
      </c>
      <c r="BH76" s="715">
        <v>11.755398185119301</v>
      </c>
      <c r="BI76" s="783">
        <v>7.1011861923879298</v>
      </c>
      <c r="BJ76" s="12"/>
      <c r="BK76" s="291" t="str">
        <f t="shared" si="23"/>
        <v>1Q21</v>
      </c>
      <c r="BL76" s="782">
        <f t="shared" si="24"/>
        <v>17.4925</v>
      </c>
      <c r="BM76" s="715">
        <v>11.734944254467701</v>
      </c>
      <c r="BN76" s="715">
        <v>16.687423284989801</v>
      </c>
      <c r="BO76" s="715">
        <v>16.284706883426601</v>
      </c>
      <c r="BP76" s="715">
        <v>17.633680373897899</v>
      </c>
      <c r="BQ76" s="783">
        <v>16.522907924111799</v>
      </c>
      <c r="BR76" s="782">
        <f t="shared" si="25"/>
        <v>18.084199999999999</v>
      </c>
      <c r="BS76" s="715">
        <v>11.0082872928177</v>
      </c>
      <c r="BT76" s="715">
        <v>14.284182305630001</v>
      </c>
      <c r="BU76" s="715">
        <v>18.097826086956498</v>
      </c>
      <c r="BV76" s="715">
        <v>19.927272727272701</v>
      </c>
      <c r="BW76" s="783">
        <v>16.362828488003</v>
      </c>
      <c r="BX76" s="782">
        <f t="shared" si="26"/>
        <v>15.8529</v>
      </c>
      <c r="BY76" s="715">
        <v>6.9750558793405997</v>
      </c>
      <c r="BZ76" s="715">
        <v>7.3011178257355196</v>
      </c>
      <c r="CA76" s="715"/>
      <c r="CB76" s="715">
        <v>15.4025408311834</v>
      </c>
      <c r="CC76" s="783">
        <v>12.8108272529198</v>
      </c>
      <c r="CD76" s="782">
        <f t="shared" si="32"/>
        <v>11.9975</v>
      </c>
      <c r="CE76" s="715">
        <v>6.3968599404937896</v>
      </c>
      <c r="CF76" s="715">
        <v>10.4551699244796</v>
      </c>
      <c r="CG76" s="715">
        <v>12.507422464210901</v>
      </c>
      <c r="CH76" s="715">
        <v>13.9698695489038</v>
      </c>
      <c r="CI76" s="783">
        <v>11.484140436493</v>
      </c>
    </row>
    <row r="77" spans="1:87" ht="14.25" customHeight="1">
      <c r="A77" s="12"/>
      <c r="B77" s="12"/>
      <c r="C77" s="12" t="s">
        <v>881</v>
      </c>
      <c r="D77" s="12"/>
      <c r="E77" s="662">
        <f>AVERAGE(BM73:BQ86)</f>
        <v>26.530528095386988</v>
      </c>
      <c r="F77" s="662">
        <f>AVERAGE(BS73:BW86)</f>
        <v>15.846016840935276</v>
      </c>
      <c r="G77" s="662">
        <f>AVERAGE(BY73:CC86)</f>
        <v>10.720945442413932</v>
      </c>
      <c r="H77" s="662">
        <f>AVERAGE(CE73:CI86)</f>
        <v>11.2817955771977</v>
      </c>
      <c r="I77" s="69">
        <f>IF(I76=4,1,I76+1)</f>
        <v>2</v>
      </c>
      <c r="J77" s="5">
        <f t="shared" si="27"/>
        <v>2021</v>
      </c>
      <c r="K77" s="291" t="str">
        <f t="shared" si="18"/>
        <v>2Q21</v>
      </c>
      <c r="L77" s="782">
        <v>19.482299999999999</v>
      </c>
      <c r="M77" s="715">
        <v>22.715699999999998</v>
      </c>
      <c r="N77" s="715">
        <v>20.603200000000001</v>
      </c>
      <c r="O77" s="715">
        <v>20.603200000000001</v>
      </c>
      <c r="P77" s="715">
        <v>20.603200000000001</v>
      </c>
      <c r="Q77" s="783">
        <v>20.603200000000001</v>
      </c>
      <c r="R77" s="782">
        <v>19.427600000000002</v>
      </c>
      <c r="S77" s="715">
        <v>22.920100000000001</v>
      </c>
      <c r="T77" s="715">
        <v>20.542300000000001</v>
      </c>
      <c r="U77" s="715">
        <v>20.542300000000001</v>
      </c>
      <c r="V77" s="715">
        <v>20.542300000000001</v>
      </c>
      <c r="W77" s="783">
        <v>20.542300000000001</v>
      </c>
      <c r="X77" s="782">
        <v>16.373699999999999</v>
      </c>
      <c r="Y77" s="715">
        <v>15.254899999999999</v>
      </c>
      <c r="Z77" s="715">
        <v>13.9343</v>
      </c>
      <c r="AA77" s="715">
        <v>13.9343</v>
      </c>
      <c r="AB77" s="715">
        <v>13.9343</v>
      </c>
      <c r="AC77" s="783">
        <v>13.9343</v>
      </c>
      <c r="AD77" s="715">
        <v>12.8453</v>
      </c>
      <c r="AE77" s="715">
        <v>15.6145</v>
      </c>
      <c r="AF77" s="715">
        <v>13.9343</v>
      </c>
      <c r="AG77" s="715">
        <v>13.9343</v>
      </c>
      <c r="AH77" s="715">
        <v>13.9343</v>
      </c>
      <c r="AI77" s="783">
        <v>13.9343</v>
      </c>
      <c r="AJ77" s="12"/>
      <c r="AK77" s="291" t="str">
        <f t="shared" si="19"/>
        <v>2Q21</v>
      </c>
      <c r="AL77" s="782">
        <f t="shared" si="20"/>
        <v>19.482299999999999</v>
      </c>
      <c r="AM77" s="715">
        <v>17.363472686895399</v>
      </c>
      <c r="AN77" s="715">
        <v>13.7604420785299</v>
      </c>
      <c r="AO77" s="715">
        <v>15.996320147194099</v>
      </c>
      <c r="AP77" s="715">
        <v>16.104517271922099</v>
      </c>
      <c r="AQ77" s="783">
        <v>11.919455853020599</v>
      </c>
      <c r="AR77" s="782">
        <f t="shared" si="21"/>
        <v>19.427600000000002</v>
      </c>
      <c r="AS77" s="715">
        <v>17.697400447862901</v>
      </c>
      <c r="AT77" s="715">
        <v>16.781448010803</v>
      </c>
      <c r="AU77" s="715">
        <v>14.9961190168176</v>
      </c>
      <c r="AV77" s="715">
        <v>15.4753596050728</v>
      </c>
      <c r="AW77" s="783">
        <v>11.157657657657699</v>
      </c>
      <c r="AX77" s="782">
        <f t="shared" si="22"/>
        <v>16.373699999999999</v>
      </c>
      <c r="AY77" s="715">
        <v>12.228317582731201</v>
      </c>
      <c r="AZ77" s="715">
        <v>13.107899317428799</v>
      </c>
      <c r="BA77" s="715">
        <v>9.7187249681421797</v>
      </c>
      <c r="BB77" s="715">
        <v>11.921419388362199</v>
      </c>
      <c r="BC77" s="783">
        <v>9.2022807879390491</v>
      </c>
      <c r="BD77" s="782">
        <f t="shared" si="31"/>
        <v>12.8453</v>
      </c>
      <c r="BE77" s="715">
        <v>12.426935441913599</v>
      </c>
      <c r="BF77" s="715">
        <v>13.999081760165801</v>
      </c>
      <c r="BG77" s="715">
        <v>10.1973626177734</v>
      </c>
      <c r="BH77" s="715">
        <v>12.511625560959599</v>
      </c>
      <c r="BI77" s="783">
        <v>8.2885651531940798</v>
      </c>
      <c r="BJ77" s="12"/>
      <c r="BK77" s="291" t="str">
        <f t="shared" si="23"/>
        <v>2Q21</v>
      </c>
      <c r="BL77" s="782">
        <f t="shared" si="24"/>
        <v>19.482299999999999</v>
      </c>
      <c r="BM77" s="715">
        <v>11.792353858178</v>
      </c>
      <c r="BN77" s="715">
        <v>16.642521235007401</v>
      </c>
      <c r="BO77" s="715">
        <v>17.271668541876402</v>
      </c>
      <c r="BP77" s="715">
        <v>19.735925873675601</v>
      </c>
      <c r="BQ77" s="783">
        <v>16.227004577211801</v>
      </c>
      <c r="BR77" s="782">
        <f t="shared" si="25"/>
        <v>19.427600000000002</v>
      </c>
      <c r="BS77" s="715">
        <v>11.049047426023501</v>
      </c>
      <c r="BT77" s="715">
        <v>16.125924484235099</v>
      </c>
      <c r="BU77" s="715">
        <v>18.1034482758621</v>
      </c>
      <c r="BV77" s="715">
        <v>21.538366641993601</v>
      </c>
      <c r="BW77" s="783">
        <v>16.321925535915799</v>
      </c>
      <c r="BX77" s="782">
        <f t="shared" si="26"/>
        <v>16.373699999999999</v>
      </c>
      <c r="BY77" s="715">
        <v>6.96557670431564</v>
      </c>
      <c r="BZ77" s="715">
        <v>7.30308788720167</v>
      </c>
      <c r="CA77" s="715"/>
      <c r="CB77" s="715">
        <v>16.936945454512699</v>
      </c>
      <c r="CC77" s="783">
        <v>12.720418557455099</v>
      </c>
      <c r="CD77" s="782">
        <f t="shared" si="32"/>
        <v>12.8453</v>
      </c>
      <c r="CE77" s="715">
        <v>6.7674809046734801</v>
      </c>
      <c r="CF77" s="715">
        <v>11.657693955115199</v>
      </c>
      <c r="CG77" s="715">
        <v>12.7447865854973</v>
      </c>
      <c r="CH77" s="715">
        <v>15.2325098937223</v>
      </c>
      <c r="CI77" s="783">
        <v>11.569936532439099</v>
      </c>
    </row>
    <row r="78" spans="1:87" ht="14.25" customHeight="1">
      <c r="A78" s="12"/>
      <c r="B78" s="12"/>
      <c r="C78" s="12" t="s">
        <v>887</v>
      </c>
      <c r="D78" s="12"/>
      <c r="E78" s="662">
        <f>AVERAGE(BM65:BQ86)</f>
        <v>37.962569353978218</v>
      </c>
      <c r="F78" s="662">
        <f>AVERAGE(BS65:BW86)</f>
        <v>17.182365546775141</v>
      </c>
      <c r="G78" s="662">
        <f>AVERAGE(BY65:CC86)</f>
        <v>12.017610025365714</v>
      </c>
      <c r="H78" s="662">
        <f>AVERAGE(CE65:CI86)</f>
        <v>11.514027269594164</v>
      </c>
      <c r="I78" s="69">
        <f>IF(I77+1=5,1,I77+1)</f>
        <v>3</v>
      </c>
      <c r="J78" s="5">
        <f t="shared" si="27"/>
        <v>2021</v>
      </c>
      <c r="K78" s="291" t="str">
        <f t="shared" si="18"/>
        <v>3Q21</v>
      </c>
      <c r="L78" s="782">
        <v>20.179300000000001</v>
      </c>
      <c r="M78" s="715">
        <v>21.3385</v>
      </c>
      <c r="N78" s="715">
        <v>22.715699999999998</v>
      </c>
      <c r="O78" s="715">
        <v>22.715699999999998</v>
      </c>
      <c r="P78" s="715">
        <v>22.715699999999998</v>
      </c>
      <c r="Q78" s="783">
        <v>22.715699999999998</v>
      </c>
      <c r="R78" s="715">
        <v>21.025300000000001</v>
      </c>
      <c r="S78" s="715">
        <v>21.583300000000001</v>
      </c>
      <c r="T78" s="715">
        <v>22.920100000000001</v>
      </c>
      <c r="U78" s="715">
        <v>22.920100000000001</v>
      </c>
      <c r="V78" s="715">
        <v>22.920100000000001</v>
      </c>
      <c r="W78" s="783">
        <v>22.920100000000001</v>
      </c>
      <c r="X78" s="715">
        <v>17.255099999999999</v>
      </c>
      <c r="Y78" s="715">
        <v>14.3506</v>
      </c>
      <c r="Z78" s="715">
        <v>15.254899999999999</v>
      </c>
      <c r="AA78" s="715">
        <v>15.254899999999999</v>
      </c>
      <c r="AB78" s="715">
        <v>15.254899999999999</v>
      </c>
      <c r="AC78" s="783">
        <v>15.254899999999999</v>
      </c>
      <c r="AD78" s="715">
        <v>13.9125</v>
      </c>
      <c r="AE78" s="715">
        <v>14.9244</v>
      </c>
      <c r="AF78" s="715">
        <v>15.254899999999999</v>
      </c>
      <c r="AG78" s="715">
        <v>15.254899999999999</v>
      </c>
      <c r="AH78" s="715">
        <v>15.254899999999999</v>
      </c>
      <c r="AI78" s="783">
        <v>15.254899999999999</v>
      </c>
      <c r="AJ78" s="12"/>
      <c r="AK78" s="291" t="str">
        <f t="shared" si="19"/>
        <v>3Q21</v>
      </c>
      <c r="AL78" s="782">
        <f t="shared" si="20"/>
        <v>20.179300000000001</v>
      </c>
      <c r="AM78" s="715">
        <v>18.630126413188201</v>
      </c>
      <c r="AN78" s="715">
        <v>15.9613632713695</v>
      </c>
      <c r="AO78" s="715">
        <v>18.048758049678</v>
      </c>
      <c r="AP78" s="715">
        <v>16.185119574845</v>
      </c>
      <c r="AQ78" s="783">
        <v>13.714351708158601</v>
      </c>
      <c r="AR78" s="782">
        <f t="shared" si="21"/>
        <v>21.025300000000001</v>
      </c>
      <c r="AS78" s="715">
        <v>18.3782510365624</v>
      </c>
      <c r="AT78" s="715">
        <v>19.062611260871801</v>
      </c>
      <c r="AU78" s="715">
        <v>16.939216024866202</v>
      </c>
      <c r="AV78" s="715">
        <v>15.3839030139754</v>
      </c>
      <c r="AW78" s="783">
        <v>12.4183006535948</v>
      </c>
      <c r="AX78" s="782">
        <f t="shared" si="22"/>
        <v>17.255099999999999</v>
      </c>
      <c r="AY78" s="715">
        <v>13.0108331657086</v>
      </c>
      <c r="AZ78" s="715">
        <v>14.7207664372533</v>
      </c>
      <c r="BA78" s="715">
        <v>10.8634721764166</v>
      </c>
      <c r="BB78" s="715">
        <v>11.9670120353024</v>
      </c>
      <c r="BC78" s="783">
        <v>10.344170119618999</v>
      </c>
      <c r="BD78" s="782">
        <f t="shared" si="31"/>
        <v>13.9125</v>
      </c>
      <c r="BE78" s="715">
        <v>12.963830585001499</v>
      </c>
      <c r="BF78" s="715">
        <v>15.8491313030872</v>
      </c>
      <c r="BG78" s="715">
        <v>11.268157797573</v>
      </c>
      <c r="BH78" s="715">
        <v>12.447252760254701</v>
      </c>
      <c r="BI78" s="783">
        <v>9.1310455028163098</v>
      </c>
      <c r="BJ78" s="12"/>
      <c r="BK78" s="291" t="str">
        <f t="shared" si="23"/>
        <v>3Q21</v>
      </c>
      <c r="BL78" s="782">
        <f t="shared" si="24"/>
        <v>20.179300000000001</v>
      </c>
      <c r="BM78" s="715">
        <v>10.928844492086499</v>
      </c>
      <c r="BN78" s="715">
        <v>16.7407934072159</v>
      </c>
      <c r="BO78" s="715">
        <v>14.7055920727976</v>
      </c>
      <c r="BP78" s="715">
        <v>19.126631867953002</v>
      </c>
      <c r="BQ78" s="783">
        <v>17.014674845475799</v>
      </c>
      <c r="BR78" s="782">
        <f t="shared" si="25"/>
        <v>21.025300000000001</v>
      </c>
      <c r="BS78" s="715">
        <v>10.6852212164791</v>
      </c>
      <c r="BT78" s="715">
        <v>16.9204534055572</v>
      </c>
      <c r="BU78" s="715">
        <v>14.9748743718593</v>
      </c>
      <c r="BV78" s="715">
        <v>20.881155127730501</v>
      </c>
      <c r="BW78" s="783">
        <v>17.001245330012502</v>
      </c>
      <c r="BX78" s="782">
        <f t="shared" si="26"/>
        <v>17.255099999999999</v>
      </c>
      <c r="BY78" s="715">
        <v>6.3599718964184504</v>
      </c>
      <c r="BZ78" s="715">
        <v>7.4825752744952396</v>
      </c>
      <c r="CA78" s="715"/>
      <c r="CB78" s="715">
        <v>16.265938004998699</v>
      </c>
      <c r="CC78" s="783">
        <v>13.1653885302904</v>
      </c>
      <c r="CD78" s="782">
        <f t="shared" si="32"/>
        <v>13.9125</v>
      </c>
      <c r="CE78" s="715">
        <v>6.44909324484202</v>
      </c>
      <c r="CF78" s="715">
        <v>12.6021043694989</v>
      </c>
      <c r="CG78" s="715">
        <v>11.8642050200603</v>
      </c>
      <c r="CH78" s="715">
        <v>14.642263970264301</v>
      </c>
      <c r="CI78" s="783">
        <v>11.8026554700342</v>
      </c>
    </row>
    <row r="79" spans="1:87" ht="14.25" customHeight="1">
      <c r="A79" s="12"/>
      <c r="B79" s="12"/>
      <c r="C79" s="781" t="s">
        <v>916</v>
      </c>
      <c r="D79" s="781"/>
      <c r="E79" s="781"/>
      <c r="F79" s="781"/>
      <c r="G79" s="781"/>
      <c r="H79" s="781"/>
      <c r="I79" s="69">
        <f>IF(I78=4,1,I78+1)</f>
        <v>4</v>
      </c>
      <c r="J79" s="5">
        <f t="shared" si="27"/>
        <v>2021</v>
      </c>
      <c r="K79" s="291" t="str">
        <f t="shared" si="18"/>
        <v>4Q21</v>
      </c>
      <c r="L79" s="782">
        <v>14.6386</v>
      </c>
      <c r="M79" s="715">
        <v>18.215599999999998</v>
      </c>
      <c r="N79" s="715">
        <v>21.3385</v>
      </c>
      <c r="O79" s="715">
        <v>21.3385</v>
      </c>
      <c r="P79" s="715">
        <v>21.3385</v>
      </c>
      <c r="Q79" s="783">
        <v>21.3385</v>
      </c>
      <c r="R79" s="715">
        <v>14.0284</v>
      </c>
      <c r="S79" s="715">
        <v>18.723400000000002</v>
      </c>
      <c r="T79" s="715">
        <v>21.583300000000001</v>
      </c>
      <c r="U79" s="715">
        <v>21.583300000000001</v>
      </c>
      <c r="V79" s="715">
        <v>21.583300000000001</v>
      </c>
      <c r="W79" s="783">
        <v>21.583300000000001</v>
      </c>
      <c r="X79" s="715">
        <v>10.694900000000001</v>
      </c>
      <c r="Y79" s="715">
        <v>12.447699999999999</v>
      </c>
      <c r="Z79" s="715">
        <v>14.3506</v>
      </c>
      <c r="AA79" s="715">
        <v>14.3506</v>
      </c>
      <c r="AB79" s="715">
        <v>14.3506</v>
      </c>
      <c r="AC79" s="783">
        <v>14.3506</v>
      </c>
      <c r="AD79" s="715">
        <v>10.1357</v>
      </c>
      <c r="AE79" s="715">
        <v>13.1676</v>
      </c>
      <c r="AF79" s="715">
        <v>14.3506</v>
      </c>
      <c r="AG79" s="715">
        <v>14.3506</v>
      </c>
      <c r="AH79" s="715">
        <v>14.3506</v>
      </c>
      <c r="AI79" s="783">
        <v>14.3506</v>
      </c>
      <c r="AJ79" s="12"/>
      <c r="AK79" s="784" t="str">
        <f t="shared" si="19"/>
        <v>4Q21</v>
      </c>
      <c r="AL79" s="782">
        <f t="shared" si="20"/>
        <v>14.6386</v>
      </c>
      <c r="AM79" s="715">
        <v>18.285283104649</v>
      </c>
      <c r="AN79" s="715">
        <v>15.531229783089</v>
      </c>
      <c r="AO79" s="715">
        <v>18.434223080295499</v>
      </c>
      <c r="AP79" s="715">
        <v>15.7918506010747</v>
      </c>
      <c r="AQ79" s="783">
        <v>13.3630724097093</v>
      </c>
      <c r="AR79" s="782">
        <f t="shared" si="21"/>
        <v>14.0284</v>
      </c>
      <c r="AS79" s="715">
        <v>18.0372200865908</v>
      </c>
      <c r="AT79" s="715">
        <v>18.548904045644001</v>
      </c>
      <c r="AU79" s="715">
        <v>17.3009847075473</v>
      </c>
      <c r="AV79" s="715">
        <v>15.0214839738927</v>
      </c>
      <c r="AW79" s="783">
        <v>12.1266380876433</v>
      </c>
      <c r="AX79" s="782">
        <f t="shared" si="22"/>
        <v>10.694900000000001</v>
      </c>
      <c r="AY79" s="715">
        <v>12.796323855725401</v>
      </c>
      <c r="AZ79" s="715">
        <v>14.3983930880516</v>
      </c>
      <c r="BA79" s="715">
        <v>11.0784790142357</v>
      </c>
      <c r="BB79" s="715">
        <v>11.740186808549501</v>
      </c>
      <c r="BC79" s="783">
        <v>10.121380136389201</v>
      </c>
      <c r="BD79" s="782">
        <f t="shared" si="31"/>
        <v>10.1357</v>
      </c>
      <c r="BE79" s="715">
        <v>12.783834567162399</v>
      </c>
      <c r="BF79" s="715">
        <v>15.506245752162901</v>
      </c>
      <c r="BG79" s="715">
        <v>11.493190886357301</v>
      </c>
      <c r="BH79" s="715">
        <v>12.2156576237082</v>
      </c>
      <c r="BI79" s="783">
        <v>8.9483231492258302</v>
      </c>
      <c r="BJ79" s="12"/>
      <c r="BK79" s="784" t="str">
        <f t="shared" si="23"/>
        <v>4Q21</v>
      </c>
      <c r="BL79" s="782">
        <f t="shared" si="24"/>
        <v>14.6386</v>
      </c>
      <c r="BM79" s="715">
        <v>11.264557763490499</v>
      </c>
      <c r="BN79" s="715">
        <v>16.9769983363012</v>
      </c>
      <c r="BO79" s="715">
        <v>14.639794612769601</v>
      </c>
      <c r="BP79" s="715">
        <v>18.4969909334805</v>
      </c>
      <c r="BQ79" s="783">
        <v>17.038355642830801</v>
      </c>
      <c r="BR79" s="782">
        <f t="shared" si="25"/>
        <v>14.0284</v>
      </c>
      <c r="BS79" s="715">
        <v>11.098891938738801</v>
      </c>
      <c r="BT79" s="715">
        <v>17.1678038497184</v>
      </c>
      <c r="BU79" s="715">
        <v>15.3184158666614</v>
      </c>
      <c r="BV79" s="715">
        <v>20.233709024707899</v>
      </c>
      <c r="BW79" s="783">
        <v>17.0249074363471</v>
      </c>
      <c r="BX79" s="782">
        <f t="shared" si="26"/>
        <v>10.694900000000001</v>
      </c>
      <c r="BY79" s="715">
        <v>6.5521070460169701</v>
      </c>
      <c r="BZ79" s="715">
        <v>7.5805714791436696</v>
      </c>
      <c r="CA79" s="715"/>
      <c r="CB79" s="715">
        <v>15.7600485469973</v>
      </c>
      <c r="CC79" s="783">
        <v>13.180766059266601</v>
      </c>
      <c r="CD79" s="782">
        <f t="shared" si="32"/>
        <v>10.1357</v>
      </c>
      <c r="CE79" s="715">
        <v>6.6876218938895002</v>
      </c>
      <c r="CF79" s="715">
        <v>13.011960831629301</v>
      </c>
      <c r="CG79" s="715">
        <v>12.452113855824701</v>
      </c>
      <c r="CH79" s="715">
        <v>14.1638045774507</v>
      </c>
      <c r="CI79" s="783">
        <v>11.7889497648763</v>
      </c>
    </row>
    <row r="80" spans="1:87" ht="14.25" customHeight="1">
      <c r="A80" s="12"/>
      <c r="B80" s="12"/>
      <c r="C80" s="69"/>
      <c r="D80" s="12"/>
      <c r="E80" s="69" t="s">
        <v>910</v>
      </c>
      <c r="F80" s="69" t="s">
        <v>911</v>
      </c>
      <c r="G80" s="69" t="s">
        <v>912</v>
      </c>
      <c r="H80" s="69" t="s">
        <v>913</v>
      </c>
      <c r="I80" s="69">
        <f>I76</f>
        <v>1</v>
      </c>
      <c r="J80" s="5">
        <f t="shared" si="27"/>
        <v>2022</v>
      </c>
      <c r="K80" s="291" t="str">
        <f t="shared" si="18"/>
        <v>1Q22</v>
      </c>
      <c r="L80" s="782">
        <v>20.962299999999999</v>
      </c>
      <c r="M80" s="715">
        <v>24.901599999999998</v>
      </c>
      <c r="N80" s="715">
        <v>18.215599999999998</v>
      </c>
      <c r="O80" s="715">
        <v>18.215599999999998</v>
      </c>
      <c r="P80" s="715">
        <v>18.215599999999998</v>
      </c>
      <c r="Q80" s="783">
        <v>18.215599999999998</v>
      </c>
      <c r="R80" s="715">
        <v>20.182200000000002</v>
      </c>
      <c r="S80" s="715">
        <v>24.663799999999998</v>
      </c>
      <c r="T80" s="715">
        <v>18.723400000000002</v>
      </c>
      <c r="U80" s="715">
        <v>18.723400000000002</v>
      </c>
      <c r="V80" s="715">
        <v>18.723400000000002</v>
      </c>
      <c r="W80" s="783">
        <v>18.723400000000002</v>
      </c>
      <c r="X80" s="715">
        <v>14.0976</v>
      </c>
      <c r="Y80" s="715">
        <v>16.196400000000001</v>
      </c>
      <c r="Z80" s="715">
        <v>12.447699999999999</v>
      </c>
      <c r="AA80" s="715">
        <v>12.447699999999999</v>
      </c>
      <c r="AB80" s="715">
        <v>12.447699999999999</v>
      </c>
      <c r="AC80" s="783">
        <v>12.447699999999999</v>
      </c>
      <c r="AD80" s="715">
        <v>13.2943</v>
      </c>
      <c r="AE80" s="715">
        <v>16.703399999999998</v>
      </c>
      <c r="AF80" s="715">
        <v>12.447699999999999</v>
      </c>
      <c r="AG80" s="715">
        <v>12.447699999999999</v>
      </c>
      <c r="AH80" s="715">
        <v>12.447699999999999</v>
      </c>
      <c r="AI80" s="783">
        <v>12.447699999999999</v>
      </c>
      <c r="AJ80" s="12"/>
      <c r="AK80" s="784" t="str">
        <f t="shared" si="19"/>
        <v>1Q22</v>
      </c>
      <c r="AL80" s="782">
        <f t="shared" si="20"/>
        <v>20.962299999999999</v>
      </c>
      <c r="AM80" s="715">
        <v>18.285283104649</v>
      </c>
      <c r="AN80" s="715">
        <v>15.531229783089</v>
      </c>
      <c r="AO80" s="715">
        <v>18.434223080295499</v>
      </c>
      <c r="AP80" s="715">
        <v>15.7918506010747</v>
      </c>
      <c r="AQ80" s="783">
        <v>13.3630724097093</v>
      </c>
      <c r="AR80" s="782">
        <f t="shared" si="21"/>
        <v>20.182200000000002</v>
      </c>
      <c r="AS80" s="715">
        <v>18.0372200865908</v>
      </c>
      <c r="AT80" s="715">
        <v>18.548904045644001</v>
      </c>
      <c r="AU80" s="715">
        <v>17.3009847075473</v>
      </c>
      <c r="AV80" s="715">
        <v>15.0214839738927</v>
      </c>
      <c r="AW80" s="783">
        <v>12.1266380876433</v>
      </c>
      <c r="AX80" s="782">
        <f t="shared" si="22"/>
        <v>14.0976</v>
      </c>
      <c r="AY80" s="715">
        <v>12.796323855725401</v>
      </c>
      <c r="AZ80" s="715">
        <v>14.3983930880516</v>
      </c>
      <c r="BA80" s="715">
        <v>11.0784790142357</v>
      </c>
      <c r="BB80" s="715">
        <v>11.740186808549501</v>
      </c>
      <c r="BC80" s="783">
        <v>10.121380136389201</v>
      </c>
      <c r="BD80" s="782">
        <f t="shared" si="31"/>
        <v>13.2943</v>
      </c>
      <c r="BE80" s="715">
        <v>12.783834567162399</v>
      </c>
      <c r="BF80" s="715">
        <v>15.506245752162901</v>
      </c>
      <c r="BG80" s="715">
        <v>11.493190886357301</v>
      </c>
      <c r="BH80" s="715">
        <v>12.2156576237082</v>
      </c>
      <c r="BI80" s="783">
        <v>8.9483231492258302</v>
      </c>
      <c r="BJ80" s="12"/>
      <c r="BK80" s="784" t="str">
        <f t="shared" si="23"/>
        <v>1Q22</v>
      </c>
      <c r="BL80" s="782">
        <f t="shared" si="24"/>
        <v>20.962299999999999</v>
      </c>
      <c r="BM80" s="715">
        <v>11.264557763490499</v>
      </c>
      <c r="BN80" s="715">
        <v>16.9769983363012</v>
      </c>
      <c r="BO80" s="715">
        <v>14.639794612769601</v>
      </c>
      <c r="BP80" s="715">
        <v>18.4969909334805</v>
      </c>
      <c r="BQ80" s="783">
        <v>17.038355642830801</v>
      </c>
      <c r="BR80" s="782">
        <f t="shared" si="25"/>
        <v>20.182200000000002</v>
      </c>
      <c r="BS80" s="715">
        <v>11.098891938738801</v>
      </c>
      <c r="BT80" s="715">
        <v>17.1678038497184</v>
      </c>
      <c r="BU80" s="715">
        <v>15.3184158666614</v>
      </c>
      <c r="BV80" s="715">
        <v>20.233709024707899</v>
      </c>
      <c r="BW80" s="783">
        <v>17.0249074363471</v>
      </c>
      <c r="BX80" s="782">
        <f t="shared" si="26"/>
        <v>14.0976</v>
      </c>
      <c r="BY80" s="715">
        <v>6.5521070460169701</v>
      </c>
      <c r="BZ80" s="715">
        <v>7.5805714791436696</v>
      </c>
      <c r="CA80" s="715"/>
      <c r="CB80" s="715">
        <v>15.7600485469973</v>
      </c>
      <c r="CC80" s="783">
        <v>13.180766059266601</v>
      </c>
      <c r="CD80" s="782">
        <f t="shared" si="32"/>
        <v>13.2943</v>
      </c>
      <c r="CE80" s="715">
        <v>6.6876218938895002</v>
      </c>
      <c r="CF80" s="715">
        <v>13.011960831629301</v>
      </c>
      <c r="CG80" s="715">
        <v>12.452113855824701</v>
      </c>
      <c r="CH80" s="715">
        <v>14.1638045774507</v>
      </c>
      <c r="CI80" s="783">
        <v>11.7889497648763</v>
      </c>
    </row>
    <row r="81" spans="1:87" ht="14.25" customHeight="1">
      <c r="A81" s="12"/>
      <c r="B81" s="12"/>
      <c r="C81" s="12" t="s">
        <v>917</v>
      </c>
      <c r="D81" s="12"/>
      <c r="E81" s="662">
        <f>AVERAGE(BM8:BQ75)</f>
        <v>23.989111745649577</v>
      </c>
      <c r="F81" s="662">
        <f>AVERAGE(BS8:BW75)</f>
        <v>16.203546988432574</v>
      </c>
      <c r="G81" s="662">
        <f>AVERAGE(BY8:CC75)</f>
        <v>9.8661131234978807</v>
      </c>
      <c r="H81" s="662">
        <f>AVERAGE(CE8:CI75)</f>
        <v>9.2441464344112774</v>
      </c>
      <c r="I81" s="69">
        <f>IF(I80=4,1,I80+1)</f>
        <v>2</v>
      </c>
      <c r="J81" s="5">
        <f t="shared" si="27"/>
        <v>2022</v>
      </c>
      <c r="K81" s="291" t="str">
        <f t="shared" si="18"/>
        <v>2Q22</v>
      </c>
      <c r="L81" s="782">
        <v>20.5549</v>
      </c>
      <c r="M81" s="715">
        <v>25.454599999999999</v>
      </c>
      <c r="N81" s="715">
        <v>24.901599999999998</v>
      </c>
      <c r="O81" s="715">
        <v>24.901599999999998</v>
      </c>
      <c r="P81" s="715">
        <v>24.901599999999998</v>
      </c>
      <c r="Q81" s="783">
        <v>24.901599999999998</v>
      </c>
      <c r="R81" s="715">
        <v>19.421500000000002</v>
      </c>
      <c r="S81" s="715">
        <v>24.245699999999999</v>
      </c>
      <c r="T81" s="715">
        <v>24.663799999999998</v>
      </c>
      <c r="U81" s="715">
        <v>24.663799999999998</v>
      </c>
      <c r="V81" s="715">
        <v>24.663799999999998</v>
      </c>
      <c r="W81" s="783">
        <v>24.663799999999998</v>
      </c>
      <c r="X81" s="715">
        <v>13.7608</v>
      </c>
      <c r="Y81" s="715">
        <v>16.365200000000002</v>
      </c>
      <c r="Z81" s="715">
        <v>16.196400000000001</v>
      </c>
      <c r="AA81" s="715">
        <v>16.196400000000001</v>
      </c>
      <c r="AB81" s="715">
        <v>16.196400000000001</v>
      </c>
      <c r="AC81" s="783">
        <v>16.196400000000001</v>
      </c>
      <c r="AD81" s="715">
        <v>12.475</v>
      </c>
      <c r="AE81" s="715">
        <v>16.205200000000001</v>
      </c>
      <c r="AF81" s="715">
        <v>16.196400000000001</v>
      </c>
      <c r="AG81" s="715">
        <v>16.196400000000001</v>
      </c>
      <c r="AH81" s="715">
        <v>16.196400000000001</v>
      </c>
      <c r="AI81" s="783">
        <v>16.196400000000001</v>
      </c>
      <c r="AJ81" s="12"/>
      <c r="AK81" s="784" t="str">
        <f t="shared" si="19"/>
        <v>2Q22</v>
      </c>
      <c r="AL81" s="782">
        <f t="shared" si="20"/>
        <v>20.5549</v>
      </c>
      <c r="AM81" s="715">
        <v>18.285283104649</v>
      </c>
      <c r="AN81" s="715">
        <v>15.531229783089</v>
      </c>
      <c r="AO81" s="715">
        <v>18.434223080295499</v>
      </c>
      <c r="AP81" s="715">
        <v>15.7918506010747</v>
      </c>
      <c r="AQ81" s="783">
        <v>13.3630724097093</v>
      </c>
      <c r="AR81" s="782">
        <f t="shared" si="21"/>
        <v>19.421500000000002</v>
      </c>
      <c r="AS81" s="715">
        <v>18.0372200865908</v>
      </c>
      <c r="AT81" s="715">
        <v>18.548904045644001</v>
      </c>
      <c r="AU81" s="715">
        <v>17.3009847075473</v>
      </c>
      <c r="AV81" s="715">
        <v>15.0214839738927</v>
      </c>
      <c r="AW81" s="783">
        <v>12.1266380876433</v>
      </c>
      <c r="AX81" s="782">
        <f t="shared" si="22"/>
        <v>13.7608</v>
      </c>
      <c r="AY81" s="715">
        <v>12.796323855725401</v>
      </c>
      <c r="AZ81" s="715">
        <v>14.3983930880516</v>
      </c>
      <c r="BA81" s="715">
        <v>11.0784790142357</v>
      </c>
      <c r="BB81" s="715">
        <v>11.740186808549501</v>
      </c>
      <c r="BC81" s="783">
        <v>10.121380136389201</v>
      </c>
      <c r="BD81" s="782">
        <f t="shared" si="31"/>
        <v>12.475</v>
      </c>
      <c r="BE81" s="715">
        <v>12.783834567162399</v>
      </c>
      <c r="BF81" s="715">
        <v>15.506245752162901</v>
      </c>
      <c r="BG81" s="715">
        <v>11.493190886357301</v>
      </c>
      <c r="BH81" s="715">
        <v>12.2156576237082</v>
      </c>
      <c r="BI81" s="783">
        <v>8.9483231492258302</v>
      </c>
      <c r="BJ81" s="12"/>
      <c r="BK81" s="784" t="str">
        <f t="shared" si="23"/>
        <v>2Q22</v>
      </c>
      <c r="BL81" s="782">
        <f t="shared" si="24"/>
        <v>20.5549</v>
      </c>
      <c r="BM81" s="715">
        <v>11.264557763490499</v>
      </c>
      <c r="BN81" s="715">
        <v>16.9769983363012</v>
      </c>
      <c r="BO81" s="715">
        <v>14.639794612769601</v>
      </c>
      <c r="BP81" s="715">
        <v>18.4969909334805</v>
      </c>
      <c r="BQ81" s="783">
        <v>17.038355642830801</v>
      </c>
      <c r="BR81" s="782">
        <f t="shared" si="25"/>
        <v>19.421500000000002</v>
      </c>
      <c r="BS81" s="715">
        <v>11.098891938738801</v>
      </c>
      <c r="BT81" s="715">
        <v>17.1678038497184</v>
      </c>
      <c r="BU81" s="715">
        <v>15.3184158666614</v>
      </c>
      <c r="BV81" s="715">
        <v>20.233709024707899</v>
      </c>
      <c r="BW81" s="783">
        <v>17.0249074363471</v>
      </c>
      <c r="BX81" s="782">
        <f t="shared" si="26"/>
        <v>13.7608</v>
      </c>
      <c r="BY81" s="715">
        <v>6.5521070460169701</v>
      </c>
      <c r="BZ81" s="715">
        <v>7.5805714791436696</v>
      </c>
      <c r="CA81" s="715"/>
      <c r="CB81" s="715">
        <v>15.7600485469973</v>
      </c>
      <c r="CC81" s="783">
        <v>13.180766059266601</v>
      </c>
      <c r="CD81" s="782">
        <f t="shared" si="32"/>
        <v>12.475</v>
      </c>
      <c r="CE81" s="715">
        <v>6.6876218938895002</v>
      </c>
      <c r="CF81" s="715">
        <v>13.011960831629301</v>
      </c>
      <c r="CG81" s="715">
        <v>12.452113855824701</v>
      </c>
      <c r="CH81" s="715">
        <v>14.1638045774507</v>
      </c>
      <c r="CI81" s="783">
        <v>11.7889497648763</v>
      </c>
    </row>
    <row r="82" spans="1:87" ht="14.25" customHeight="1">
      <c r="A82" s="12"/>
      <c r="B82" s="12"/>
      <c r="C82" s="12" t="s">
        <v>918</v>
      </c>
      <c r="D82" s="12"/>
      <c r="E82" s="662">
        <f t="shared" ref="E82:H82" si="39">AVERAGE(E86,E90)</f>
        <v>20.103998318150133</v>
      </c>
      <c r="F82" s="662">
        <f t="shared" si="39"/>
        <v>16.997209724820074</v>
      </c>
      <c r="G82" s="662">
        <f t="shared" si="39"/>
        <v>9.076301266902977</v>
      </c>
      <c r="H82" s="662" t="e">
        <f t="shared" si="39"/>
        <v>#DIV/0!</v>
      </c>
      <c r="I82" s="69">
        <f>IF(I81+1=5,1,I81+1)</f>
        <v>3</v>
      </c>
      <c r="J82" s="5">
        <f t="shared" si="27"/>
        <v>2022</v>
      </c>
      <c r="K82" s="291" t="str">
        <f t="shared" si="18"/>
        <v>3Q22</v>
      </c>
      <c r="L82" s="782">
        <v>18.624300000000002</v>
      </c>
      <c r="M82" s="715">
        <v>22.977499999999999</v>
      </c>
      <c r="N82" s="715">
        <v>25.454599999999999</v>
      </c>
      <c r="O82" s="715">
        <v>25.454599999999999</v>
      </c>
      <c r="P82" s="715">
        <v>25.454599999999999</v>
      </c>
      <c r="Q82" s="783">
        <v>25.454599999999999</v>
      </c>
      <c r="R82" s="715">
        <v>18.523900000000001</v>
      </c>
      <c r="S82" s="715">
        <v>22.3642</v>
      </c>
      <c r="T82" s="715">
        <v>24.245699999999999</v>
      </c>
      <c r="U82" s="715">
        <v>24.245699999999999</v>
      </c>
      <c r="V82" s="715">
        <v>24.245699999999999</v>
      </c>
      <c r="W82" s="783">
        <v>24.245699999999999</v>
      </c>
      <c r="X82" s="715">
        <v>12.4247</v>
      </c>
      <c r="Y82" s="715">
        <v>15.0097</v>
      </c>
      <c r="Z82" s="715">
        <v>16.365200000000002</v>
      </c>
      <c r="AA82" s="715">
        <v>16.365200000000002</v>
      </c>
      <c r="AB82" s="715">
        <v>16.365200000000002</v>
      </c>
      <c r="AC82" s="783">
        <v>16.365200000000002</v>
      </c>
      <c r="AD82" s="715">
        <v>11.7318</v>
      </c>
      <c r="AE82" s="715">
        <v>15.079700000000001</v>
      </c>
      <c r="AF82" s="715">
        <v>16.365200000000002</v>
      </c>
      <c r="AG82" s="715">
        <v>16.365200000000002</v>
      </c>
      <c r="AH82" s="715">
        <v>16.365200000000002</v>
      </c>
      <c r="AI82" s="783">
        <v>16.365200000000002</v>
      </c>
      <c r="AJ82" s="12"/>
      <c r="AK82" s="784" t="str">
        <f t="shared" si="19"/>
        <v>3Q22</v>
      </c>
      <c r="AL82" s="782">
        <f t="shared" si="20"/>
        <v>18.624300000000002</v>
      </c>
      <c r="AM82" s="715">
        <v>18.285283104649</v>
      </c>
      <c r="AN82" s="715">
        <v>15.531229783089</v>
      </c>
      <c r="AO82" s="715">
        <v>18.434223080295499</v>
      </c>
      <c r="AP82" s="715">
        <v>15.7918506010747</v>
      </c>
      <c r="AQ82" s="783">
        <v>13.3630724097093</v>
      </c>
      <c r="AR82" s="782">
        <f t="shared" si="21"/>
        <v>18.523900000000001</v>
      </c>
      <c r="AS82" s="715">
        <v>18.0372200865908</v>
      </c>
      <c r="AT82" s="715">
        <v>18.548904045644001</v>
      </c>
      <c r="AU82" s="715">
        <v>17.3009847075473</v>
      </c>
      <c r="AV82" s="715">
        <v>15.0214839738927</v>
      </c>
      <c r="AW82" s="783">
        <v>12.1266380876433</v>
      </c>
      <c r="AX82" s="782">
        <f t="shared" si="22"/>
        <v>12.4247</v>
      </c>
      <c r="AY82" s="715">
        <v>12.796323855725401</v>
      </c>
      <c r="AZ82" s="715">
        <v>14.3983930880516</v>
      </c>
      <c r="BA82" s="715">
        <v>11.0784790142357</v>
      </c>
      <c r="BB82" s="715">
        <v>11.740186808549501</v>
      </c>
      <c r="BC82" s="783">
        <v>10.121380136389201</v>
      </c>
      <c r="BD82" s="782">
        <f t="shared" si="31"/>
        <v>11.7318</v>
      </c>
      <c r="BE82" s="715">
        <v>12.783834567162399</v>
      </c>
      <c r="BF82" s="715">
        <v>15.506245752162901</v>
      </c>
      <c r="BG82" s="715">
        <v>11.493190886357301</v>
      </c>
      <c r="BH82" s="715">
        <v>12.2156576237082</v>
      </c>
      <c r="BI82" s="783">
        <v>8.9483231492258302</v>
      </c>
      <c r="BJ82" s="12"/>
      <c r="BK82" s="784" t="str">
        <f t="shared" si="23"/>
        <v>3Q22</v>
      </c>
      <c r="BL82" s="782">
        <f t="shared" si="24"/>
        <v>18.624300000000002</v>
      </c>
      <c r="BM82" s="715">
        <v>11.264557763490499</v>
      </c>
      <c r="BN82" s="715">
        <v>16.9769983363012</v>
      </c>
      <c r="BO82" s="715">
        <v>14.639794612769601</v>
      </c>
      <c r="BP82" s="715">
        <v>18.4969909334805</v>
      </c>
      <c r="BQ82" s="783">
        <v>17.038355642830801</v>
      </c>
      <c r="BR82" s="782">
        <f t="shared" si="25"/>
        <v>18.523900000000001</v>
      </c>
      <c r="BS82" s="715">
        <v>11.098891938738801</v>
      </c>
      <c r="BT82" s="715">
        <v>17.1678038497184</v>
      </c>
      <c r="BU82" s="715">
        <v>15.3184158666614</v>
      </c>
      <c r="BV82" s="715">
        <v>20.233709024707899</v>
      </c>
      <c r="BW82" s="783">
        <v>17.0249074363471</v>
      </c>
      <c r="BX82" s="782">
        <f t="shared" si="26"/>
        <v>12.4247</v>
      </c>
      <c r="BY82" s="715">
        <v>6.5521070460169701</v>
      </c>
      <c r="BZ82" s="715">
        <v>7.5805714791436696</v>
      </c>
      <c r="CA82" s="715"/>
      <c r="CB82" s="715">
        <v>15.7600485469973</v>
      </c>
      <c r="CC82" s="783">
        <v>13.180766059266601</v>
      </c>
      <c r="CD82" s="782">
        <f t="shared" si="32"/>
        <v>11.7318</v>
      </c>
      <c r="CE82" s="715">
        <v>6.6876218938895002</v>
      </c>
      <c r="CF82" s="715">
        <v>13.011960831629301</v>
      </c>
      <c r="CG82" s="715">
        <v>12.452113855824701</v>
      </c>
      <c r="CH82" s="715">
        <v>14.1638045774507</v>
      </c>
      <c r="CI82" s="783">
        <v>11.7889497648763</v>
      </c>
    </row>
    <row r="83" spans="1:87" ht="14.25" customHeight="1">
      <c r="A83" s="12"/>
      <c r="B83" s="12"/>
      <c r="C83" s="12" t="s">
        <v>919</v>
      </c>
      <c r="D83" s="12"/>
      <c r="E83" s="662">
        <f t="shared" ref="E83:H83" si="40">AVERAGE(E87,E91)</f>
        <v>16.107894681806094</v>
      </c>
      <c r="F83" s="662">
        <f t="shared" si="40"/>
        <v>15.302983644943669</v>
      </c>
      <c r="G83" s="662">
        <f t="shared" si="40"/>
        <v>9.9751232285254474</v>
      </c>
      <c r="H83" s="662">
        <f t="shared" si="40"/>
        <v>9.3757588494886495</v>
      </c>
      <c r="I83" s="69">
        <f>IF(I82=4,1,I82+1)</f>
        <v>4</v>
      </c>
      <c r="J83" s="5">
        <f t="shared" si="27"/>
        <v>2022</v>
      </c>
      <c r="K83" s="291" t="str">
        <f t="shared" si="18"/>
        <v>4Q22</v>
      </c>
      <c r="L83" s="782">
        <v>21.186800000000002</v>
      </c>
      <c r="M83" s="715">
        <v>25.414999999999999</v>
      </c>
      <c r="N83" s="715">
        <v>22.977499999999999</v>
      </c>
      <c r="O83" s="715">
        <v>22.977499999999999</v>
      </c>
      <c r="P83" s="715">
        <v>22.977499999999999</v>
      </c>
      <c r="Q83" s="783">
        <v>22.977499999999999</v>
      </c>
      <c r="R83" s="715">
        <v>19.582000000000001</v>
      </c>
      <c r="S83" s="715">
        <v>23.832799999999999</v>
      </c>
      <c r="T83" s="715">
        <v>22.3642</v>
      </c>
      <c r="U83" s="715">
        <v>22.3642</v>
      </c>
      <c r="V83" s="715">
        <v>22.3642</v>
      </c>
      <c r="W83" s="783">
        <v>22.3642</v>
      </c>
      <c r="X83" s="715">
        <v>14.012</v>
      </c>
      <c r="Y83" s="715">
        <v>16.895499999999998</v>
      </c>
      <c r="Z83" s="715">
        <v>15.0097</v>
      </c>
      <c r="AA83" s="715">
        <v>15.0097</v>
      </c>
      <c r="AB83" s="715">
        <v>15.0097</v>
      </c>
      <c r="AC83" s="783">
        <v>15.0097</v>
      </c>
      <c r="AD83" s="715">
        <v>13.2317</v>
      </c>
      <c r="AE83" s="715">
        <v>16.451499999999999</v>
      </c>
      <c r="AF83" s="715">
        <v>15.0097</v>
      </c>
      <c r="AG83" s="715">
        <v>15.0097</v>
      </c>
      <c r="AH83" s="715">
        <v>15.0097</v>
      </c>
      <c r="AI83" s="783">
        <v>15.0097</v>
      </c>
      <c r="AJ83" s="12"/>
      <c r="AK83" s="784" t="str">
        <f t="shared" si="19"/>
        <v>4Q22</v>
      </c>
      <c r="AL83" s="782">
        <f t="shared" si="20"/>
        <v>21.186800000000002</v>
      </c>
      <c r="AM83" s="715">
        <v>18.285283104649</v>
      </c>
      <c r="AN83" s="715">
        <v>15.531229783089</v>
      </c>
      <c r="AO83" s="715">
        <v>18.434223080295499</v>
      </c>
      <c r="AP83" s="715">
        <v>15.7918506010747</v>
      </c>
      <c r="AQ83" s="783">
        <v>13.3630724097093</v>
      </c>
      <c r="AR83" s="782">
        <f t="shared" si="21"/>
        <v>19.582000000000001</v>
      </c>
      <c r="AS83" s="715">
        <v>18.0372200865908</v>
      </c>
      <c r="AT83" s="715">
        <v>18.548904045644001</v>
      </c>
      <c r="AU83" s="715">
        <v>17.3009847075473</v>
      </c>
      <c r="AV83" s="715">
        <v>15.0214839738927</v>
      </c>
      <c r="AW83" s="783">
        <v>12.1266380876433</v>
      </c>
      <c r="AX83" s="782">
        <f t="shared" si="22"/>
        <v>14.012</v>
      </c>
      <c r="AY83" s="715">
        <v>12.796323855725401</v>
      </c>
      <c r="AZ83" s="715">
        <v>14.3983930880516</v>
      </c>
      <c r="BA83" s="715">
        <v>11.0784790142357</v>
      </c>
      <c r="BB83" s="715">
        <v>11.740186808549501</v>
      </c>
      <c r="BC83" s="783">
        <v>10.121380136389201</v>
      </c>
      <c r="BD83" s="782">
        <f t="shared" si="31"/>
        <v>13.2317</v>
      </c>
      <c r="BE83" s="715">
        <v>12.783834567162399</v>
      </c>
      <c r="BF83" s="715">
        <v>15.506245752162901</v>
      </c>
      <c r="BG83" s="715">
        <v>11.493190886357301</v>
      </c>
      <c r="BH83" s="715">
        <v>12.2156576237082</v>
      </c>
      <c r="BI83" s="783">
        <v>8.9483231492258302</v>
      </c>
      <c r="BJ83" s="12"/>
      <c r="BK83" s="784" t="str">
        <f t="shared" si="23"/>
        <v>4Q22</v>
      </c>
      <c r="BL83" s="782">
        <f t="shared" si="24"/>
        <v>21.186800000000002</v>
      </c>
      <c r="BM83" s="715">
        <v>11.264557763490499</v>
      </c>
      <c r="BN83" s="715">
        <v>16.9769983363012</v>
      </c>
      <c r="BO83" s="715">
        <v>14.639794612769601</v>
      </c>
      <c r="BP83" s="715">
        <v>18.4969909334805</v>
      </c>
      <c r="BQ83" s="783">
        <v>17.038355642830801</v>
      </c>
      <c r="BR83" s="782">
        <f t="shared" si="25"/>
        <v>19.582000000000001</v>
      </c>
      <c r="BS83" s="715">
        <v>11.098891938738801</v>
      </c>
      <c r="BT83" s="715">
        <v>17.1678038497184</v>
      </c>
      <c r="BU83" s="715">
        <v>15.3184158666614</v>
      </c>
      <c r="BV83" s="715">
        <v>20.233709024707899</v>
      </c>
      <c r="BW83" s="783">
        <v>17.0249074363471</v>
      </c>
      <c r="BX83" s="782">
        <f t="shared" si="26"/>
        <v>14.012</v>
      </c>
      <c r="BY83" s="715">
        <v>6.5521070460169701</v>
      </c>
      <c r="BZ83" s="715">
        <v>7.5805714791436696</v>
      </c>
      <c r="CA83" s="715"/>
      <c r="CB83" s="715">
        <v>15.7600485469973</v>
      </c>
      <c r="CC83" s="783">
        <v>13.180766059266601</v>
      </c>
      <c r="CD83" s="782">
        <f t="shared" si="32"/>
        <v>13.2317</v>
      </c>
      <c r="CE83" s="715">
        <v>6.6876218938895002</v>
      </c>
      <c r="CF83" s="715">
        <v>13.011960831629301</v>
      </c>
      <c r="CG83" s="715">
        <v>12.452113855824701</v>
      </c>
      <c r="CH83" s="715">
        <v>14.1638045774507</v>
      </c>
      <c r="CI83" s="783">
        <v>11.7889497648763</v>
      </c>
    </row>
    <row r="84" spans="1:87" ht="14.25" customHeight="1">
      <c r="A84" s="12"/>
      <c r="B84" s="12"/>
      <c r="C84" s="12" t="s">
        <v>920</v>
      </c>
      <c r="D84" s="12"/>
      <c r="E84" s="662">
        <f t="shared" ref="E84:H84" si="41">AVERAGE(E88,E92)</f>
        <v>30.136895572954842</v>
      </c>
      <c r="F84" s="662">
        <f t="shared" si="41"/>
        <v>16.117007849523496</v>
      </c>
      <c r="G84" s="662">
        <f t="shared" si="41"/>
        <v>10.637190256202512</v>
      </c>
      <c r="H84" s="662">
        <f t="shared" si="41"/>
        <v>9.9954522991745449</v>
      </c>
      <c r="I84" s="69">
        <f>I80</f>
        <v>1</v>
      </c>
      <c r="J84" s="5">
        <f t="shared" si="27"/>
        <v>2023</v>
      </c>
      <c r="K84" s="291" t="str">
        <f t="shared" si="18"/>
        <v>1Q23</v>
      </c>
      <c r="L84" s="782">
        <v>18.6831</v>
      </c>
      <c r="M84" s="715">
        <v>23.123699999999999</v>
      </c>
      <c r="N84" s="715">
        <v>25.414999999999999</v>
      </c>
      <c r="O84" s="715">
        <v>25.414999999999999</v>
      </c>
      <c r="P84" s="715">
        <v>25.414999999999999</v>
      </c>
      <c r="Q84" s="783">
        <v>25.414999999999999</v>
      </c>
      <c r="R84" s="715">
        <v>17.5443</v>
      </c>
      <c r="S84" s="715">
        <v>22.495100000000001</v>
      </c>
      <c r="T84" s="715">
        <v>23.832799999999999</v>
      </c>
      <c r="U84" s="715">
        <v>23.832799999999999</v>
      </c>
      <c r="V84" s="715">
        <v>23.832799999999999</v>
      </c>
      <c r="W84" s="783">
        <v>23.832799999999999</v>
      </c>
      <c r="X84" s="715">
        <v>12.549899999999999</v>
      </c>
      <c r="Y84" s="715">
        <v>15.6145</v>
      </c>
      <c r="Z84" s="715">
        <v>16.895499999999998</v>
      </c>
      <c r="AA84" s="715">
        <v>16.895499999999998</v>
      </c>
      <c r="AB84" s="715">
        <v>16.895499999999998</v>
      </c>
      <c r="AC84" s="783">
        <v>16.895499999999998</v>
      </c>
      <c r="AD84" s="715">
        <v>12.047000000000001</v>
      </c>
      <c r="AE84" s="715">
        <v>15.599</v>
      </c>
      <c r="AF84" s="715">
        <v>16.895499999999998</v>
      </c>
      <c r="AG84" s="715">
        <v>16.895499999999998</v>
      </c>
      <c r="AH84" s="715">
        <v>16.895499999999998</v>
      </c>
      <c r="AI84" s="783">
        <v>16.895499999999998</v>
      </c>
      <c r="AJ84" s="12"/>
      <c r="AK84" s="784" t="str">
        <f t="shared" si="19"/>
        <v>1Q23</v>
      </c>
      <c r="AL84" s="782">
        <f t="shared" si="20"/>
        <v>18.6831</v>
      </c>
      <c r="AM84" s="715">
        <v>18.285283104649</v>
      </c>
      <c r="AN84" s="715">
        <v>15.531229783089</v>
      </c>
      <c r="AO84" s="715">
        <v>18.434223080295499</v>
      </c>
      <c r="AP84" s="715">
        <v>15.7918506010747</v>
      </c>
      <c r="AQ84" s="783">
        <v>13.3630724097093</v>
      </c>
      <c r="AR84" s="782">
        <f t="shared" si="21"/>
        <v>17.5443</v>
      </c>
      <c r="AS84" s="715">
        <v>18.0372200865908</v>
      </c>
      <c r="AT84" s="715">
        <v>18.548904045644001</v>
      </c>
      <c r="AU84" s="715">
        <v>17.3009847075473</v>
      </c>
      <c r="AV84" s="715">
        <v>15.0214839738927</v>
      </c>
      <c r="AW84" s="783">
        <v>12.1266380876433</v>
      </c>
      <c r="AX84" s="782">
        <f t="shared" si="22"/>
        <v>12.549899999999999</v>
      </c>
      <c r="AY84" s="715">
        <v>12.796323855725401</v>
      </c>
      <c r="AZ84" s="715">
        <v>14.3983930880516</v>
      </c>
      <c r="BA84" s="715">
        <v>11.0784790142357</v>
      </c>
      <c r="BB84" s="715">
        <v>11.740186808549501</v>
      </c>
      <c r="BC84" s="783">
        <v>10.121380136389201</v>
      </c>
      <c r="BD84" s="782">
        <f t="shared" si="31"/>
        <v>12.047000000000001</v>
      </c>
      <c r="BE84" s="715">
        <v>12.783834567162399</v>
      </c>
      <c r="BF84" s="715">
        <v>15.506245752162901</v>
      </c>
      <c r="BG84" s="715">
        <v>11.493190886357301</v>
      </c>
      <c r="BH84" s="715">
        <v>12.2156576237082</v>
      </c>
      <c r="BI84" s="783">
        <v>8.9483231492258302</v>
      </c>
      <c r="BJ84" s="12"/>
      <c r="BK84" s="784" t="str">
        <f t="shared" si="23"/>
        <v>1Q23</v>
      </c>
      <c r="BL84" s="782">
        <f t="shared" si="24"/>
        <v>18.6831</v>
      </c>
      <c r="BM84" s="715">
        <v>11.264557763490499</v>
      </c>
      <c r="BN84" s="715">
        <v>16.9769983363012</v>
      </c>
      <c r="BO84" s="715">
        <v>14.639794612769601</v>
      </c>
      <c r="BP84" s="715">
        <v>18.4969909334805</v>
      </c>
      <c r="BQ84" s="783">
        <v>17.038355642830801</v>
      </c>
      <c r="BR84" s="782">
        <f t="shared" si="25"/>
        <v>17.5443</v>
      </c>
      <c r="BS84" s="715">
        <v>11.098891938738801</v>
      </c>
      <c r="BT84" s="715">
        <v>17.1678038497184</v>
      </c>
      <c r="BU84" s="715">
        <v>15.3184158666614</v>
      </c>
      <c r="BV84" s="715">
        <v>20.233709024707899</v>
      </c>
      <c r="BW84" s="783">
        <v>17.0249074363471</v>
      </c>
      <c r="BX84" s="782">
        <f t="shared" si="26"/>
        <v>12.549899999999999</v>
      </c>
      <c r="BY84" s="715">
        <v>6.5521070460169701</v>
      </c>
      <c r="BZ84" s="715">
        <v>7.5805714791436696</v>
      </c>
      <c r="CA84" s="715"/>
      <c r="CB84" s="715">
        <v>15.7600485469973</v>
      </c>
      <c r="CC84" s="783">
        <v>13.180766059266601</v>
      </c>
      <c r="CD84" s="782">
        <f t="shared" si="32"/>
        <v>12.047000000000001</v>
      </c>
      <c r="CE84" s="715">
        <v>6.6876218938895002</v>
      </c>
      <c r="CF84" s="715">
        <v>13.011960831629301</v>
      </c>
      <c r="CG84" s="715">
        <v>12.452113855824701</v>
      </c>
      <c r="CH84" s="715">
        <v>14.1638045774507</v>
      </c>
      <c r="CI84" s="783">
        <v>11.7889497648763</v>
      </c>
    </row>
    <row r="85" spans="1:87" ht="14.25" customHeight="1">
      <c r="A85" s="12"/>
      <c r="B85" s="12"/>
      <c r="C85" s="12" t="s">
        <v>921</v>
      </c>
      <c r="D85" s="12"/>
      <c r="E85" s="662">
        <f>AVERAGE(BM8:BQ35)</f>
        <v>19.419899684661807</v>
      </c>
      <c r="F85" s="662">
        <f>AVERAGE(BS8:BW35)</f>
        <v>16.743680586508308</v>
      </c>
      <c r="G85" s="662">
        <f>AVERAGE(BY8:CC35)</f>
        <v>9.5404200826670245</v>
      </c>
      <c r="H85" s="662">
        <f>AVERAGE(CE8:CI35)</f>
        <v>9.3638146738226631</v>
      </c>
      <c r="I85" s="69">
        <f>IF(I84=4,1,I84+1)</f>
        <v>2</v>
      </c>
      <c r="J85" s="5">
        <f t="shared" si="27"/>
        <v>2023</v>
      </c>
      <c r="K85" s="291" t="str">
        <f t="shared" si="18"/>
        <v>2Q23</v>
      </c>
      <c r="L85" s="782">
        <v>18.724499999999999</v>
      </c>
      <c r="M85" s="715">
        <v>22.9543</v>
      </c>
      <c r="N85" s="715">
        <v>23.123699999999999</v>
      </c>
      <c r="O85" s="715">
        <v>23.123699999999999</v>
      </c>
      <c r="P85" s="715">
        <v>23.123699999999999</v>
      </c>
      <c r="Q85" s="783">
        <v>23.123699999999999</v>
      </c>
      <c r="R85" s="715">
        <v>17.876300000000001</v>
      </c>
      <c r="S85" s="715">
        <v>22.546900000000001</v>
      </c>
      <c r="T85" s="715">
        <v>22.525300000000001</v>
      </c>
      <c r="U85" s="715">
        <v>22.525300000000001</v>
      </c>
      <c r="V85" s="715">
        <v>22.525300000000001</v>
      </c>
      <c r="W85" s="783">
        <v>22.525300000000001</v>
      </c>
      <c r="X85" s="715">
        <v>12.621700000000001</v>
      </c>
      <c r="Y85" s="715">
        <v>15.7117</v>
      </c>
      <c r="Z85" s="715">
        <v>15.6145</v>
      </c>
      <c r="AA85" s="715">
        <v>15.6145</v>
      </c>
      <c r="AB85" s="715">
        <v>15.6145</v>
      </c>
      <c r="AC85" s="783">
        <v>15.6145</v>
      </c>
      <c r="AD85" s="715">
        <v>12.167999999999999</v>
      </c>
      <c r="AE85" s="715">
        <v>15.716100000000001</v>
      </c>
      <c r="AF85" s="715">
        <v>15.6145</v>
      </c>
      <c r="AG85" s="715">
        <v>15.6145</v>
      </c>
      <c r="AH85" s="715">
        <v>15.6145</v>
      </c>
      <c r="AI85" s="783">
        <v>15.6145</v>
      </c>
      <c r="AJ85" s="12"/>
      <c r="AK85" s="784"/>
      <c r="AL85" s="782"/>
      <c r="AM85" s="715"/>
      <c r="AN85" s="715"/>
      <c r="AO85" s="715"/>
      <c r="AP85" s="715"/>
      <c r="AQ85" s="783"/>
      <c r="AR85" s="782"/>
      <c r="AS85" s="715"/>
      <c r="AT85" s="715"/>
      <c r="AU85" s="715"/>
      <c r="AV85" s="715"/>
      <c r="AW85" s="783"/>
      <c r="AX85" s="782"/>
      <c r="AY85" s="715"/>
      <c r="AZ85" s="715"/>
      <c r="BA85" s="715"/>
      <c r="BB85" s="715"/>
      <c r="BC85" s="783"/>
      <c r="BD85" s="782"/>
      <c r="BE85" s="715"/>
      <c r="BF85" s="715"/>
      <c r="BG85" s="715"/>
      <c r="BH85" s="715"/>
      <c r="BI85" s="783"/>
      <c r="BJ85" s="12"/>
      <c r="BK85" s="784"/>
      <c r="BL85" s="782"/>
      <c r="BM85" s="715"/>
      <c r="BN85" s="715"/>
      <c r="BO85" s="715"/>
      <c r="BP85" s="715"/>
      <c r="BQ85" s="783"/>
      <c r="BR85" s="782"/>
      <c r="BS85" s="715"/>
      <c r="BT85" s="715"/>
      <c r="BU85" s="715"/>
      <c r="BV85" s="715"/>
      <c r="BW85" s="783"/>
      <c r="BX85" s="782"/>
      <c r="BY85" s="715"/>
      <c r="BZ85" s="715"/>
      <c r="CA85" s="715"/>
      <c r="CB85" s="715"/>
      <c r="CC85" s="783"/>
      <c r="CD85" s="782"/>
      <c r="CE85" s="715"/>
      <c r="CF85" s="715"/>
      <c r="CG85" s="715"/>
      <c r="CH85" s="715"/>
      <c r="CI85" s="783"/>
    </row>
    <row r="86" spans="1:87" ht="14.25" customHeight="1">
      <c r="A86" s="12"/>
      <c r="B86" s="12"/>
      <c r="C86" s="12" t="s">
        <v>922</v>
      </c>
      <c r="D86" s="12"/>
      <c r="E86" s="662">
        <f>AVERAGE(BM8:BQ19)</f>
        <v>25.08153198498405</v>
      </c>
      <c r="F86" s="662">
        <f>AVERAGE(BS8:BW19)</f>
        <v>19.390935509155117</v>
      </c>
      <c r="G86" s="662">
        <f>AVERAGE(BY8:CC19)</f>
        <v>9.9820368351702946</v>
      </c>
      <c r="H86" s="662" t="e">
        <f>AVERAGE(CE8:CI19)</f>
        <v>#DIV/0!</v>
      </c>
      <c r="I86" s="69"/>
      <c r="J86" s="5"/>
      <c r="K86" s="784" t="s">
        <v>528</v>
      </c>
      <c r="L86" s="782">
        <v>19.439</v>
      </c>
      <c r="M86" s="715">
        <v>23.2105</v>
      </c>
      <c r="N86" s="715">
        <v>22.613</v>
      </c>
      <c r="O86" s="715">
        <v>22.613</v>
      </c>
      <c r="P86" s="715">
        <v>22.613</v>
      </c>
      <c r="Q86" s="783">
        <v>22.613</v>
      </c>
      <c r="R86" s="715">
        <v>18.639800000000001</v>
      </c>
      <c r="S86" s="715">
        <v>22.447299999999998</v>
      </c>
      <c r="T86" s="715">
        <v>22.1797</v>
      </c>
      <c r="U86" s="715">
        <v>22.1797</v>
      </c>
      <c r="V86" s="715">
        <v>22.1797</v>
      </c>
      <c r="W86" s="783">
        <v>22.1797</v>
      </c>
      <c r="X86" s="715">
        <v>12.9339</v>
      </c>
      <c r="Y86" s="715">
        <v>16.0153</v>
      </c>
      <c r="Z86" s="715">
        <v>15.501099999999999</v>
      </c>
      <c r="AA86" s="715">
        <v>15.501099999999999</v>
      </c>
      <c r="AB86" s="715">
        <v>15.501099999999999</v>
      </c>
      <c r="AC86" s="783">
        <v>15.501099999999999</v>
      </c>
      <c r="AD86" s="715">
        <v>12.4849</v>
      </c>
      <c r="AE86" s="715">
        <v>15.5814</v>
      </c>
      <c r="AF86" s="715">
        <v>15.501099999999999</v>
      </c>
      <c r="AG86" s="715">
        <v>15.501099999999999</v>
      </c>
      <c r="AH86" s="715">
        <v>15.501099999999999</v>
      </c>
      <c r="AI86" s="783">
        <v>15.501099999999999</v>
      </c>
      <c r="AJ86" s="12"/>
      <c r="AK86" s="784" t="str">
        <f>$K86</f>
        <v>Current</v>
      </c>
      <c r="AL86" s="782">
        <f>L86</f>
        <v>19.439</v>
      </c>
      <c r="AM86" s="715">
        <v>18.285283104649</v>
      </c>
      <c r="AN86" s="715">
        <v>15.531229783089</v>
      </c>
      <c r="AO86" s="715">
        <v>18.434223080295499</v>
      </c>
      <c r="AP86" s="715">
        <v>15.7918506010747</v>
      </c>
      <c r="AQ86" s="783">
        <v>13.3630724097093</v>
      </c>
      <c r="AR86" s="782">
        <f>R86</f>
        <v>18.639800000000001</v>
      </c>
      <c r="AS86" s="715">
        <v>18.0372200865908</v>
      </c>
      <c r="AT86" s="715">
        <v>18.548904045644001</v>
      </c>
      <c r="AU86" s="715">
        <v>17.3009847075473</v>
      </c>
      <c r="AV86" s="715">
        <v>15.0214839738927</v>
      </c>
      <c r="AW86" s="783">
        <v>12.1266380876433</v>
      </c>
      <c r="AX86" s="782">
        <f>X86</f>
        <v>12.9339</v>
      </c>
      <c r="AY86" s="715">
        <v>12.796323855725401</v>
      </c>
      <c r="AZ86" s="715">
        <v>14.3983930880516</v>
      </c>
      <c r="BA86" s="715">
        <v>11.0784790142357</v>
      </c>
      <c r="BB86" s="715">
        <v>11.740186808549501</v>
      </c>
      <c r="BC86" s="783">
        <v>10.121380136389201</v>
      </c>
      <c r="BD86" s="782">
        <f>AD86</f>
        <v>12.4849</v>
      </c>
      <c r="BE86" s="715">
        <v>12.783834567162399</v>
      </c>
      <c r="BF86" s="715">
        <v>15.506245752162901</v>
      </c>
      <c r="BG86" s="715">
        <v>11.493190886357301</v>
      </c>
      <c r="BH86" s="715">
        <v>12.2156576237082</v>
      </c>
      <c r="BI86" s="783">
        <v>8.9483231492258302</v>
      </c>
      <c r="BJ86" s="12"/>
      <c r="BK86" s="784" t="str">
        <f>$K86</f>
        <v>Current</v>
      </c>
      <c r="BL86" s="782">
        <f>AL86</f>
        <v>19.439</v>
      </c>
      <c r="BM86" s="715">
        <v>11.264557763490499</v>
      </c>
      <c r="BN86" s="715">
        <v>16.9769983363012</v>
      </c>
      <c r="BO86" s="715">
        <v>14.639794612769601</v>
      </c>
      <c r="BP86" s="715">
        <v>18.4969909334805</v>
      </c>
      <c r="BQ86" s="783">
        <v>17.038355642830801</v>
      </c>
      <c r="BR86" s="782">
        <f>AR86</f>
        <v>18.639800000000001</v>
      </c>
      <c r="BS86" s="715">
        <v>11.098891938738801</v>
      </c>
      <c r="BT86" s="715">
        <v>17.1678038497184</v>
      </c>
      <c r="BU86" s="715">
        <v>15.3184158666614</v>
      </c>
      <c r="BV86" s="715">
        <v>20.233709024707899</v>
      </c>
      <c r="BW86" s="783">
        <v>17.0249074363471</v>
      </c>
      <c r="BX86" s="782">
        <f>AX86</f>
        <v>12.9339</v>
      </c>
      <c r="BY86" s="715">
        <v>6.5521070460169701</v>
      </c>
      <c r="BZ86" s="715">
        <v>7.5805714791436696</v>
      </c>
      <c r="CA86" s="715"/>
      <c r="CB86" s="715">
        <v>15.7600485469973</v>
      </c>
      <c r="CC86" s="783">
        <v>13.180766059266601</v>
      </c>
      <c r="CD86" s="782">
        <f>BD86</f>
        <v>12.4849</v>
      </c>
      <c r="CE86" s="715">
        <v>6.6876218938895002</v>
      </c>
      <c r="CF86" s="715">
        <v>13.011960831629301</v>
      </c>
      <c r="CG86" s="715">
        <v>12.452113855824701</v>
      </c>
      <c r="CH86" s="715">
        <v>14.1638045774507</v>
      </c>
      <c r="CI86" s="783">
        <v>11.7889497648763</v>
      </c>
    </row>
    <row r="87" spans="1:87" ht="14.25" customHeight="1">
      <c r="A87" s="12"/>
      <c r="B87" s="12"/>
      <c r="C87" s="12" t="s">
        <v>923</v>
      </c>
      <c r="D87" s="12"/>
      <c r="E87" s="662">
        <f>AVERAGE(BM16:BQ27)</f>
        <v>16.855510192182262</v>
      </c>
      <c r="F87" s="662">
        <f>AVERAGE(BS16:BW27)</f>
        <v>16.195028889155573</v>
      </c>
      <c r="G87" s="662">
        <f>AVERAGE(BY16:CC27)</f>
        <v>10.485944434620379</v>
      </c>
      <c r="H87" s="662">
        <f>AVERAGE(CE16:CI27)</f>
        <v>10.278506200183173</v>
      </c>
      <c r="I87" s="69"/>
      <c r="J87" s="5"/>
      <c r="K87" s="69"/>
      <c r="L87" s="785"/>
      <c r="M87" s="785"/>
      <c r="N87" s="785"/>
      <c r="O87" s="785"/>
      <c r="P87" s="785"/>
      <c r="Q87" s="785"/>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4.25" customHeight="1">
      <c r="A88" s="12"/>
      <c r="B88" s="12"/>
      <c r="C88" s="12" t="s">
        <v>924</v>
      </c>
      <c r="D88" s="12"/>
      <c r="E88" s="662">
        <f>AVERAGE(BM24:BQ35)</f>
        <v>14.892234450874573</v>
      </c>
      <c r="F88" s="662">
        <f>AVERAGE(BS24:BW35)</f>
        <v>14.540423109972403</v>
      </c>
      <c r="G88" s="662">
        <f>AVERAGE(BY24:CC35)</f>
        <v>8.8701398491107799</v>
      </c>
      <c r="H88" s="662">
        <f>AVERAGE(CE24:CI35)</f>
        <v>8.9448678093886382</v>
      </c>
      <c r="I88" s="69"/>
      <c r="J88" s="12"/>
      <c r="K88" s="69"/>
      <c r="L88" s="785"/>
      <c r="M88" s="785"/>
      <c r="N88" s="785"/>
      <c r="O88" s="785"/>
      <c r="P88" s="785"/>
      <c r="Q88" s="785"/>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4.25" customHeight="1">
      <c r="A89" s="12"/>
      <c r="B89" s="12"/>
      <c r="C89" s="12" t="s">
        <v>925</v>
      </c>
      <c r="D89" s="12"/>
      <c r="E89" s="662">
        <f>AVERAGE(BM36:BQ75)</f>
        <v>27.20363279358067</v>
      </c>
      <c r="F89" s="662">
        <f>AVERAGE(BS36:BW75)</f>
        <v>15.825453469779573</v>
      </c>
      <c r="G89" s="662">
        <f>AVERAGE(BY36:CC75)</f>
        <v>10.073825521986931</v>
      </c>
      <c r="H89" s="662">
        <f>AVERAGE(CE36:CI75)</f>
        <v>9.1998691858290744</v>
      </c>
      <c r="I89" s="662"/>
      <c r="J89" s="12"/>
      <c r="K89" s="69"/>
      <c r="L89" s="785"/>
      <c r="M89" s="785"/>
      <c r="N89" s="785"/>
      <c r="O89" s="785"/>
      <c r="P89" s="785"/>
      <c r="Q89" s="785"/>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4.25" customHeight="1">
      <c r="A90" s="12"/>
      <c r="B90" s="12"/>
      <c r="C90" s="12" t="s">
        <v>926</v>
      </c>
      <c r="D90" s="12"/>
      <c r="E90" s="662">
        <f>AVERAGE(BM36:BQ51)</f>
        <v>15.126464651316216</v>
      </c>
      <c r="F90" s="662">
        <f>AVERAGE(BS36:BW51)</f>
        <v>14.603483940485029</v>
      </c>
      <c r="G90" s="662">
        <f>AVERAGE(BY36:CC51)</f>
        <v>8.1705656986356576</v>
      </c>
      <c r="H90" s="662">
        <f>AVERAGE(CE36:CI51)</f>
        <v>7.7150307167356171</v>
      </c>
      <c r="I90" s="662"/>
      <c r="J90" s="12"/>
      <c r="K90" s="69"/>
      <c r="L90" s="785"/>
      <c r="M90" s="785"/>
      <c r="N90" s="785"/>
      <c r="O90" s="785"/>
      <c r="P90" s="785"/>
      <c r="Q90" s="785"/>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4.25" customHeight="1">
      <c r="A91" s="12"/>
      <c r="B91" s="12"/>
      <c r="C91" s="12" t="s">
        <v>927</v>
      </c>
      <c r="D91" s="12"/>
      <c r="E91" s="662">
        <f>AVERAGE(BM48:BQ63)</f>
        <v>15.360279171429923</v>
      </c>
      <c r="F91" s="662">
        <f>AVERAGE(BS48:BW63)</f>
        <v>14.410938400731766</v>
      </c>
      <c r="G91" s="662">
        <f>AVERAGE(BY48:CC63)</f>
        <v>9.4643020224305161</v>
      </c>
      <c r="H91" s="662">
        <f>AVERAGE(CE48:CI63)</f>
        <v>8.4730114987941256</v>
      </c>
      <c r="I91" s="662"/>
      <c r="J91" s="12"/>
      <c r="K91" s="69"/>
      <c r="L91" s="785"/>
      <c r="M91" s="785"/>
      <c r="N91" s="785"/>
      <c r="O91" s="785"/>
      <c r="P91" s="785"/>
      <c r="Q91" s="785"/>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4.25" customHeight="1">
      <c r="A92" s="12"/>
      <c r="B92" s="12"/>
      <c r="C92" s="12" t="s">
        <v>928</v>
      </c>
      <c r="D92" s="12"/>
      <c r="E92" s="662">
        <f>AVERAGE(BM60:BQ75)</f>
        <v>45.381556695035108</v>
      </c>
      <c r="F92" s="662">
        <f>AVERAGE(BS60:BW75)</f>
        <v>17.693592589074591</v>
      </c>
      <c r="G92" s="662">
        <f>AVERAGE(BY60:CC75)</f>
        <v>12.404240663294244</v>
      </c>
      <c r="H92" s="662">
        <f>AVERAGE(CE60:CI75)</f>
        <v>11.046036788960452</v>
      </c>
      <c r="I92" s="662"/>
      <c r="J92" s="12"/>
      <c r="K92" s="69"/>
      <c r="L92" s="785"/>
      <c r="M92" s="785"/>
      <c r="N92" s="785"/>
      <c r="O92" s="785"/>
      <c r="P92" s="785"/>
      <c r="Q92" s="785"/>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4.25" customHeight="1">
      <c r="A93" s="12"/>
      <c r="B93" s="12"/>
      <c r="C93" s="12"/>
      <c r="D93" s="12"/>
      <c r="E93" s="12"/>
      <c r="F93" s="12"/>
      <c r="G93" s="12"/>
      <c r="H93" s="12"/>
      <c r="I93" s="12"/>
      <c r="J93" s="12"/>
      <c r="K93" s="69"/>
      <c r="L93" s="785"/>
      <c r="M93" s="785"/>
      <c r="N93" s="785"/>
      <c r="O93" s="785"/>
      <c r="P93" s="785"/>
      <c r="Q93" s="785"/>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4.25" customHeight="1">
      <c r="A94" s="211" t="s">
        <v>1</v>
      </c>
      <c r="B94" s="12"/>
      <c r="C94" s="12"/>
      <c r="D94" s="12"/>
      <c r="E94" s="12"/>
      <c r="F94" s="12"/>
      <c r="G94" s="12"/>
      <c r="H94" s="12"/>
      <c r="I94" s="12"/>
      <c r="J94" s="12"/>
      <c r="K94" s="69"/>
      <c r="L94" s="785"/>
      <c r="M94" s="785"/>
      <c r="N94" s="785"/>
      <c r="O94" s="785"/>
      <c r="P94" s="785"/>
      <c r="Q94" s="785"/>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4.25" customHeight="1">
      <c r="A95" s="12"/>
      <c r="B95" s="12"/>
      <c r="C95" s="12"/>
      <c r="D95" s="12"/>
      <c r="E95" s="12"/>
      <c r="F95" s="12"/>
      <c r="G95" s="12"/>
      <c r="H95" s="12"/>
      <c r="I95" s="12"/>
      <c r="J95" s="12"/>
      <c r="K95" s="69"/>
      <c r="L95" s="785"/>
      <c r="M95" s="785"/>
      <c r="N95" s="785"/>
      <c r="O95" s="785"/>
      <c r="P95" s="785"/>
      <c r="Q95" s="785"/>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4.25" customHeight="1">
      <c r="A96" s="12"/>
      <c r="B96" s="12"/>
      <c r="C96" s="12"/>
      <c r="D96" s="12"/>
      <c r="E96" s="12"/>
      <c r="F96" s="12"/>
      <c r="G96" s="12"/>
      <c r="H96" s="12"/>
      <c r="I96" s="12"/>
      <c r="J96" s="12"/>
      <c r="K96" s="69"/>
      <c r="L96" s="785"/>
      <c r="M96" s="785"/>
      <c r="N96" s="785"/>
      <c r="O96" s="785"/>
      <c r="P96" s="785"/>
      <c r="Q96" s="785"/>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4.25" customHeight="1">
      <c r="A97" s="12"/>
      <c r="B97" s="12"/>
      <c r="C97" s="12"/>
      <c r="D97" s="12"/>
      <c r="E97" s="12"/>
      <c r="F97" s="12"/>
      <c r="G97" s="12"/>
      <c r="H97" s="12"/>
      <c r="I97" s="12"/>
      <c r="J97" s="12"/>
      <c r="K97" s="69"/>
      <c r="L97" s="785"/>
      <c r="M97" s="785"/>
      <c r="N97" s="785"/>
      <c r="O97" s="785"/>
      <c r="P97" s="785"/>
      <c r="Q97" s="785"/>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4.25" customHeight="1">
      <c r="A98" s="12"/>
      <c r="B98" s="12"/>
      <c r="C98" s="12"/>
      <c r="D98" s="12"/>
      <c r="E98" s="12"/>
      <c r="F98" s="12"/>
      <c r="G98" s="12"/>
      <c r="H98" s="12"/>
      <c r="I98" s="12"/>
      <c r="J98" s="12"/>
      <c r="K98" s="69"/>
      <c r="L98" s="785"/>
      <c r="M98" s="785"/>
      <c r="N98" s="785"/>
      <c r="O98" s="785"/>
      <c r="P98" s="785"/>
      <c r="Q98" s="785"/>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4.25" customHeight="1">
      <c r="A99" s="12"/>
      <c r="B99" s="12"/>
      <c r="C99" s="12"/>
      <c r="D99" s="12"/>
      <c r="E99" s="12"/>
      <c r="F99" s="12"/>
      <c r="G99" s="12"/>
      <c r="H99" s="12"/>
      <c r="I99" s="12"/>
      <c r="J99" s="12"/>
      <c r="K99" s="69"/>
      <c r="L99" s="785"/>
      <c r="M99" s="785"/>
      <c r="N99" s="785"/>
      <c r="O99" s="785"/>
      <c r="P99" s="785"/>
      <c r="Q99" s="785"/>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4.25" customHeight="1">
      <c r="A100" s="12"/>
      <c r="B100" s="12"/>
      <c r="C100" s="12"/>
      <c r="D100" s="12"/>
      <c r="E100" s="12"/>
      <c r="F100" s="12"/>
      <c r="G100" s="12"/>
      <c r="H100" s="12"/>
      <c r="I100" s="12"/>
      <c r="J100" s="12"/>
      <c r="K100" s="69"/>
      <c r="L100" s="785"/>
      <c r="M100" s="785"/>
      <c r="N100" s="785"/>
      <c r="O100" s="785"/>
      <c r="P100" s="785"/>
      <c r="Q100" s="785"/>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ht="14.25" customHeight="1">
      <c r="A101" s="12"/>
      <c r="B101" s="12"/>
      <c r="C101" s="12"/>
      <c r="D101" s="12"/>
      <c r="E101" s="12"/>
      <c r="F101" s="12"/>
      <c r="G101" s="12"/>
      <c r="H101" s="12"/>
      <c r="I101" s="12"/>
      <c r="J101" s="12"/>
      <c r="K101" s="69"/>
      <c r="L101" s="785"/>
      <c r="M101" s="785"/>
      <c r="N101" s="785"/>
      <c r="O101" s="785"/>
      <c r="P101" s="785"/>
      <c r="Q101" s="785"/>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ht="14.25" customHeight="1">
      <c r="A102" s="12"/>
      <c r="B102" s="12"/>
      <c r="C102" s="12"/>
      <c r="D102" s="12"/>
      <c r="E102" s="12"/>
      <c r="F102" s="12"/>
      <c r="G102" s="12"/>
      <c r="H102" s="12"/>
      <c r="I102" s="12"/>
      <c r="J102" s="12"/>
      <c r="K102" s="69"/>
      <c r="L102" s="785"/>
      <c r="M102" s="785"/>
      <c r="N102" s="785"/>
      <c r="O102" s="785"/>
      <c r="P102" s="785"/>
      <c r="Q102" s="785"/>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4.25" customHeight="1">
      <c r="A103" s="12"/>
      <c r="B103" s="12"/>
      <c r="C103" s="12"/>
      <c r="D103" s="12"/>
      <c r="E103" s="12"/>
      <c r="F103" s="12"/>
      <c r="G103" s="12"/>
      <c r="H103" s="12"/>
      <c r="I103" s="12"/>
      <c r="J103" s="12"/>
      <c r="K103" s="69"/>
      <c r="L103" s="785"/>
      <c r="M103" s="785"/>
      <c r="N103" s="785"/>
      <c r="O103" s="785"/>
      <c r="P103" s="785"/>
      <c r="Q103" s="785"/>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4.25" customHeight="1">
      <c r="A104" s="12"/>
      <c r="B104" s="12"/>
      <c r="C104" s="12"/>
      <c r="D104" s="12"/>
      <c r="E104" s="12"/>
      <c r="F104" s="12"/>
      <c r="G104" s="12"/>
      <c r="H104" s="12"/>
      <c r="I104" s="12"/>
      <c r="J104" s="12"/>
      <c r="K104" s="69"/>
      <c r="L104" s="785"/>
      <c r="M104" s="785"/>
      <c r="N104" s="785"/>
      <c r="O104" s="785"/>
      <c r="P104" s="785"/>
      <c r="Q104" s="785"/>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4.25" customHeight="1">
      <c r="A105" s="12"/>
      <c r="B105" s="12"/>
      <c r="C105" s="12"/>
      <c r="D105" s="12"/>
      <c r="E105" s="12"/>
      <c r="F105" s="12"/>
      <c r="G105" s="12"/>
      <c r="H105" s="12"/>
      <c r="I105" s="12"/>
      <c r="J105" s="12"/>
      <c r="K105" s="69"/>
      <c r="L105" s="785"/>
      <c r="M105" s="785"/>
      <c r="N105" s="785"/>
      <c r="O105" s="785"/>
      <c r="P105" s="785"/>
      <c r="Q105" s="785"/>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4.25" customHeight="1">
      <c r="A106" s="12"/>
      <c r="B106" s="12"/>
      <c r="C106" s="12"/>
      <c r="D106" s="12"/>
      <c r="E106" s="12"/>
      <c r="F106" s="12"/>
      <c r="G106" s="12"/>
      <c r="H106" s="12"/>
      <c r="I106" s="12"/>
      <c r="J106" s="12"/>
      <c r="K106" s="69"/>
      <c r="L106" s="785"/>
      <c r="M106" s="785"/>
      <c r="N106" s="785"/>
      <c r="O106" s="785"/>
      <c r="P106" s="785"/>
      <c r="Q106" s="785"/>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ht="14.25" customHeight="1">
      <c r="A107" s="12"/>
      <c r="B107" s="12"/>
      <c r="C107" s="12"/>
      <c r="D107" s="12"/>
      <c r="E107" s="12"/>
      <c r="F107" s="12"/>
      <c r="G107" s="12"/>
      <c r="H107" s="12"/>
      <c r="I107" s="12"/>
      <c r="J107" s="12"/>
      <c r="K107" s="69"/>
      <c r="L107" s="785"/>
      <c r="M107" s="785"/>
      <c r="N107" s="785"/>
      <c r="O107" s="785"/>
      <c r="P107" s="785"/>
      <c r="Q107" s="785"/>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4.25" customHeight="1">
      <c r="A108" s="12"/>
      <c r="B108" s="12"/>
      <c r="C108" s="12"/>
      <c r="D108" s="12"/>
      <c r="E108" s="12"/>
      <c r="F108" s="12"/>
      <c r="G108" s="12"/>
      <c r="H108" s="12"/>
      <c r="I108" s="12"/>
      <c r="J108" s="12"/>
      <c r="K108" s="69"/>
      <c r="L108" s="785"/>
      <c r="M108" s="785"/>
      <c r="N108" s="785"/>
      <c r="O108" s="785"/>
      <c r="P108" s="785"/>
      <c r="Q108" s="785"/>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4.25" customHeight="1">
      <c r="A109" s="12"/>
      <c r="B109" s="12"/>
      <c r="C109" s="12"/>
      <c r="D109" s="12"/>
      <c r="E109" s="12"/>
      <c r="F109" s="12"/>
      <c r="G109" s="12"/>
      <c r="H109" s="12"/>
      <c r="I109" s="12"/>
      <c r="J109" s="12"/>
      <c r="K109" s="69"/>
      <c r="L109" s="785"/>
      <c r="M109" s="785"/>
      <c r="N109" s="785"/>
      <c r="O109" s="785"/>
      <c r="P109" s="785"/>
      <c r="Q109" s="785"/>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ht="14.25" customHeight="1">
      <c r="A110" s="12"/>
      <c r="B110" s="12"/>
      <c r="C110" s="12"/>
      <c r="D110" s="12"/>
      <c r="E110" s="12"/>
      <c r="F110" s="12"/>
      <c r="G110" s="12"/>
      <c r="H110" s="12"/>
      <c r="I110" s="12"/>
      <c r="J110" s="12"/>
      <c r="K110" s="69"/>
      <c r="L110" s="785"/>
      <c r="M110" s="785"/>
      <c r="N110" s="785"/>
      <c r="O110" s="785"/>
      <c r="P110" s="785"/>
      <c r="Q110" s="785"/>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ht="14.25" customHeight="1">
      <c r="A111" s="12"/>
      <c r="B111" s="12"/>
      <c r="C111" s="12"/>
      <c r="D111" s="12"/>
      <c r="E111" s="12"/>
      <c r="F111" s="12"/>
      <c r="G111" s="12"/>
      <c r="H111" s="12"/>
      <c r="I111" s="12"/>
      <c r="J111" s="12"/>
      <c r="K111" s="69"/>
      <c r="L111" s="785"/>
      <c r="M111" s="785"/>
      <c r="N111" s="785"/>
      <c r="O111" s="785"/>
      <c r="P111" s="785"/>
      <c r="Q111" s="785"/>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ht="14.25" customHeight="1">
      <c r="A112" s="12"/>
      <c r="B112" s="12"/>
      <c r="C112" s="12"/>
      <c r="D112" s="12"/>
      <c r="E112" s="12"/>
      <c r="F112" s="12"/>
      <c r="G112" s="12"/>
      <c r="H112" s="12"/>
      <c r="I112" s="12"/>
      <c r="J112" s="12"/>
      <c r="K112" s="69"/>
      <c r="L112" s="785"/>
      <c r="M112" s="785"/>
      <c r="N112" s="785"/>
      <c r="O112" s="785"/>
      <c r="P112" s="785"/>
      <c r="Q112" s="785"/>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ht="14.25" customHeight="1">
      <c r="A113" s="12"/>
      <c r="B113" s="12"/>
      <c r="C113" s="12"/>
      <c r="D113" s="12"/>
      <c r="E113" s="12"/>
      <c r="F113" s="12"/>
      <c r="G113" s="12"/>
      <c r="H113" s="12"/>
      <c r="I113" s="12"/>
      <c r="J113" s="12"/>
      <c r="K113" s="69"/>
      <c r="L113" s="785"/>
      <c r="M113" s="785"/>
      <c r="N113" s="785"/>
      <c r="O113" s="785"/>
      <c r="P113" s="785"/>
      <c r="Q113" s="785"/>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ht="14.25" customHeight="1">
      <c r="A114" s="12"/>
      <c r="B114" s="12"/>
      <c r="C114" s="12"/>
      <c r="D114" s="12"/>
      <c r="E114" s="12"/>
      <c r="F114" s="12"/>
      <c r="G114" s="12"/>
      <c r="H114" s="12"/>
      <c r="I114" s="12"/>
      <c r="J114" s="12"/>
      <c r="K114" s="69"/>
      <c r="L114" s="785"/>
      <c r="M114" s="785"/>
      <c r="N114" s="785"/>
      <c r="O114" s="785"/>
      <c r="P114" s="785"/>
      <c r="Q114" s="785"/>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ht="14.25" customHeight="1">
      <c r="A115" s="12"/>
      <c r="B115" s="12"/>
      <c r="C115" s="12"/>
      <c r="D115" s="12"/>
      <c r="E115" s="12"/>
      <c r="F115" s="12"/>
      <c r="G115" s="12"/>
      <c r="H115" s="12"/>
      <c r="I115" s="12"/>
      <c r="J115" s="12"/>
      <c r="K115" s="69"/>
      <c r="L115" s="785"/>
      <c r="M115" s="785"/>
      <c r="N115" s="785"/>
      <c r="O115" s="785"/>
      <c r="P115" s="785"/>
      <c r="Q115" s="785"/>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ht="14.25" customHeight="1">
      <c r="A116" s="12"/>
      <c r="B116" s="12"/>
      <c r="C116" s="12"/>
      <c r="D116" s="12"/>
      <c r="E116" s="12"/>
      <c r="F116" s="12"/>
      <c r="G116" s="12"/>
      <c r="H116" s="12"/>
      <c r="I116" s="12"/>
      <c r="J116" s="12"/>
      <c r="K116" s="69"/>
      <c r="L116" s="785"/>
      <c r="M116" s="785"/>
      <c r="N116" s="785"/>
      <c r="O116" s="785"/>
      <c r="P116" s="785"/>
      <c r="Q116" s="785"/>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ht="14.25" customHeight="1">
      <c r="A117" s="12"/>
      <c r="B117" s="12"/>
      <c r="C117" s="12"/>
      <c r="D117" s="12"/>
      <c r="E117" s="12"/>
      <c r="F117" s="12"/>
      <c r="G117" s="12"/>
      <c r="H117" s="12"/>
      <c r="I117" s="12"/>
      <c r="J117" s="12"/>
      <c r="K117" s="69"/>
      <c r="L117" s="785"/>
      <c r="M117" s="785"/>
      <c r="N117" s="785"/>
      <c r="O117" s="785"/>
      <c r="P117" s="785"/>
      <c r="Q117" s="785"/>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ht="14.25" customHeight="1">
      <c r="A118" s="12"/>
      <c r="B118" s="12"/>
      <c r="C118" s="12"/>
      <c r="D118" s="12"/>
      <c r="E118" s="12"/>
      <c r="F118" s="12"/>
      <c r="G118" s="12"/>
      <c r="H118" s="12"/>
      <c r="I118" s="12"/>
      <c r="J118" s="12"/>
      <c r="K118" s="69"/>
      <c r="L118" s="785"/>
      <c r="M118" s="785"/>
      <c r="N118" s="785"/>
      <c r="O118" s="785"/>
      <c r="P118" s="785"/>
      <c r="Q118" s="785"/>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ht="14.25" customHeight="1">
      <c r="A119" s="12"/>
      <c r="B119" s="12"/>
      <c r="C119" s="12"/>
      <c r="D119" s="12"/>
      <c r="E119" s="12"/>
      <c r="F119" s="12"/>
      <c r="G119" s="12"/>
      <c r="H119" s="12"/>
      <c r="I119" s="12"/>
      <c r="J119" s="12"/>
      <c r="K119" s="69"/>
      <c r="L119" s="785"/>
      <c r="M119" s="785"/>
      <c r="N119" s="785"/>
      <c r="O119" s="785"/>
      <c r="P119" s="785"/>
      <c r="Q119" s="785"/>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ht="14.25" customHeight="1">
      <c r="A120" s="12"/>
      <c r="B120" s="12"/>
      <c r="C120" s="12"/>
      <c r="D120" s="12"/>
      <c r="E120" s="12"/>
      <c r="F120" s="12"/>
      <c r="G120" s="12"/>
      <c r="H120" s="12"/>
      <c r="I120" s="12"/>
      <c r="J120" s="12"/>
      <c r="K120" s="69"/>
      <c r="L120" s="785"/>
      <c r="M120" s="785"/>
      <c r="N120" s="785"/>
      <c r="O120" s="785"/>
      <c r="P120" s="785"/>
      <c r="Q120" s="785"/>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ht="14.25" customHeight="1">
      <c r="A121" s="12"/>
      <c r="B121" s="12"/>
      <c r="C121" s="12"/>
      <c r="D121" s="12"/>
      <c r="E121" s="12"/>
      <c r="F121" s="12"/>
      <c r="G121" s="12"/>
      <c r="H121" s="12"/>
      <c r="I121" s="12"/>
      <c r="J121" s="12"/>
      <c r="K121" s="69"/>
      <c r="L121" s="785"/>
      <c r="M121" s="785"/>
      <c r="N121" s="785"/>
      <c r="O121" s="785"/>
      <c r="P121" s="785"/>
      <c r="Q121" s="785"/>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ht="14.25" customHeight="1">
      <c r="A122" s="12"/>
      <c r="B122" s="12"/>
      <c r="C122" s="12"/>
      <c r="D122" s="12"/>
      <c r="E122" s="12"/>
      <c r="F122" s="12"/>
      <c r="G122" s="12"/>
      <c r="H122" s="12"/>
      <c r="I122" s="12"/>
      <c r="J122" s="12"/>
      <c r="K122" s="69"/>
      <c r="L122" s="785"/>
      <c r="M122" s="785"/>
      <c r="N122" s="785"/>
      <c r="O122" s="785"/>
      <c r="P122" s="785"/>
      <c r="Q122" s="785"/>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ht="14.25" customHeight="1">
      <c r="A123" s="12"/>
      <c r="B123" s="12"/>
      <c r="C123" s="12"/>
      <c r="D123" s="12"/>
      <c r="E123" s="12"/>
      <c r="F123" s="12"/>
      <c r="G123" s="12"/>
      <c r="H123" s="12"/>
      <c r="I123" s="12"/>
      <c r="J123" s="12"/>
      <c r="K123" s="69"/>
      <c r="L123" s="785"/>
      <c r="M123" s="785"/>
      <c r="N123" s="785"/>
      <c r="O123" s="785"/>
      <c r="P123" s="785"/>
      <c r="Q123" s="785"/>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ht="14.25" customHeight="1">
      <c r="A124" s="12"/>
      <c r="B124" s="12"/>
      <c r="C124" s="12"/>
      <c r="D124" s="12"/>
      <c r="E124" s="12"/>
      <c r="F124" s="12"/>
      <c r="G124" s="12"/>
      <c r="H124" s="12"/>
      <c r="I124" s="12"/>
      <c r="J124" s="12"/>
      <c r="K124" s="69"/>
      <c r="L124" s="785"/>
      <c r="M124" s="785"/>
      <c r="N124" s="785"/>
      <c r="O124" s="785"/>
      <c r="P124" s="785"/>
      <c r="Q124" s="785"/>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ht="14.25" customHeight="1">
      <c r="A125" s="12"/>
      <c r="B125" s="12"/>
      <c r="C125" s="12"/>
      <c r="D125" s="12"/>
      <c r="E125" s="12"/>
      <c r="F125" s="12"/>
      <c r="G125" s="12"/>
      <c r="H125" s="12"/>
      <c r="I125" s="12"/>
      <c r="J125" s="12"/>
      <c r="K125" s="69"/>
      <c r="L125" s="785"/>
      <c r="M125" s="785"/>
      <c r="N125" s="785"/>
      <c r="O125" s="785"/>
      <c r="P125" s="785"/>
      <c r="Q125" s="785"/>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ht="14.25" customHeight="1">
      <c r="A126" s="12"/>
      <c r="B126" s="12"/>
      <c r="C126" s="12"/>
      <c r="D126" s="12"/>
      <c r="E126" s="12"/>
      <c r="F126" s="12"/>
      <c r="G126" s="12"/>
      <c r="H126" s="12"/>
      <c r="I126" s="12"/>
      <c r="J126" s="12"/>
      <c r="K126" s="69"/>
      <c r="L126" s="785"/>
      <c r="M126" s="785"/>
      <c r="N126" s="785"/>
      <c r="O126" s="785"/>
      <c r="P126" s="785"/>
      <c r="Q126" s="785"/>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ht="14.25" customHeight="1">
      <c r="A127" s="12"/>
      <c r="B127" s="12"/>
      <c r="C127" s="12"/>
      <c r="D127" s="12"/>
      <c r="E127" s="12"/>
      <c r="F127" s="12"/>
      <c r="G127" s="12"/>
      <c r="H127" s="12"/>
      <c r="I127" s="12"/>
      <c r="J127" s="12"/>
      <c r="K127" s="69"/>
      <c r="L127" s="785"/>
      <c r="M127" s="785"/>
      <c r="N127" s="785"/>
      <c r="O127" s="785"/>
      <c r="P127" s="785"/>
      <c r="Q127" s="785"/>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ht="14.25" customHeight="1">
      <c r="A128" s="12"/>
      <c r="B128" s="12"/>
      <c r="C128" s="12"/>
      <c r="D128" s="12"/>
      <c r="E128" s="12"/>
      <c r="F128" s="12"/>
      <c r="G128" s="12"/>
      <c r="H128" s="12"/>
      <c r="I128" s="12"/>
      <c r="J128" s="12"/>
      <c r="K128" s="69"/>
      <c r="L128" s="785"/>
      <c r="M128" s="785"/>
      <c r="N128" s="785"/>
      <c r="O128" s="785"/>
      <c r="P128" s="785"/>
      <c r="Q128" s="785"/>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ht="14.25" customHeight="1">
      <c r="A129" s="12"/>
      <c r="B129" s="12"/>
      <c r="C129" s="12"/>
      <c r="D129" s="12"/>
      <c r="E129" s="12"/>
      <c r="F129" s="12"/>
      <c r="G129" s="12"/>
      <c r="H129" s="12"/>
      <c r="I129" s="12"/>
      <c r="J129" s="12"/>
      <c r="K129" s="69"/>
      <c r="L129" s="785"/>
      <c r="M129" s="785"/>
      <c r="N129" s="785"/>
      <c r="O129" s="785"/>
      <c r="P129" s="785"/>
      <c r="Q129" s="785"/>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ht="14.25" customHeight="1">
      <c r="A130" s="12"/>
      <c r="B130" s="12"/>
      <c r="C130" s="12"/>
      <c r="D130" s="12"/>
      <c r="E130" s="12"/>
      <c r="F130" s="12"/>
      <c r="G130" s="12"/>
      <c r="H130" s="12"/>
      <c r="I130" s="12"/>
      <c r="J130" s="12"/>
      <c r="K130" s="69"/>
      <c r="L130" s="785"/>
      <c r="M130" s="785"/>
      <c r="N130" s="785"/>
      <c r="O130" s="785"/>
      <c r="P130" s="785"/>
      <c r="Q130" s="785"/>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ht="14.25" customHeight="1">
      <c r="A131" s="12"/>
      <c r="B131" s="12"/>
      <c r="C131" s="12"/>
      <c r="D131" s="12"/>
      <c r="E131" s="12"/>
      <c r="F131" s="12"/>
      <c r="G131" s="12"/>
      <c r="H131" s="12"/>
      <c r="I131" s="12"/>
      <c r="J131" s="12"/>
      <c r="K131" s="69"/>
      <c r="L131" s="785"/>
      <c r="M131" s="785"/>
      <c r="N131" s="785"/>
      <c r="O131" s="785"/>
      <c r="P131" s="785"/>
      <c r="Q131" s="785"/>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ht="14.25" customHeight="1">
      <c r="A132" s="12"/>
      <c r="B132" s="12"/>
      <c r="C132" s="12"/>
      <c r="D132" s="12"/>
      <c r="E132" s="12"/>
      <c r="F132" s="12"/>
      <c r="G132" s="12"/>
      <c r="H132" s="12"/>
      <c r="I132" s="12"/>
      <c r="J132" s="12"/>
      <c r="K132" s="69"/>
      <c r="L132" s="785"/>
      <c r="M132" s="785"/>
      <c r="N132" s="785"/>
      <c r="O132" s="785"/>
      <c r="P132" s="785"/>
      <c r="Q132" s="785"/>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ht="14.25" customHeight="1">
      <c r="A133" s="12"/>
      <c r="B133" s="12"/>
      <c r="C133" s="12"/>
      <c r="D133" s="12"/>
      <c r="E133" s="12"/>
      <c r="F133" s="12"/>
      <c r="G133" s="12"/>
      <c r="H133" s="12"/>
      <c r="I133" s="12"/>
      <c r="J133" s="12"/>
      <c r="K133" s="69"/>
      <c r="L133" s="785"/>
      <c r="M133" s="785"/>
      <c r="N133" s="785"/>
      <c r="O133" s="785"/>
      <c r="P133" s="785"/>
      <c r="Q133" s="785"/>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ht="14.25" customHeight="1">
      <c r="A134" s="12"/>
      <c r="B134" s="12"/>
      <c r="C134" s="12"/>
      <c r="D134" s="12"/>
      <c r="E134" s="12"/>
      <c r="F134" s="12"/>
      <c r="G134" s="12"/>
      <c r="H134" s="12"/>
      <c r="I134" s="12"/>
      <c r="J134" s="12"/>
      <c r="K134" s="69"/>
      <c r="L134" s="785"/>
      <c r="M134" s="785"/>
      <c r="N134" s="785"/>
      <c r="O134" s="785"/>
      <c r="P134" s="785"/>
      <c r="Q134" s="785"/>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ht="14.25" customHeight="1">
      <c r="A135" s="12"/>
      <c r="B135" s="12"/>
      <c r="C135" s="12"/>
      <c r="D135" s="12"/>
      <c r="E135" s="12"/>
      <c r="F135" s="12"/>
      <c r="G135" s="12"/>
      <c r="H135" s="12"/>
      <c r="I135" s="12"/>
      <c r="J135" s="12"/>
      <c r="K135" s="69"/>
      <c r="L135" s="785"/>
      <c r="M135" s="785"/>
      <c r="N135" s="785"/>
      <c r="O135" s="785"/>
      <c r="P135" s="785"/>
      <c r="Q135" s="785"/>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ht="14.25" customHeight="1">
      <c r="A136" s="12"/>
      <c r="B136" s="12"/>
      <c r="C136" s="12"/>
      <c r="D136" s="12"/>
      <c r="E136" s="12"/>
      <c r="F136" s="12"/>
      <c r="G136" s="12"/>
      <c r="H136" s="12"/>
      <c r="I136" s="12"/>
      <c r="J136" s="12"/>
      <c r="K136" s="69"/>
      <c r="L136" s="785"/>
      <c r="M136" s="785"/>
      <c r="N136" s="12"/>
      <c r="O136" s="785"/>
      <c r="P136" s="785"/>
      <c r="Q136" s="785"/>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ht="14.25" customHeight="1">
      <c r="A137" s="12"/>
      <c r="B137" s="12"/>
      <c r="C137" s="12"/>
      <c r="D137" s="12"/>
      <c r="E137" s="12"/>
      <c r="F137" s="12"/>
      <c r="G137" s="12"/>
      <c r="H137" s="12"/>
      <c r="I137" s="12"/>
      <c r="J137" s="12"/>
      <c r="K137" s="69"/>
      <c r="L137" s="785"/>
      <c r="M137" s="785"/>
      <c r="N137" s="12"/>
      <c r="O137" s="785"/>
      <c r="P137" s="785"/>
      <c r="Q137" s="785"/>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ht="14.25" customHeight="1">
      <c r="A138" s="12"/>
      <c r="B138" s="12"/>
      <c r="C138" s="12"/>
      <c r="D138" s="12"/>
      <c r="E138" s="12"/>
      <c r="F138" s="12"/>
      <c r="G138" s="12"/>
      <c r="H138" s="12"/>
      <c r="I138" s="12"/>
      <c r="J138" s="12"/>
      <c r="K138" s="69"/>
      <c r="L138" s="785"/>
      <c r="M138" s="785"/>
      <c r="N138" s="12"/>
      <c r="O138" s="785"/>
      <c r="P138" s="785"/>
      <c r="Q138" s="785"/>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ht="14.25" customHeight="1">
      <c r="A139" s="12"/>
      <c r="B139" s="12"/>
      <c r="C139" s="12"/>
      <c r="D139" s="12"/>
      <c r="E139" s="12"/>
      <c r="F139" s="12"/>
      <c r="G139" s="12"/>
      <c r="H139" s="12"/>
      <c r="I139" s="12"/>
      <c r="J139" s="12"/>
      <c r="K139" s="69"/>
      <c r="L139" s="785"/>
      <c r="M139" s="785"/>
      <c r="N139" s="12"/>
      <c r="O139" s="785"/>
      <c r="P139" s="785"/>
      <c r="Q139" s="785"/>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ht="14.25" customHeight="1">
      <c r="A140" s="4"/>
      <c r="B140" s="4"/>
      <c r="C140" s="4"/>
      <c r="D140" s="4"/>
      <c r="E140" s="4"/>
      <c r="F140" s="4"/>
      <c r="G140" s="4"/>
      <c r="H140" s="4"/>
      <c r="I140" s="4"/>
      <c r="J140" s="12"/>
      <c r="K140" s="69"/>
      <c r="L140" s="785"/>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spans="1:30" ht="13.5" customHeight="1">
      <c r="A1" s="7"/>
      <c r="B1" s="7"/>
      <c r="C1" s="8" t="str">
        <f ca="1">Company_Name&amp;" - "&amp;MID(CELL("filename",A1),FIND("]",CELL("filename",A1))+1,255)&amp;": "&amp;Case_Scenario&amp;" Case"</f>
        <v>NETFLIX INC - Charts: Base Case</v>
      </c>
      <c r="D1" s="7"/>
      <c r="E1" s="7"/>
      <c r="F1" s="7"/>
      <c r="G1" s="7"/>
      <c r="H1" s="7"/>
      <c r="I1" s="7"/>
      <c r="J1" s="7"/>
      <c r="K1" s="7"/>
      <c r="L1" s="7"/>
      <c r="M1" s="7"/>
      <c r="N1" s="7"/>
      <c r="O1" s="7"/>
      <c r="P1" s="7"/>
      <c r="Q1" s="7"/>
      <c r="R1" s="7"/>
      <c r="S1" s="7"/>
      <c r="T1" s="7"/>
      <c r="U1" s="7"/>
      <c r="V1" s="7"/>
      <c r="W1" s="7"/>
      <c r="X1" s="7"/>
      <c r="Y1" s="7"/>
      <c r="Z1" s="7"/>
      <c r="AA1" s="7"/>
      <c r="AB1" s="7"/>
      <c r="AC1" s="7"/>
      <c r="AD1" s="7"/>
    </row>
    <row r="2" spans="1:30"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ht="13.5" customHeight="1">
      <c r="A3" s="5" t="s">
        <v>1</v>
      </c>
      <c r="B3" s="12"/>
      <c r="C3" s="12"/>
      <c r="D3" s="12"/>
      <c r="E3" s="12"/>
      <c r="F3" s="12"/>
      <c r="G3" s="12"/>
      <c r="H3" s="12"/>
      <c r="I3" s="12"/>
      <c r="J3" s="12"/>
      <c r="K3" s="12"/>
      <c r="L3" s="12"/>
      <c r="M3" s="12"/>
      <c r="N3" s="12"/>
      <c r="O3" s="12"/>
      <c r="P3" s="12"/>
      <c r="Q3" s="12"/>
      <c r="R3" s="12"/>
      <c r="S3" s="12" t="s">
        <v>1</v>
      </c>
      <c r="T3" s="12"/>
      <c r="U3" s="12"/>
      <c r="V3" s="12"/>
      <c r="W3" s="12"/>
      <c r="X3" s="12"/>
      <c r="Y3" s="12"/>
      <c r="Z3" s="12"/>
      <c r="AA3" s="12"/>
      <c r="AB3" s="12"/>
      <c r="AC3" s="12"/>
      <c r="AD3" s="12"/>
    </row>
    <row r="4" spans="1:30" ht="13.5" customHeight="1">
      <c r="A4" s="13"/>
      <c r="B4" s="12"/>
      <c r="C4" s="81" t="s">
        <v>929</v>
      </c>
      <c r="D4" s="82"/>
      <c r="E4" s="82"/>
      <c r="F4" s="82"/>
      <c r="G4" s="82"/>
      <c r="H4" s="82"/>
      <c r="I4" s="82"/>
      <c r="J4" s="12"/>
      <c r="K4" s="12"/>
      <c r="L4" s="12"/>
      <c r="M4" s="12"/>
      <c r="N4" s="12"/>
      <c r="O4" s="12"/>
      <c r="P4" s="12"/>
      <c r="Q4" s="12"/>
      <c r="R4" s="12"/>
      <c r="S4" s="12"/>
      <c r="T4" s="12"/>
      <c r="U4" s="12"/>
      <c r="V4" s="12"/>
      <c r="W4" s="12"/>
      <c r="X4" s="12"/>
      <c r="Y4" s="12"/>
      <c r="Z4" s="12"/>
      <c r="AA4" s="12"/>
      <c r="AB4" s="12"/>
      <c r="AC4" s="12"/>
      <c r="AD4" s="12"/>
    </row>
    <row r="5" spans="1:30" ht="13.5" customHeight="1">
      <c r="A5" s="13"/>
      <c r="B5" s="12"/>
      <c r="C5" s="149"/>
      <c r="D5" s="149"/>
      <c r="E5" s="149"/>
      <c r="F5" s="149"/>
      <c r="G5" s="149"/>
      <c r="H5" s="149"/>
      <c r="I5" s="149"/>
      <c r="J5" s="12"/>
      <c r="K5" s="12"/>
      <c r="L5" s="12"/>
      <c r="M5" s="12"/>
      <c r="N5" s="12"/>
      <c r="O5" s="12"/>
      <c r="P5" s="12"/>
      <c r="Q5" s="12"/>
      <c r="R5" s="12"/>
      <c r="S5" s="12"/>
      <c r="T5" s="12"/>
      <c r="U5" s="12"/>
      <c r="V5" s="12"/>
      <c r="W5" s="12"/>
      <c r="X5" s="12"/>
      <c r="Y5" s="12"/>
      <c r="Z5" s="12"/>
      <c r="AA5" s="12"/>
      <c r="AB5" s="12"/>
      <c r="AC5" s="12"/>
      <c r="AD5" s="12"/>
    </row>
    <row r="6" spans="1:30" ht="13.5" customHeight="1">
      <c r="A6" s="13"/>
      <c r="B6" s="12"/>
      <c r="C6" s="143"/>
      <c r="D6" s="786">
        <f>Summary!T$6</f>
        <v>2023</v>
      </c>
      <c r="E6" s="786">
        <f>Summary!U$6</f>
        <v>2024</v>
      </c>
      <c r="F6" s="786">
        <f>Summary!V$6</f>
        <v>2025</v>
      </c>
      <c r="G6" s="786" t="str">
        <f>Summary!W$6</f>
        <v>2026e</v>
      </c>
      <c r="H6" s="786" t="str">
        <f>Summary!X$6</f>
        <v>2027e</v>
      </c>
      <c r="I6" s="787" t="str">
        <f>Summary!Y$6</f>
        <v>2028e</v>
      </c>
      <c r="J6" s="12"/>
      <c r="K6" s="788"/>
      <c r="L6" s="12"/>
      <c r="M6" s="12"/>
      <c r="N6" s="12"/>
      <c r="O6" s="12"/>
      <c r="P6" s="12"/>
      <c r="Q6" s="12"/>
      <c r="R6" s="12"/>
      <c r="S6" s="12"/>
      <c r="T6" s="12"/>
      <c r="U6" s="12"/>
      <c r="V6" s="12"/>
      <c r="W6" s="12"/>
      <c r="X6" s="12"/>
      <c r="Y6" s="12"/>
      <c r="Z6" s="12"/>
      <c r="AA6" s="12"/>
      <c r="AB6" s="12"/>
      <c r="AC6" s="12"/>
      <c r="AD6" s="12"/>
    </row>
    <row r="7" spans="1:30" ht="13.5" customHeight="1">
      <c r="A7" s="13"/>
      <c r="B7" s="12"/>
      <c r="C7" s="789" t="s">
        <v>275</v>
      </c>
      <c r="D7" s="790">
        <f>Summary!T16</f>
        <v>-0.14568474725350836</v>
      </c>
      <c r="E7" s="790">
        <f>Summary!U16</f>
        <v>0.26711169154117881</v>
      </c>
      <c r="F7" s="790">
        <f>Summary!V16</f>
        <v>0.29494704605507255</v>
      </c>
      <c r="G7" s="790">
        <f>Summary!W16</f>
        <v>0.10253621065765144</v>
      </c>
      <c r="H7" s="790">
        <f>Summary!X16</f>
        <v>-0.10015651845772622</v>
      </c>
      <c r="I7" s="790">
        <f>Summary!Y16</f>
        <v>-8.9230245486357079E-2</v>
      </c>
      <c r="J7" s="12"/>
      <c r="K7" s="12"/>
      <c r="L7" s="12"/>
      <c r="M7" s="12"/>
      <c r="N7" s="12"/>
      <c r="O7" s="12"/>
      <c r="P7" s="12"/>
      <c r="Q7" s="12"/>
      <c r="R7" s="12"/>
      <c r="S7" s="12"/>
      <c r="T7" s="12"/>
      <c r="U7" s="12"/>
      <c r="V7" s="12"/>
      <c r="W7" s="12"/>
      <c r="X7" s="12"/>
      <c r="Y7" s="12"/>
      <c r="Z7" s="791"/>
      <c r="AA7" s="12"/>
      <c r="AB7" s="12"/>
      <c r="AC7" s="12"/>
      <c r="AD7" s="12"/>
    </row>
    <row r="8" spans="1:30" ht="13.5" customHeight="1">
      <c r="A8" s="13"/>
      <c r="B8" s="12"/>
      <c r="C8" s="789" t="s">
        <v>292</v>
      </c>
      <c r="D8" s="790">
        <f>Summary!T28</f>
        <v>-8.0344457423602342E-2</v>
      </c>
      <c r="E8" s="790">
        <f>Summary!U28</f>
        <v>0.28037838857632397</v>
      </c>
      <c r="F8" s="790">
        <f>Summary!V28</f>
        <v>0.32051546956694105</v>
      </c>
      <c r="G8" s="790" t="str">
        <f ca="1">Summary!W28</f>
        <v/>
      </c>
      <c r="H8" s="790" t="str">
        <f ca="1">Summary!X28</f>
        <v/>
      </c>
      <c r="I8" s="790" t="str">
        <f ca="1">Summary!Y28</f>
        <v/>
      </c>
      <c r="J8" s="12"/>
      <c r="K8" s="12"/>
      <c r="L8" s="12"/>
      <c r="M8" s="12"/>
      <c r="N8" s="12"/>
      <c r="O8" s="12"/>
      <c r="P8" s="12"/>
      <c r="Q8" s="12"/>
      <c r="R8" s="12"/>
      <c r="S8" s="12"/>
      <c r="T8" s="12"/>
      <c r="U8" s="12"/>
      <c r="V8" s="12"/>
      <c r="W8" s="12"/>
      <c r="X8" s="12"/>
      <c r="Y8" s="12"/>
      <c r="Z8" s="12"/>
      <c r="AA8" s="12"/>
      <c r="AB8" s="12"/>
      <c r="AC8" s="12"/>
      <c r="AD8" s="12"/>
    </row>
    <row r="9" spans="1:30" ht="13.5" customHeight="1">
      <c r="A9" s="13"/>
      <c r="B9" s="12"/>
      <c r="C9" s="792" t="s">
        <v>930</v>
      </c>
      <c r="D9" s="793">
        <f>Summary!T20</f>
        <v>-0.19152759589312979</v>
      </c>
      <c r="E9" s="793">
        <f>Summary!U20</f>
        <v>0.22336962115246067</v>
      </c>
      <c r="F9" s="793">
        <f>Summary!V20</f>
        <v>0.24303813935832025</v>
      </c>
      <c r="G9" s="793" t="str">
        <f ca="1">Summary!W20</f>
        <v/>
      </c>
      <c r="H9" s="793" t="str">
        <f ca="1">Summary!X20</f>
        <v/>
      </c>
      <c r="I9" s="793" t="str">
        <f ca="1">Summary!Y20</f>
        <v/>
      </c>
      <c r="J9" s="12"/>
      <c r="K9" s="12"/>
      <c r="L9" s="12"/>
      <c r="M9" s="12"/>
      <c r="N9" s="12"/>
      <c r="O9" s="12"/>
      <c r="P9" s="12"/>
      <c r="Q9" s="12"/>
      <c r="R9" s="12"/>
      <c r="S9" s="12"/>
      <c r="T9" s="12"/>
      <c r="U9" s="12"/>
      <c r="V9" s="12"/>
      <c r="W9" s="12"/>
      <c r="X9" s="12"/>
      <c r="Y9" s="12"/>
      <c r="Z9" s="12"/>
      <c r="AA9" s="12"/>
      <c r="AB9" s="12"/>
      <c r="AC9" s="12"/>
      <c r="AD9" s="12"/>
    </row>
    <row r="10" spans="1:30" ht="13.5" customHeight="1">
      <c r="A10" s="13"/>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3.5" customHeight="1">
      <c r="A12" s="13"/>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ht="13.5" customHeight="1">
      <c r="A13" s="13"/>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ht="13.5" customHeight="1">
      <c r="A14" s="13"/>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3.5" customHeight="1">
      <c r="A15" s="13"/>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ht="13.5" customHeight="1">
      <c r="A16" s="13"/>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3.5" customHeight="1">
      <c r="A17" s="13"/>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3.5" customHeight="1">
      <c r="A19" s="13"/>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13.5" customHeight="1">
      <c r="A20" s="13"/>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ht="13.5" customHeight="1">
      <c r="A21" s="13"/>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ht="13.5" customHeight="1">
      <c r="A22" s="13"/>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ht="13.5" customHeight="1">
      <c r="A23" s="13"/>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13.5" customHeight="1">
      <c r="A24" s="13"/>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ht="13.5" customHeight="1">
      <c r="A25" s="13" t="s">
        <v>1</v>
      </c>
      <c r="B25" s="12"/>
      <c r="C25" s="81" t="str">
        <f>Ticker&amp;" - Financial Analysis"</f>
        <v>NFLX - Financial Analysis</v>
      </c>
      <c r="D25" s="82"/>
      <c r="E25" s="82"/>
      <c r="F25" s="82"/>
      <c r="G25" s="82"/>
      <c r="H25" s="82"/>
      <c r="I25" s="82"/>
      <c r="J25" s="82"/>
      <c r="K25" s="82"/>
      <c r="L25" s="82"/>
      <c r="M25" s="82"/>
      <c r="N25" s="82"/>
      <c r="O25" s="82"/>
      <c r="P25" s="82"/>
      <c r="Q25" s="82"/>
      <c r="R25" s="12"/>
      <c r="S25" s="12"/>
      <c r="T25" s="12"/>
      <c r="U25" s="12"/>
      <c r="V25" s="12"/>
      <c r="W25" s="12"/>
      <c r="X25" s="12"/>
      <c r="Y25" s="12"/>
      <c r="Z25" s="12"/>
      <c r="AA25" s="12"/>
      <c r="AB25" s="12"/>
      <c r="AC25" s="12"/>
      <c r="AD25" s="12"/>
    </row>
    <row r="26" spans="1:30" ht="13.5" customHeight="1">
      <c r="A26" s="13"/>
      <c r="B26" s="12"/>
      <c r="C26" s="149"/>
      <c r="D26" s="149"/>
      <c r="E26" s="149"/>
      <c r="F26" s="149"/>
      <c r="G26" s="149"/>
      <c r="H26" s="149"/>
      <c r="I26" s="149"/>
      <c r="J26" s="12"/>
      <c r="K26" s="12"/>
      <c r="L26" s="12"/>
      <c r="M26" s="12"/>
      <c r="N26" s="12"/>
      <c r="O26" s="12"/>
      <c r="P26" s="12"/>
      <c r="Q26" s="12"/>
      <c r="R26" s="12"/>
      <c r="S26" s="12"/>
      <c r="T26" s="12"/>
      <c r="U26" s="12"/>
      <c r="V26" s="12"/>
      <c r="W26" s="12"/>
      <c r="X26" s="12"/>
      <c r="Y26" s="12"/>
      <c r="Z26" s="12"/>
      <c r="AA26" s="12"/>
      <c r="AB26" s="12"/>
      <c r="AC26" s="12"/>
      <c r="AD26" s="12"/>
    </row>
    <row r="27" spans="1:30" ht="13.5" customHeight="1">
      <c r="A27" s="13"/>
      <c r="B27" s="12"/>
      <c r="C27" s="149"/>
      <c r="D27" s="149"/>
      <c r="E27" s="149"/>
      <c r="F27" s="149"/>
      <c r="G27" s="149"/>
      <c r="H27" s="149"/>
      <c r="I27" s="149"/>
      <c r="J27" s="12"/>
      <c r="K27" s="12"/>
      <c r="L27" s="12"/>
      <c r="M27" s="12"/>
      <c r="N27" s="12"/>
      <c r="O27" s="12"/>
      <c r="P27" s="12"/>
      <c r="Q27" s="12"/>
      <c r="R27" s="12"/>
      <c r="S27" s="12"/>
      <c r="T27" s="12"/>
      <c r="U27" s="12"/>
      <c r="V27" s="12"/>
      <c r="W27" s="12"/>
      <c r="X27" s="12"/>
      <c r="Y27" s="12"/>
      <c r="Z27" s="12"/>
      <c r="AA27" s="12"/>
      <c r="AB27" s="12"/>
      <c r="AC27" s="12"/>
      <c r="AD27" s="12"/>
    </row>
    <row r="28" spans="1:30" ht="13.5" customHeight="1">
      <c r="A28" s="13"/>
      <c r="B28" s="12"/>
      <c r="C28" s="81" t="str">
        <f>'Revenue Build'!$C$32</f>
        <v>Home Improvement Retail Revenue</v>
      </c>
      <c r="D28" s="81"/>
      <c r="E28" s="81"/>
      <c r="F28" s="81"/>
      <c r="G28" s="81"/>
      <c r="H28" s="81"/>
      <c r="I28" s="81"/>
      <c r="J28" s="12"/>
      <c r="K28" s="81" t="str">
        <f>'Revenue Build'!$C$30</f>
        <v>Total Company Revenue</v>
      </c>
      <c r="L28" s="81"/>
      <c r="M28" s="81"/>
      <c r="N28" s="81"/>
      <c r="O28" s="81"/>
      <c r="P28" s="81"/>
      <c r="Q28" s="81"/>
      <c r="R28" s="12"/>
      <c r="S28" s="12"/>
      <c r="T28" s="12"/>
      <c r="U28" s="12"/>
      <c r="V28" s="12"/>
      <c r="W28" s="12"/>
      <c r="X28" s="12"/>
      <c r="Y28" s="12"/>
      <c r="Z28" s="12"/>
      <c r="AA28" s="12"/>
      <c r="AB28" s="12"/>
      <c r="AC28" s="12"/>
      <c r="AD28" s="12"/>
    </row>
    <row r="29" spans="1:30" ht="13.5" customHeight="1">
      <c r="A29" s="13"/>
      <c r="B29" s="12"/>
      <c r="C29" s="149"/>
      <c r="D29" s="149"/>
      <c r="E29" s="149"/>
      <c r="F29" s="149"/>
      <c r="G29" s="149"/>
      <c r="H29" s="149"/>
      <c r="I29" s="149"/>
      <c r="J29" s="12"/>
      <c r="K29" s="12"/>
      <c r="L29" s="12"/>
      <c r="M29" s="12"/>
      <c r="N29" s="12"/>
      <c r="O29" s="12"/>
      <c r="P29" s="12"/>
      <c r="Q29" s="12"/>
      <c r="R29" s="12"/>
      <c r="S29" s="12"/>
      <c r="T29" s="12"/>
      <c r="U29" s="12"/>
      <c r="V29" s="12"/>
      <c r="W29" s="12"/>
      <c r="X29" s="12"/>
      <c r="Y29" s="12"/>
      <c r="Z29" s="12"/>
      <c r="AA29" s="12"/>
      <c r="AB29" s="12"/>
      <c r="AC29" s="12"/>
      <c r="AD29" s="12"/>
    </row>
    <row r="30" spans="1:30" ht="13.5" customHeight="1">
      <c r="A30" s="13"/>
      <c r="B30" s="12"/>
      <c r="C30" s="143"/>
      <c r="D30" s="786">
        <f t="shared" ref="D30:I30" si="0">D6</f>
        <v>2023</v>
      </c>
      <c r="E30" s="786">
        <f t="shared" si="0"/>
        <v>2024</v>
      </c>
      <c r="F30" s="786">
        <f t="shared" si="0"/>
        <v>2025</v>
      </c>
      <c r="G30" s="786" t="str">
        <f t="shared" si="0"/>
        <v>2026e</v>
      </c>
      <c r="H30" s="786" t="str">
        <f t="shared" si="0"/>
        <v>2027e</v>
      </c>
      <c r="I30" s="787" t="str">
        <f t="shared" si="0"/>
        <v>2028e</v>
      </c>
      <c r="J30" s="12"/>
      <c r="K30" s="143"/>
      <c r="L30" s="786">
        <f t="shared" ref="L30:Q30" si="1">D30</f>
        <v>2023</v>
      </c>
      <c r="M30" s="786">
        <f t="shared" si="1"/>
        <v>2024</v>
      </c>
      <c r="N30" s="786">
        <f t="shared" si="1"/>
        <v>2025</v>
      </c>
      <c r="O30" s="786" t="str">
        <f t="shared" si="1"/>
        <v>2026e</v>
      </c>
      <c r="P30" s="786" t="str">
        <f t="shared" si="1"/>
        <v>2027e</v>
      </c>
      <c r="Q30" s="787" t="str">
        <f t="shared" si="1"/>
        <v>2028e</v>
      </c>
      <c r="R30" s="12"/>
      <c r="S30" s="12"/>
      <c r="T30" s="12"/>
      <c r="U30" s="12"/>
      <c r="V30" s="12"/>
      <c r="W30" s="12"/>
      <c r="X30" s="12"/>
      <c r="Y30" s="12"/>
      <c r="Z30" s="12"/>
      <c r="AA30" s="12"/>
      <c r="AB30" s="12"/>
      <c r="AC30" s="12"/>
      <c r="AD30" s="12"/>
    </row>
    <row r="31" spans="1:30" ht="13.5" customHeight="1">
      <c r="A31" s="13"/>
      <c r="B31" s="12"/>
      <c r="C31" s="794" t="str">
        <f>C28</f>
        <v>Home Improvement Retail Revenue</v>
      </c>
      <c r="D31" s="769">
        <f t="array" ref="D31">INDEX(Revenue_Data_Summary,MATCH($C31,'Revenue Build'!$C$28:$C$49,0),MATCH(Charts!D$30,'Revenue Build'!$C$28:$AG$28,0))</f>
        <v>33723.297000000006</v>
      </c>
      <c r="E31" s="769">
        <f t="array" ref="E31">INDEX(Revenue_Data_Summary,MATCH($C31,'Revenue Build'!$C$28:$C$49,0),MATCH(Charts!E$30,'Revenue Build'!$C$28:$AG$28,0))</f>
        <v>39000.966</v>
      </c>
      <c r="F31" s="769">
        <f t="array" ref="F31">INDEX(Revenue_Data_Summary,MATCH($C31,'Revenue Build'!$C$28:$C$49,0),MATCH(Charts!F$30,'Revenue Build'!$C$28:$AG$28,0))</f>
        <v>45183.036</v>
      </c>
      <c r="G31" s="769">
        <f t="array" ref="G31">INDEX(Revenue_Data_Summary,MATCH($C31,'Revenue Build'!$C$28:$C$49,0),MATCH(Charts!G$30,'Revenue Build'!$C$28:$AG$28,0))</f>
        <v>84509.856999999989</v>
      </c>
      <c r="H31" s="769">
        <f t="array" ref="H31">INDEX(Revenue_Data_Summary,MATCH($C31,'Revenue Build'!$C$28:$C$49,0),MATCH(Charts!H$30,'Revenue Build'!$C$28:$AG$28,0))</f>
        <v>105236.82134671998</v>
      </c>
      <c r="I31" s="769">
        <f t="array" ref="I31">INDEX(Revenue_Data_Summary,MATCH($C31,'Revenue Build'!$C$28:$C$49,0),MATCH(Charts!I$30,'Revenue Build'!$C$28:$AG$28,0))</f>
        <v>107341.55777365438</v>
      </c>
      <c r="J31" s="12"/>
      <c r="K31" s="794" t="str">
        <f>K28</f>
        <v>Total Company Revenue</v>
      </c>
      <c r="L31" s="769">
        <f t="array" ref="L31">INDEX(Revenue_Data_Summary,MATCH($K31,'Revenue Build'!$C$28:$C$49,0),MATCH(Charts!L$30,'Revenue Build'!$C$28:$AG$28,0))</f>
        <v>33723.297000000006</v>
      </c>
      <c r="M31" s="769">
        <f t="array" ref="M31">INDEX(Revenue_Data_Summary,MATCH($K31,'Revenue Build'!$C$28:$C$49,0),MATCH(Charts!M$30,'Revenue Build'!$C$28:$AG$28,0))</f>
        <v>39000.966</v>
      </c>
      <c r="N31" s="769">
        <f t="array" ref="N31">INDEX(Revenue_Data_Summary,MATCH($K31,'Revenue Build'!$C$28:$C$49,0),MATCH(Charts!N$30,'Revenue Build'!$C$28:$AG$28,0))</f>
        <v>45183.036</v>
      </c>
      <c r="O31" s="769">
        <f t="array" ref="O31">INDEX(Revenue_Data_Summary,MATCH($K31,'Revenue Build'!$C$28:$C$49,0),MATCH(Charts!O$30,'Revenue Build'!$C$28:$AG$28,0))</f>
        <v>84509.856999999989</v>
      </c>
      <c r="P31" s="769">
        <f t="array" ref="P31">INDEX(Revenue_Data_Summary,MATCH($K31,'Revenue Build'!$C$28:$C$49,0),MATCH(Charts!P$30,'Revenue Build'!$C$28:$AG$28,0))</f>
        <v>105236.82134671998</v>
      </c>
      <c r="Q31" s="769">
        <f t="array" ref="Q31">INDEX(Revenue_Data_Summary,MATCH($K31,'Revenue Build'!$C$28:$C$49,0),MATCH(Charts!Q$30,'Revenue Build'!$C$28:$AG$28,0))</f>
        <v>107341.55777365438</v>
      </c>
      <c r="R31" s="12"/>
      <c r="S31" s="12"/>
      <c r="T31" s="12"/>
      <c r="U31" s="12"/>
      <c r="V31" s="12"/>
      <c r="W31" s="12"/>
      <c r="X31" s="12"/>
      <c r="Y31" s="12"/>
      <c r="Z31" s="12"/>
      <c r="AA31" s="12"/>
      <c r="AB31" s="12"/>
      <c r="AC31" s="12"/>
      <c r="AD31" s="12"/>
    </row>
    <row r="32" spans="1:30" ht="13.5" customHeight="1">
      <c r="A32" s="13"/>
      <c r="B32" s="12"/>
      <c r="C32" s="792" t="s">
        <v>931</v>
      </c>
      <c r="D32" s="795">
        <v>0</v>
      </c>
      <c r="E32" s="796">
        <f t="shared" ref="E32:I32" si="2">E31/D31-1</f>
        <v>0.15649919994477379</v>
      </c>
      <c r="F32" s="796">
        <f t="shared" si="2"/>
        <v>0.15851068919677536</v>
      </c>
      <c r="G32" s="796">
        <f t="shared" si="2"/>
        <v>0.87038907699783574</v>
      </c>
      <c r="H32" s="796">
        <f t="shared" si="2"/>
        <v>0.24526090899337327</v>
      </c>
      <c r="I32" s="796">
        <f t="shared" si="2"/>
        <v>2.0000000000000018E-2</v>
      </c>
      <c r="J32" s="12"/>
      <c r="K32" s="792" t="s">
        <v>931</v>
      </c>
      <c r="L32" s="795">
        <v>0</v>
      </c>
      <c r="M32" s="796">
        <f t="shared" ref="M32:Q32" si="3">M31/L31-1</f>
        <v>0.15649919994477379</v>
      </c>
      <c r="N32" s="796">
        <f t="shared" si="3"/>
        <v>0.15851068919677536</v>
      </c>
      <c r="O32" s="796">
        <f t="shared" si="3"/>
        <v>0.87038907699783574</v>
      </c>
      <c r="P32" s="796">
        <f t="shared" si="3"/>
        <v>0.24526090899337327</v>
      </c>
      <c r="Q32" s="796">
        <f t="shared" si="3"/>
        <v>2.0000000000000018E-2</v>
      </c>
      <c r="R32" s="12"/>
      <c r="S32" s="12"/>
      <c r="T32" s="12"/>
      <c r="U32" s="12"/>
      <c r="V32" s="12"/>
      <c r="W32" s="12"/>
      <c r="X32" s="12"/>
      <c r="Y32" s="12"/>
      <c r="Z32" s="12"/>
      <c r="AA32" s="12"/>
      <c r="AB32" s="12"/>
      <c r="AC32" s="12"/>
      <c r="AD32" s="12"/>
    </row>
    <row r="33" spans="1:30" ht="13.5" customHeight="1">
      <c r="A33" s="13"/>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ht="13.5" customHeight="1">
      <c r="A35" s="13"/>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3.5" customHeight="1">
      <c r="A40" s="13"/>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ht="13.5" customHeight="1">
      <c r="A42" s="13"/>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13.5" customHeight="1">
      <c r="A44" s="13"/>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3.5" customHeight="1">
      <c r="A45" s="13"/>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ht="13.5" customHeight="1">
      <c r="A46" s="13"/>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13.5" customHeight="1">
      <c r="A47" s="13"/>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13.5" hidden="1" customHeight="1" outlineLevel="1" collapsed="1">
      <c r="A48" s="13"/>
      <c r="B48" s="12"/>
      <c r="C48" s="81" t="str">
        <f>'Revenue Build'!$C$35</f>
        <v>Segment 2 Revenue</v>
      </c>
      <c r="D48" s="81"/>
      <c r="E48" s="81"/>
      <c r="F48" s="81"/>
      <c r="G48" s="81"/>
      <c r="H48" s="81"/>
      <c r="I48" s="81"/>
      <c r="J48" s="12"/>
      <c r="K48" s="81" t="str">
        <f>'Revenue Build'!$C$44</f>
        <v>Segment 5 Revenue</v>
      </c>
      <c r="L48" s="81"/>
      <c r="M48" s="81"/>
      <c r="N48" s="81"/>
      <c r="O48" s="81"/>
      <c r="P48" s="81"/>
      <c r="Q48" s="81"/>
      <c r="R48" s="12"/>
      <c r="S48" s="12"/>
      <c r="T48" s="12"/>
      <c r="U48" s="12"/>
      <c r="V48" s="12"/>
      <c r="W48" s="12"/>
      <c r="X48" s="12"/>
      <c r="Y48" s="12"/>
      <c r="Z48" s="12"/>
      <c r="AA48" s="12"/>
      <c r="AB48" s="12"/>
      <c r="AC48" s="12"/>
      <c r="AD48" s="12"/>
    </row>
    <row r="49" spans="1:30" ht="13.5" hidden="1" customHeight="1" outlineLevel="1" collapsed="1">
      <c r="A49" s="13"/>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ht="13.5" hidden="1" customHeight="1" outlineLevel="1" collapsed="1">
      <c r="A50" s="13"/>
      <c r="B50" s="12"/>
      <c r="C50" s="143"/>
      <c r="D50" s="786">
        <f t="shared" ref="D50:I50" si="4">D30</f>
        <v>2023</v>
      </c>
      <c r="E50" s="786">
        <f t="shared" si="4"/>
        <v>2024</v>
      </c>
      <c r="F50" s="786">
        <f t="shared" si="4"/>
        <v>2025</v>
      </c>
      <c r="G50" s="786" t="str">
        <f t="shared" si="4"/>
        <v>2026e</v>
      </c>
      <c r="H50" s="786" t="str">
        <f t="shared" si="4"/>
        <v>2027e</v>
      </c>
      <c r="I50" s="787" t="str">
        <f t="shared" si="4"/>
        <v>2028e</v>
      </c>
      <c r="J50" s="12"/>
      <c r="K50" s="143"/>
      <c r="L50" s="786">
        <f t="shared" ref="L50:Q50" si="5">L30</f>
        <v>2023</v>
      </c>
      <c r="M50" s="786">
        <f t="shared" si="5"/>
        <v>2024</v>
      </c>
      <c r="N50" s="786">
        <f t="shared" si="5"/>
        <v>2025</v>
      </c>
      <c r="O50" s="786" t="str">
        <f t="shared" si="5"/>
        <v>2026e</v>
      </c>
      <c r="P50" s="786" t="str">
        <f t="shared" si="5"/>
        <v>2027e</v>
      </c>
      <c r="Q50" s="787" t="str">
        <f t="shared" si="5"/>
        <v>2028e</v>
      </c>
      <c r="R50" s="12"/>
      <c r="S50" s="12"/>
      <c r="T50" s="12"/>
      <c r="U50" s="12"/>
      <c r="V50" s="12"/>
      <c r="W50" s="12"/>
      <c r="X50" s="12"/>
      <c r="Y50" s="12"/>
      <c r="Z50" s="12"/>
      <c r="AA50" s="12"/>
      <c r="AB50" s="12"/>
      <c r="AC50" s="12"/>
      <c r="AD50" s="12"/>
    </row>
    <row r="51" spans="1:30" ht="13.5" hidden="1" customHeight="1" outlineLevel="1" collapsed="1">
      <c r="A51" s="13"/>
      <c r="B51" s="12"/>
      <c r="C51" s="794" t="str">
        <f>C48</f>
        <v>Segment 2 Revenue</v>
      </c>
      <c r="D51" s="769">
        <f t="array" ref="D51">INDEX(Revenue_Data_Summary,MATCH($C51,'Revenue Build'!$C$28:$C$49,0),MATCH(Charts!D$50,'Revenue Build'!$C$28:$AG$28,0))</f>
        <v>0</v>
      </c>
      <c r="E51" s="769">
        <f t="array" ref="E51">INDEX(Revenue_Data_Summary,MATCH($C51,'Revenue Build'!$C$28:$C$49,0),MATCH(Charts!E$50,'Revenue Build'!$C$28:$AG$28,0))</f>
        <v>0</v>
      </c>
      <c r="F51" s="769">
        <f t="array" ref="F51">INDEX(Revenue_Data_Summary,MATCH($C51,'Revenue Build'!$C$28:$C$49,0),MATCH(Charts!F$50,'Revenue Build'!$C$28:$AG$28,0))</f>
        <v>0</v>
      </c>
      <c r="G51" s="769">
        <f t="array" ref="G51">INDEX(Revenue_Data_Summary,MATCH($C51,'Revenue Build'!$C$28:$C$49,0),MATCH(Charts!G$50,'Revenue Build'!$C$28:$AG$28,0))</f>
        <v>0</v>
      </c>
      <c r="H51" s="769">
        <f t="array" ref="H51">INDEX(Revenue_Data_Summary,MATCH($C51,'Revenue Build'!$C$28:$C$49,0),MATCH(Charts!H$50,'Revenue Build'!$C$28:$AG$28,0))</f>
        <v>0</v>
      </c>
      <c r="I51" s="769">
        <f t="array" ref="I51">INDEX(Revenue_Data_Summary,MATCH($C51,'Revenue Build'!$C$28:$C$49,0),MATCH(Charts!I$50,'Revenue Build'!$C$28:$AG$28,0))</f>
        <v>0</v>
      </c>
      <c r="J51" s="12"/>
      <c r="K51" s="794" t="str">
        <f>K48</f>
        <v>Segment 5 Revenue</v>
      </c>
      <c r="L51" s="769">
        <f t="array" ref="L51">INDEX(Revenue_Data_Summary,MATCH($K51,'Revenue Build'!$C$28:$C$49,0),MATCH(Charts!L$50,'Revenue Build'!$C$28:$AG$28,0))</f>
        <v>0</v>
      </c>
      <c r="M51" s="769">
        <f t="array" ref="M51">INDEX(Revenue_Data_Summary,MATCH($K51,'Revenue Build'!$C$28:$C$49,0),MATCH(Charts!M$50,'Revenue Build'!$C$28:$AG$28,0))</f>
        <v>0</v>
      </c>
      <c r="N51" s="769">
        <f t="array" ref="N51">INDEX(Revenue_Data_Summary,MATCH($K51,'Revenue Build'!$C$28:$C$49,0),MATCH(Charts!N$50,'Revenue Build'!$C$28:$AG$28,0))</f>
        <v>0</v>
      </c>
      <c r="O51" s="769">
        <f t="array" ref="O51">INDEX(Revenue_Data_Summary,MATCH($K51,'Revenue Build'!$C$28:$C$49,0),MATCH(Charts!O$50,'Revenue Build'!$C$28:$AG$28,0))</f>
        <v>0</v>
      </c>
      <c r="P51" s="769">
        <f t="array" ref="P51">INDEX(Revenue_Data_Summary,MATCH($K51,'Revenue Build'!$C$28:$C$49,0),MATCH(Charts!P$50,'Revenue Build'!$C$28:$AG$28,0))</f>
        <v>0</v>
      </c>
      <c r="Q51" s="769">
        <f t="array" ref="Q51">INDEX(Revenue_Data_Summary,MATCH($K51,'Revenue Build'!$C$28:$C$49,0),MATCH(Charts!Q$50,'Revenue Build'!$C$28:$AG$28,0))</f>
        <v>0</v>
      </c>
      <c r="R51" s="12"/>
      <c r="S51" s="12"/>
      <c r="T51" s="12"/>
      <c r="U51" s="12"/>
      <c r="V51" s="12"/>
      <c r="W51" s="12"/>
      <c r="X51" s="12"/>
      <c r="Y51" s="12"/>
      <c r="Z51" s="12"/>
      <c r="AA51" s="12"/>
      <c r="AB51" s="12"/>
      <c r="AC51" s="12"/>
      <c r="AD51" s="12"/>
    </row>
    <row r="52" spans="1:30" ht="13.5" hidden="1" customHeight="1" outlineLevel="1" collapsed="1">
      <c r="A52" s="13"/>
      <c r="B52" s="12"/>
      <c r="C52" s="792" t="s">
        <v>931</v>
      </c>
      <c r="D52" s="795">
        <v>0</v>
      </c>
      <c r="E52" s="796" t="e">
        <f t="shared" ref="E52:I52" si="6">E51/D51-1</f>
        <v>#DIV/0!</v>
      </c>
      <c r="F52" s="796" t="e">
        <f t="shared" si="6"/>
        <v>#DIV/0!</v>
      </c>
      <c r="G52" s="796" t="e">
        <f t="shared" si="6"/>
        <v>#DIV/0!</v>
      </c>
      <c r="H52" s="796" t="e">
        <f t="shared" si="6"/>
        <v>#DIV/0!</v>
      </c>
      <c r="I52" s="796" t="e">
        <f t="shared" si="6"/>
        <v>#DIV/0!</v>
      </c>
      <c r="J52" s="12"/>
      <c r="K52" s="792" t="s">
        <v>931</v>
      </c>
      <c r="L52" s="795">
        <v>0</v>
      </c>
      <c r="M52" s="796">
        <v>0</v>
      </c>
      <c r="N52" s="796" t="e">
        <f t="shared" ref="N52:Q52" si="7">N51/M51-1</f>
        <v>#DIV/0!</v>
      </c>
      <c r="O52" s="796" t="e">
        <f t="shared" si="7"/>
        <v>#DIV/0!</v>
      </c>
      <c r="P52" s="796" t="e">
        <f t="shared" si="7"/>
        <v>#DIV/0!</v>
      </c>
      <c r="Q52" s="796" t="e">
        <f t="shared" si="7"/>
        <v>#DIV/0!</v>
      </c>
      <c r="R52" s="12"/>
      <c r="S52" s="12"/>
      <c r="T52" s="12"/>
      <c r="U52" s="12"/>
      <c r="V52" s="12"/>
      <c r="W52" s="12"/>
      <c r="X52" s="12"/>
      <c r="Y52" s="12"/>
      <c r="Z52" s="12"/>
      <c r="AA52" s="12"/>
      <c r="AB52" s="12"/>
      <c r="AC52" s="12"/>
      <c r="AD52" s="12"/>
    </row>
    <row r="53" spans="1:30" ht="13.5" hidden="1" customHeight="1" outlineLevel="1" collapsed="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13.5" hidden="1" customHeight="1" outlineLevel="1" collapsed="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ht="13.5" hidden="1" customHeight="1" outlineLevel="1" collapsed="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ht="13.5" hidden="1" customHeight="1" outlineLevel="1" collapsed="1">
      <c r="A56" s="13"/>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13.5" hidden="1" customHeight="1" outlineLevel="1" collapsed="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ht="13.5" hidden="1" customHeight="1" outlineLevel="1" collapsed="1">
      <c r="A58" s="13"/>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ht="13.5" hidden="1" customHeight="1" outlineLevel="1" collapsed="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13.5" hidden="1" customHeight="1" outlineLevel="1" collapsed="1">
      <c r="A60" s="13"/>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3.5" hidden="1" customHeight="1" outlineLevel="1" collapsed="1">
      <c r="A61" s="13"/>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3.5" hidden="1" customHeight="1" outlineLevel="1" collapsed="1">
      <c r="A62" s="13"/>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3.5" hidden="1" customHeight="1" outlineLevel="1" collapsed="1">
      <c r="A63" s="13"/>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3.5" hidden="1" customHeight="1" outlineLevel="1" collapsed="1">
      <c r="A64" s="13"/>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3.5" hidden="1" customHeight="1" outlineLevel="1" collapsed="1">
      <c r="A65" s="13"/>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3.5" customHeight="1">
      <c r="A67" s="13"/>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3.5" customHeight="1">
      <c r="A68" s="13" t="s">
        <v>1</v>
      </c>
      <c r="B68" s="12"/>
      <c r="C68" s="81" t="str">
        <f>Ticker&amp;" - Free Cash Flow"</f>
        <v>NFLX - Free Cash Flow</v>
      </c>
      <c r="D68" s="81"/>
      <c r="E68" s="81"/>
      <c r="F68" s="81"/>
      <c r="G68" s="81"/>
      <c r="H68" s="81"/>
      <c r="I68" s="81"/>
      <c r="J68" s="149"/>
      <c r="K68" s="81" t="str">
        <f>Ticker&amp;" - Adj. EPS"</f>
        <v>NFLX - Adj. EPS</v>
      </c>
      <c r="L68" s="81"/>
      <c r="M68" s="81"/>
      <c r="N68" s="81"/>
      <c r="O68" s="81"/>
      <c r="P68" s="81"/>
      <c r="Q68" s="81"/>
      <c r="R68" s="12"/>
      <c r="S68" s="12"/>
      <c r="T68" s="12"/>
      <c r="U68" s="12"/>
      <c r="V68" s="12"/>
      <c r="W68" s="12"/>
      <c r="X68" s="12"/>
      <c r="Y68" s="12"/>
      <c r="Z68" s="12"/>
      <c r="AA68" s="12"/>
      <c r="AB68" s="12"/>
      <c r="AC68" s="12"/>
      <c r="AD68" s="12"/>
    </row>
    <row r="69" spans="1:30"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spans="1:30" ht="13.5" customHeight="1">
      <c r="A70" s="13"/>
      <c r="B70" s="12"/>
      <c r="C70" s="143"/>
      <c r="D70" s="786">
        <f t="shared" ref="D70:I70" si="8">D50</f>
        <v>2023</v>
      </c>
      <c r="E70" s="786">
        <f t="shared" si="8"/>
        <v>2024</v>
      </c>
      <c r="F70" s="786">
        <f t="shared" si="8"/>
        <v>2025</v>
      </c>
      <c r="G70" s="786" t="str">
        <f t="shared" si="8"/>
        <v>2026e</v>
      </c>
      <c r="H70" s="786" t="str">
        <f t="shared" si="8"/>
        <v>2027e</v>
      </c>
      <c r="I70" s="787" t="str">
        <f t="shared" si="8"/>
        <v>2028e</v>
      </c>
      <c r="J70" s="12"/>
      <c r="K70" s="143"/>
      <c r="L70" s="786">
        <f t="shared" ref="L70:Q70" si="9">L50</f>
        <v>2023</v>
      </c>
      <c r="M70" s="786">
        <f t="shared" si="9"/>
        <v>2024</v>
      </c>
      <c r="N70" s="786">
        <f t="shared" si="9"/>
        <v>2025</v>
      </c>
      <c r="O70" s="786" t="str">
        <f t="shared" si="9"/>
        <v>2026e</v>
      </c>
      <c r="P70" s="786" t="str">
        <f t="shared" si="9"/>
        <v>2027e</v>
      </c>
      <c r="Q70" s="787" t="str">
        <f t="shared" si="9"/>
        <v>2028e</v>
      </c>
      <c r="R70" s="12"/>
      <c r="S70" s="12"/>
      <c r="T70" s="12"/>
      <c r="U70" s="12"/>
      <c r="V70" s="12"/>
      <c r="W70" s="12"/>
      <c r="X70" s="12"/>
      <c r="Y70" s="12"/>
      <c r="Z70" s="12"/>
      <c r="AA70" s="12"/>
      <c r="AB70" s="12"/>
      <c r="AC70" s="12"/>
      <c r="AD70" s="12"/>
    </row>
    <row r="71" spans="1:30" ht="13.5" customHeight="1">
      <c r="A71" s="13"/>
      <c r="B71" s="12"/>
      <c r="C71" s="789" t="str">
        <f>Model!C112</f>
        <v>Free Cash Flow (FCF)</v>
      </c>
      <c r="D71" s="769">
        <f t="array" ref="D71">INDEX(Data,MATCH($C71,Line_Items,0),MATCH(Charts!D$70,Fiscal_Periods,0))</f>
        <v>-8074.4669999999987</v>
      </c>
      <c r="E71" s="769">
        <f t="array" ref="E71">INDEX(Data,MATCH($C71,Line_Items,0),MATCH(Charts!E$70,Fiscal_Periods,0))</f>
        <v>7091.0419999999995</v>
      </c>
      <c r="F71" s="769">
        <f t="array" ref="F71">INDEX(Data,MATCH($C71,Line_Items,0),MATCH(Charts!F$70,Fiscal_Periods,0))</f>
        <v>6572.2929999999997</v>
      </c>
      <c r="G71" s="769" t="str">
        <f ca="1">INDEX(Data,MATCH($C71,Line_Items,0),MATCH(Charts!G$70,Fiscal_Periods,0))</f>
        <v/>
      </c>
      <c r="H71" s="769" t="str">
        <f ca="1">INDEX(Data,MATCH($C71,Line_Items,0),MATCH(Charts!H$70,Fiscal_Periods,0))</f>
        <v/>
      </c>
      <c r="I71" s="769" t="str">
        <f ca="1">INDEX(Data,MATCH($C71,Line_Items,0),MATCH(Charts!I$70,Fiscal_Periods,0))</f>
        <v/>
      </c>
      <c r="J71" s="12"/>
      <c r="K71" s="789" t="str">
        <f>Model!C57</f>
        <v>Adj. EPS (Diluted)</v>
      </c>
      <c r="L71" s="797">
        <f t="array" ref="L71">INDEX(Data,MATCH($K71,Line_Items,0),MATCH(Charts!L$70,Fiscal_Periods,0))</f>
        <v>-5.7582421972534297</v>
      </c>
      <c r="M71" s="797">
        <f t="array" ref="M71">INDEX(Data,MATCH($K71,Line_Items,0),MATCH(Charts!M$70,Fiscal_Periods,0))</f>
        <v>11.11127465667915</v>
      </c>
      <c r="N71" s="797">
        <f t="array" ref="N71">INDEX(Data,MATCH($K71,Line_Items,0),MATCH(Charts!N$70,Fiscal_Periods,0))</f>
        <v>15.737428000000003</v>
      </c>
      <c r="O71" s="797" t="str">
        <f ca="1">INDEX(Data,MATCH($K71,Line_Items,0),MATCH(Charts!O$70,Fiscal_Periods,0))</f>
        <v/>
      </c>
      <c r="P71" s="797" t="str">
        <f ca="1">INDEX(Data,MATCH($K71,Line_Items,0),MATCH(Charts!P$70,Fiscal_Periods,0))</f>
        <v/>
      </c>
      <c r="Q71" s="797" t="str">
        <f ca="1">INDEX(Data,MATCH($K71,Line_Items,0),MATCH(Charts!Q$70,Fiscal_Periods,0))</f>
        <v/>
      </c>
      <c r="R71" s="12"/>
      <c r="S71" s="12"/>
      <c r="T71" s="12"/>
      <c r="U71" s="12"/>
      <c r="V71" s="12"/>
      <c r="W71" s="12"/>
      <c r="X71" s="12"/>
      <c r="Y71" s="12"/>
      <c r="Z71" s="12"/>
      <c r="AA71" s="12"/>
      <c r="AB71" s="12"/>
      <c r="AC71" s="12"/>
      <c r="AD71" s="12"/>
    </row>
    <row r="72" spans="1:30" ht="13.5" customHeight="1">
      <c r="A72" s="13"/>
      <c r="B72" s="12"/>
      <c r="C72" s="792" t="s">
        <v>931</v>
      </c>
      <c r="D72" s="795">
        <v>0</v>
      </c>
      <c r="E72" s="796">
        <f t="shared" ref="E72:I72" si="10">E71/D71-1</f>
        <v>-1.8782055831053617</v>
      </c>
      <c r="F72" s="796">
        <f t="shared" si="10"/>
        <v>-7.3155539058998631E-2</v>
      </c>
      <c r="G72" s="796" t="str">
        <f t="shared" ca="1" si="10"/>
        <v>#REF!</v>
      </c>
      <c r="H72" s="796" t="str">
        <f t="shared" ca="1" si="10"/>
        <v>#REF!</v>
      </c>
      <c r="I72" s="796" t="str">
        <f t="shared" ca="1" si="10"/>
        <v>#REF!</v>
      </c>
      <c r="J72" s="12"/>
      <c r="K72" s="792" t="s">
        <v>931</v>
      </c>
      <c r="L72" s="795">
        <v>0</v>
      </c>
      <c r="M72" s="796">
        <f t="shared" ref="M72:Q72" si="11">M71/L71-1</f>
        <v>-2.9296296119637022</v>
      </c>
      <c r="N72" s="796">
        <f t="shared" si="11"/>
        <v>0.41634767263538075</v>
      </c>
      <c r="O72" s="796" t="str">
        <f t="shared" ca="1" si="11"/>
        <v>#REF!</v>
      </c>
      <c r="P72" s="796" t="str">
        <f t="shared" ca="1" si="11"/>
        <v>#REF!</v>
      </c>
      <c r="Q72" s="796" t="str">
        <f t="shared" ca="1" si="11"/>
        <v>#REF!</v>
      </c>
      <c r="R72" s="12"/>
      <c r="S72" s="12"/>
      <c r="T72" s="12"/>
      <c r="U72" s="12"/>
      <c r="V72" s="12"/>
      <c r="W72" s="12"/>
      <c r="X72" s="12"/>
      <c r="Y72" s="12"/>
      <c r="Z72" s="12"/>
      <c r="AA72" s="12"/>
      <c r="AB72" s="12"/>
      <c r="AC72" s="12"/>
      <c r="AD72" s="12"/>
    </row>
    <row r="73" spans="1:30"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13.5" customHeight="1">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spans="1:30"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3.5" customHeight="1">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13.5" customHeight="1">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ht="13.5" customHeight="1">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spans="1:30" ht="13.5" customHeight="1">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3.5" customHeight="1">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3.5" customHeight="1">
      <c r="A81" s="13"/>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spans="1:30" ht="13.5" customHeight="1">
      <c r="A83" s="13"/>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spans="1:30"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spans="1:30"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spans="1:30" ht="13.5" customHeight="1">
      <c r="A88" s="13"/>
      <c r="B88" s="12"/>
      <c r="C88" s="81" t="str">
        <f>'Revenue Build'!$C$30</f>
        <v>Total Company Revenue</v>
      </c>
      <c r="D88" s="81"/>
      <c r="E88" s="81"/>
      <c r="F88" s="81"/>
      <c r="G88" s="81"/>
      <c r="H88" s="81"/>
      <c r="I88" s="81"/>
      <c r="J88" s="81"/>
      <c r="K88" s="81"/>
      <c r="L88" s="81"/>
      <c r="M88" s="81"/>
      <c r="N88" s="81"/>
      <c r="O88" s="81"/>
      <c r="P88" s="81"/>
      <c r="Q88" s="81"/>
      <c r="R88" s="776" t="str">
        <f>Last_FQR</f>
        <v>2Q</v>
      </c>
      <c r="S88" s="12"/>
      <c r="T88" s="12"/>
      <c r="U88" s="12"/>
      <c r="V88" s="12"/>
      <c r="W88" s="12"/>
      <c r="X88" s="12"/>
      <c r="Y88" s="12"/>
      <c r="Z88" s="12"/>
      <c r="AA88" s="12"/>
      <c r="AB88" s="12"/>
      <c r="AC88" s="12"/>
      <c r="AD88" s="12"/>
    </row>
    <row r="89" spans="1:30"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spans="1:30" ht="13.5" customHeight="1">
      <c r="A90" s="13"/>
      <c r="B90" s="12"/>
      <c r="C90" s="143"/>
      <c r="D90" s="786">
        <f t="shared" ref="D90:G90" si="12">E90-1</f>
        <v>2019</v>
      </c>
      <c r="E90" s="786">
        <f t="shared" si="12"/>
        <v>2020</v>
      </c>
      <c r="F90" s="786">
        <f t="shared" si="12"/>
        <v>2021</v>
      </c>
      <c r="G90" s="786">
        <f t="shared" si="12"/>
        <v>2022</v>
      </c>
      <c r="H90" s="786">
        <f t="shared" ref="H90:M90" si="13">D70</f>
        <v>2023</v>
      </c>
      <c r="I90" s="786">
        <f t="shared" si="13"/>
        <v>2024</v>
      </c>
      <c r="J90" s="786">
        <f t="shared" si="13"/>
        <v>2025</v>
      </c>
      <c r="K90" s="786" t="str">
        <f t="shared" si="13"/>
        <v>2026e</v>
      </c>
      <c r="L90" s="786" t="str">
        <f t="shared" si="13"/>
        <v>2027e</v>
      </c>
      <c r="M90" s="786" t="str">
        <f t="shared" si="13"/>
        <v>2028e</v>
      </c>
      <c r="N90" s="786" t="str">
        <f>H90&amp;" YTD"</f>
        <v>2023 YTD</v>
      </c>
      <c r="O90" s="786" t="str">
        <f>J90&amp;" YTD"</f>
        <v>2025 YTD</v>
      </c>
      <c r="P90" s="786" t="str">
        <f t="shared" ref="P90:Q90" si="14">LEFT(G70,4)&amp;" YTD"</f>
        <v>2026 YTD</v>
      </c>
      <c r="Q90" s="787" t="str">
        <f t="shared" si="14"/>
        <v>2027 YTD</v>
      </c>
      <c r="R90" s="12"/>
      <c r="S90" s="12"/>
      <c r="T90" s="12"/>
      <c r="U90" s="12"/>
      <c r="V90" s="12"/>
      <c r="W90" s="12"/>
      <c r="X90" s="12"/>
      <c r="Y90" s="12"/>
      <c r="Z90" s="12"/>
      <c r="AA90" s="12"/>
      <c r="AB90" s="12"/>
      <c r="AC90" s="12"/>
      <c r="AD90" s="12"/>
    </row>
    <row r="91" spans="1:30" ht="13.5" customHeight="1">
      <c r="A91" s="13"/>
      <c r="B91" s="12"/>
      <c r="C91" s="794" t="str">
        <f>C88</f>
        <v>Total Company Revenue</v>
      </c>
      <c r="D91" s="798">
        <v>56223</v>
      </c>
      <c r="E91" s="798">
        <v>59074</v>
      </c>
      <c r="F91" s="798">
        <v>65017</v>
      </c>
      <c r="G91" s="798">
        <v>68619</v>
      </c>
      <c r="H91" s="769">
        <f t="array" ref="H91">INDEX(Revenue_Data_Summary,MATCH($C91,'Revenue Build'!$C$28:$C$49,0),MATCH(Charts!H$90,'Revenue Build'!$C$28:$AG$28,0))</f>
        <v>33723.297000000006</v>
      </c>
      <c r="I91" s="769">
        <f t="array" ref="I91">INDEX(Revenue_Data_Summary,MATCH($C91,'Revenue Build'!$C$28:$C$49,0),MATCH(Charts!I$90,'Revenue Build'!$C$28:$AG$28,0))</f>
        <v>39000.966</v>
      </c>
      <c r="J91" s="769">
        <f t="array" ref="J91">INDEX(Revenue_Data_Summary,MATCH($C91,'Revenue Build'!$C$28:$C$49,0),MATCH(Charts!J$90,'Revenue Build'!$C$28:$AG$28,0))</f>
        <v>45183.036</v>
      </c>
      <c r="K91" s="769">
        <f t="array" ref="K91">INDEX(Revenue_Data_Summary,MATCH($C91,'Revenue Build'!$C$28:$C$49,0),MATCH(Charts!K$90,'Revenue Build'!$C$28:$AG$28,0))</f>
        <v>84509.856999999989</v>
      </c>
      <c r="L91" s="769">
        <f t="array" ref="L91">INDEX(Revenue_Data_Summary,MATCH($C91,'Revenue Build'!$C$28:$C$49,0),MATCH(Charts!L$90,'Revenue Build'!$C$28:$AG$28,0))</f>
        <v>105236.82134671998</v>
      </c>
      <c r="M91" s="769">
        <f t="array" ref="M91">INDEX(Revenue_Data_Summary,MATCH($C91,'Revenue Build'!$C$28:$C$49,0),MATCH(Charts!M$90,'Revenue Build'!$C$28:$AG$28,0))</f>
        <v>107341.55777365438</v>
      </c>
      <c r="N91" s="769">
        <f>IF(Charts!$R$88="1Q",SUM('Revenue Build'!K30),IF(Charts!$R$88="2Q",SUM('Revenue Build'!K30:L30),IF(Charts!$R$88="3Q",SUM('Revenue Build'!K30:M30),IF(Charts!$R$88="4Q",SUM('Revenue Build'!K30:N30),"N/A"))))</f>
        <v>18929.75</v>
      </c>
      <c r="O91" s="769">
        <f>IF(Charts!$R$88="1Q",SUM('Revenue Build'!P30),IF(Charts!$R$88="2Q",SUM('Revenue Build'!P30:Q30),IF(Charts!$R$88="3Q",SUM('Revenue Build'!P30:R30),IF(Charts!$R$88="4Q",SUM('Revenue Build'!P30:S30),"N/A"))))</f>
        <v>21621.966999999997</v>
      </c>
      <c r="P91" s="769">
        <f>IF(Charts!$R$88="1Q",SUM('Revenue Build'!U30),IF(Charts!$R$88="2Q",SUM('Revenue Build'!U30:V30),IF(Charts!$R$88="3Q",SUM('Revenue Build'!U30:W30),IF(Charts!$R$88="4Q",SUM('Revenue Build'!U30:X30),"N/A"))))</f>
        <v>39819.756999999998</v>
      </c>
      <c r="Q91" s="769">
        <f>IF(Charts!$R$88="1Q",SUM('Revenue Build'!V30),IF(Charts!$R$88="2Q",SUM('Revenue Build'!V30:W30),IF(Charts!$R$88="3Q",SUM('Revenue Build'!V30:X30),IF(Charts!$R$88="4Q",SUM('Revenue Build'!V30:Y30),"N/A"))))</f>
        <v>50488</v>
      </c>
      <c r="R91" s="769"/>
      <c r="S91" s="12"/>
      <c r="T91" s="769"/>
      <c r="U91" s="12"/>
      <c r="V91" s="12"/>
      <c r="W91" s="769"/>
      <c r="X91" s="769"/>
      <c r="Y91" s="12"/>
      <c r="Z91" s="12"/>
      <c r="AA91" s="12"/>
      <c r="AB91" s="12"/>
      <c r="AC91" s="12"/>
      <c r="AD91" s="769"/>
    </row>
    <row r="92" spans="1:30" ht="13.5" customHeight="1">
      <c r="A92" s="13"/>
      <c r="B92" s="12"/>
      <c r="C92" s="792" t="s">
        <v>931</v>
      </c>
      <c r="D92" s="795">
        <v>5.2999999999999999E-2</v>
      </c>
      <c r="E92" s="796">
        <f t="shared" ref="E92:M92" si="15">E91/D91-1</f>
        <v>5.0708784661081863E-2</v>
      </c>
      <c r="F92" s="796">
        <f t="shared" si="15"/>
        <v>0.10060263398449409</v>
      </c>
      <c r="G92" s="796">
        <f t="shared" si="15"/>
        <v>5.5400895150499174E-2</v>
      </c>
      <c r="H92" s="796">
        <f t="shared" si="15"/>
        <v>-0.50854286713592445</v>
      </c>
      <c r="I92" s="796">
        <f t="shared" si="15"/>
        <v>0.15649919994477379</v>
      </c>
      <c r="J92" s="796">
        <f t="shared" si="15"/>
        <v>0.15851068919677536</v>
      </c>
      <c r="K92" s="796">
        <f t="shared" si="15"/>
        <v>0.87038907699783574</v>
      </c>
      <c r="L92" s="796">
        <f t="shared" si="15"/>
        <v>0.24526090899337327</v>
      </c>
      <c r="M92" s="796">
        <f t="shared" si="15"/>
        <v>2.0000000000000018E-2</v>
      </c>
      <c r="N92" s="796">
        <v>0.17499999999999999</v>
      </c>
      <c r="O92" s="796">
        <f t="shared" ref="O92:Q92" si="16">O91/N91-1</f>
        <v>0.14222147677597419</v>
      </c>
      <c r="P92" s="796">
        <f t="shared" si="16"/>
        <v>0.8416343434434066</v>
      </c>
      <c r="Q92" s="796">
        <f t="shared" si="16"/>
        <v>0.26791331247953121</v>
      </c>
      <c r="R92" s="12"/>
      <c r="S92" s="12"/>
      <c r="T92" s="12"/>
      <c r="U92" s="12"/>
      <c r="V92" s="12"/>
      <c r="W92" s="12"/>
      <c r="X92" s="12"/>
      <c r="Y92" s="12"/>
      <c r="Z92" s="12"/>
      <c r="AA92" s="12"/>
      <c r="AB92" s="12"/>
      <c r="AC92" s="12"/>
      <c r="AD92" s="12"/>
    </row>
    <row r="93" spans="1:30" ht="13.5" customHeight="1">
      <c r="A93" s="13"/>
      <c r="B93" s="12"/>
      <c r="C93" s="12"/>
      <c r="D93" s="795"/>
      <c r="E93" s="796"/>
      <c r="F93" s="796"/>
      <c r="G93" s="796"/>
      <c r="H93" s="796"/>
      <c r="I93" s="796"/>
      <c r="J93" s="796"/>
      <c r="K93" s="796"/>
      <c r="L93" s="796"/>
      <c r="M93" s="795"/>
      <c r="N93" s="796"/>
      <c r="O93" s="796"/>
      <c r="P93" s="796"/>
      <c r="Q93" s="12"/>
      <c r="R93" s="12"/>
      <c r="S93" s="12"/>
      <c r="T93" s="12"/>
      <c r="U93" s="12"/>
      <c r="V93" s="12"/>
      <c r="W93" s="12"/>
      <c r="X93" s="12"/>
      <c r="Y93" s="12"/>
      <c r="Z93" s="12"/>
      <c r="AA93" s="12"/>
      <c r="AB93" s="12"/>
      <c r="AC93" s="12"/>
      <c r="AD93" s="12"/>
    </row>
    <row r="94" spans="1:30" ht="13.5" customHeight="1">
      <c r="A94" s="13"/>
      <c r="B94" s="12"/>
      <c r="C94" s="12"/>
      <c r="D94" s="795"/>
      <c r="E94" s="796"/>
      <c r="F94" s="796"/>
      <c r="G94" s="796"/>
      <c r="H94" s="796"/>
      <c r="I94" s="796"/>
      <c r="J94" s="796"/>
      <c r="K94" s="796"/>
      <c r="L94" s="796"/>
      <c r="M94" s="795"/>
      <c r="N94" s="796"/>
      <c r="O94" s="796"/>
      <c r="P94" s="796"/>
      <c r="Q94" s="12"/>
      <c r="R94" s="12"/>
      <c r="S94" s="12"/>
      <c r="T94" s="12"/>
      <c r="U94" s="12"/>
      <c r="V94" s="12"/>
      <c r="W94" s="12"/>
      <c r="X94" s="12"/>
      <c r="Y94" s="12"/>
      <c r="Z94" s="12"/>
      <c r="AA94" s="12"/>
      <c r="AB94" s="12"/>
      <c r="AC94" s="12"/>
      <c r="AD94" s="12"/>
    </row>
    <row r="95" spans="1:30" ht="13.5" customHeight="1">
      <c r="A95" s="13"/>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spans="1:30" ht="13.5" customHeight="1">
      <c r="A96" s="13"/>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spans="1:30" ht="13.5" customHeight="1">
      <c r="A97" s="13"/>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spans="1:30"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spans="1:30" ht="13.5" customHeight="1">
      <c r="A99" s="13"/>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spans="1:30" ht="13.5" customHeight="1">
      <c r="A104" s="13"/>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13.5" customHeight="1">
      <c r="A106" s="13"/>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3.5" customHeight="1">
      <c r="A108" s="13"/>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13.5" customHeight="1">
      <c r="A109" s="13"/>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13.5" customHeight="1">
      <c r="A110" s="13"/>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spans="1:30" ht="13.5" customHeight="1">
      <c r="A111" s="13"/>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3.5" customHeight="1">
      <c r="A112" s="13"/>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3.5" customHeight="1">
      <c r="A113" s="13"/>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3.5" customHeight="1">
      <c r="A114" s="13" t="s">
        <v>1</v>
      </c>
      <c r="B114" s="12"/>
      <c r="C114" s="81" t="s">
        <v>932</v>
      </c>
      <c r="D114" s="82"/>
      <c r="E114" s="82"/>
      <c r="F114" s="82"/>
      <c r="G114" s="82"/>
      <c r="H114" s="82"/>
      <c r="I114" s="82"/>
      <c r="J114" s="82"/>
      <c r="K114" s="82"/>
      <c r="L114" s="82"/>
      <c r="M114" s="82"/>
      <c r="N114" s="82"/>
      <c r="O114" s="82"/>
      <c r="P114" s="82"/>
      <c r="Q114" s="82"/>
      <c r="R114" s="12"/>
      <c r="S114" s="12"/>
      <c r="T114" s="12"/>
      <c r="U114" s="12"/>
      <c r="V114" s="12"/>
      <c r="W114" s="12"/>
      <c r="X114" s="12"/>
      <c r="Y114" s="12"/>
      <c r="Z114" s="12"/>
      <c r="AA114" s="12"/>
      <c r="AB114" s="12"/>
      <c r="AC114" s="12"/>
      <c r="AD114" s="12"/>
    </row>
    <row r="115" spans="1:30" ht="13.5" customHeight="1">
      <c r="A115" s="13"/>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3.5" customHeight="1">
      <c r="A116" s="13"/>
      <c r="B116" s="12"/>
      <c r="C116" s="143"/>
      <c r="D116" s="799" t="str">
        <f>'Segment Analysis'!$C$16</f>
        <v>Home Improvement Retail</v>
      </c>
      <c r="E116" s="799" t="str">
        <f>'Segment Analysis'!$C$17</f>
        <v>Segment 2</v>
      </c>
      <c r="F116" s="799" t="str">
        <f>'Segment Analysis'!$C$20</f>
        <v>Segment 5</v>
      </c>
      <c r="G116" s="799" t="str">
        <f>'Segment Analysis'!$C$18</f>
        <v>Segment 3</v>
      </c>
      <c r="H116" s="799" t="str">
        <f>'Segment Analysis'!$C$19</f>
        <v>Segment 4</v>
      </c>
      <c r="I116" s="800" t="str">
        <f>'Segment Analysis'!$C$21</f>
        <v>Segment 6</v>
      </c>
      <c r="J116" s="69"/>
      <c r="K116" s="12"/>
      <c r="L116" s="12"/>
      <c r="M116" s="12"/>
      <c r="N116" s="12"/>
      <c r="O116" s="12"/>
      <c r="P116" s="12"/>
      <c r="Q116" s="12"/>
      <c r="R116" s="12"/>
      <c r="S116" s="12"/>
      <c r="T116" s="12"/>
      <c r="U116" s="12"/>
      <c r="V116" s="12"/>
      <c r="W116" s="12"/>
      <c r="X116" s="12"/>
      <c r="Y116" s="12"/>
      <c r="Z116" s="12"/>
      <c r="AA116" s="12"/>
      <c r="AB116" s="12"/>
      <c r="AC116" s="12"/>
      <c r="AD116" s="12"/>
    </row>
    <row r="117" spans="1:30" ht="13.5" customHeight="1">
      <c r="A117" s="13"/>
      <c r="B117" s="12"/>
      <c r="C117" s="792" t="s">
        <v>933</v>
      </c>
      <c r="D117" s="801">
        <f>'Segment Analysis'!$T$16</f>
        <v>1</v>
      </c>
      <c r="E117" s="802">
        <f>'Segment Analysis'!$T$17</f>
        <v>0</v>
      </c>
      <c r="F117" s="802">
        <f>'Segment Analysis'!$T$20</f>
        <v>0</v>
      </c>
      <c r="G117" s="802">
        <f>'Segment Analysis'!$T$18</f>
        <v>0</v>
      </c>
      <c r="H117" s="802">
        <f>'Segment Analysis'!$T$19</f>
        <v>0</v>
      </c>
      <c r="I117" s="802">
        <f>'Segment Analysis'!$T$21</f>
        <v>0</v>
      </c>
      <c r="J117" s="137" t="s">
        <v>934</v>
      </c>
      <c r="K117" s="803">
        <f>SUM(D117:I117)</f>
        <v>1</v>
      </c>
      <c r="L117" s="12" t="s">
        <v>935</v>
      </c>
      <c r="M117" s="12"/>
      <c r="N117" s="12"/>
      <c r="O117" s="12"/>
      <c r="P117" s="12"/>
      <c r="Q117" s="12"/>
      <c r="R117" s="12"/>
      <c r="S117" s="12"/>
      <c r="T117" s="12"/>
      <c r="U117" s="12"/>
      <c r="V117" s="12"/>
      <c r="W117" s="12"/>
      <c r="X117" s="12"/>
      <c r="Y117" s="12"/>
      <c r="Z117" s="12"/>
      <c r="AA117" s="12"/>
      <c r="AB117" s="12"/>
      <c r="AC117" s="12"/>
      <c r="AD117" s="12"/>
    </row>
    <row r="118" spans="1:30" ht="13.5" customHeight="1">
      <c r="A118" s="13"/>
      <c r="B118" s="12"/>
      <c r="C118" s="12"/>
      <c r="D118" s="12"/>
      <c r="E118" s="12"/>
      <c r="F118" s="164"/>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spans="1:30" ht="13.5" customHeight="1">
      <c r="A119" s="13"/>
      <c r="B119" s="12"/>
      <c r="C119" s="12"/>
      <c r="D119" s="12"/>
      <c r="E119" s="12"/>
      <c r="F119" s="12"/>
      <c r="G119" s="12"/>
      <c r="H119" s="12"/>
      <c r="I119" s="12"/>
      <c r="J119" s="12"/>
      <c r="K119" s="12"/>
      <c r="L119" s="12"/>
      <c r="M119" s="12"/>
      <c r="N119" s="12"/>
      <c r="O119" s="12"/>
      <c r="P119" s="12"/>
      <c r="Q119" s="12"/>
      <c r="R119" s="804"/>
      <c r="S119" s="804"/>
      <c r="T119" s="804"/>
      <c r="U119" s="804"/>
      <c r="V119" s="804"/>
      <c r="W119" s="804"/>
      <c r="X119" s="12"/>
      <c r="Y119" s="12"/>
      <c r="Z119" s="12"/>
      <c r="AA119" s="12"/>
      <c r="AB119" s="12"/>
      <c r="AC119" s="12"/>
      <c r="AD119" s="12"/>
    </row>
    <row r="120" spans="1:30" ht="13.5" customHeight="1">
      <c r="A120" s="13"/>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3.5" customHeight="1">
      <c r="A122" s="13"/>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3.5" customHeight="1">
      <c r="A124" s="13"/>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13.5" customHeight="1">
      <c r="A125" s="13"/>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ht="13.5" customHeight="1">
      <c r="A126" s="13"/>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13.5" customHeight="1">
      <c r="A127" s="13"/>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spans="1:30" ht="13.5" customHeight="1">
      <c r="A128" s="13"/>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ht="13.5" customHeight="1">
      <c r="A129" s="13"/>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1:30" ht="13.5" customHeight="1">
      <c r="A131" s="13"/>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13.5" customHeight="1">
      <c r="A133" s="13" t="s">
        <v>1</v>
      </c>
      <c r="B133" s="12"/>
      <c r="C133" s="81" t="str">
        <f>Ticker&amp;" - Debt Distribution"</f>
        <v>NFLX - Debt Distribution</v>
      </c>
      <c r="D133" s="82"/>
      <c r="E133" s="82"/>
      <c r="F133" s="82"/>
      <c r="G133" s="82"/>
      <c r="H133" s="82"/>
      <c r="I133" s="82"/>
      <c r="J133" s="82"/>
      <c r="K133" s="82"/>
      <c r="L133" s="82"/>
      <c r="M133" s="82"/>
      <c r="N133" s="82"/>
      <c r="O133" s="82"/>
      <c r="P133" s="82"/>
      <c r="Q133" s="82"/>
      <c r="R133" s="12"/>
      <c r="S133" s="12"/>
      <c r="T133" s="12"/>
      <c r="U133" s="12"/>
      <c r="V133" s="12"/>
      <c r="W133" s="12"/>
      <c r="X133" s="12"/>
      <c r="Y133" s="12"/>
      <c r="Z133" s="12"/>
      <c r="AA133" s="12"/>
      <c r="AB133" s="12"/>
      <c r="AC133" s="12"/>
      <c r="AD133" s="12"/>
    </row>
    <row r="134" spans="1:30" ht="13.5" customHeight="1">
      <c r="A134" s="13"/>
      <c r="B134" s="12"/>
      <c r="C134" s="40"/>
      <c r="D134" s="149"/>
      <c r="E134" s="149"/>
      <c r="F134" s="149"/>
      <c r="G134" s="149"/>
      <c r="H134" s="149"/>
      <c r="I134" s="149"/>
      <c r="J134" s="149"/>
      <c r="K134" s="149"/>
      <c r="L134" s="149"/>
      <c r="M134" s="149"/>
      <c r="N134" s="149"/>
      <c r="O134" s="149"/>
      <c r="P134" s="149"/>
      <c r="Q134" s="149"/>
      <c r="R134" s="12"/>
      <c r="S134" s="12"/>
      <c r="T134" s="12"/>
      <c r="U134" s="12"/>
      <c r="V134" s="12"/>
      <c r="W134" s="12"/>
      <c r="X134" s="12"/>
      <c r="Y134" s="12"/>
      <c r="Z134" s="12"/>
      <c r="AA134" s="12"/>
      <c r="AB134" s="12"/>
      <c r="AC134" s="12"/>
      <c r="AD134" s="12"/>
    </row>
    <row r="135" spans="1:30" ht="13.5" customHeight="1">
      <c r="A135" s="13"/>
      <c r="B135" s="12"/>
      <c r="C135" s="143"/>
      <c r="D135" s="805">
        <v>2021</v>
      </c>
      <c r="E135" s="806">
        <f t="shared" ref="E135:Q135" si="17">D135+1</f>
        <v>2022</v>
      </c>
      <c r="F135" s="806">
        <f t="shared" si="17"/>
        <v>2023</v>
      </c>
      <c r="G135" s="806">
        <f t="shared" si="17"/>
        <v>2024</v>
      </c>
      <c r="H135" s="806">
        <f t="shared" si="17"/>
        <v>2025</v>
      </c>
      <c r="I135" s="806">
        <f t="shared" si="17"/>
        <v>2026</v>
      </c>
      <c r="J135" s="806">
        <f t="shared" si="17"/>
        <v>2027</v>
      </c>
      <c r="K135" s="806">
        <f t="shared" si="17"/>
        <v>2028</v>
      </c>
      <c r="L135" s="806">
        <f t="shared" si="17"/>
        <v>2029</v>
      </c>
      <c r="M135" s="806">
        <f t="shared" si="17"/>
        <v>2030</v>
      </c>
      <c r="N135" s="806">
        <f t="shared" si="17"/>
        <v>2031</v>
      </c>
      <c r="O135" s="806">
        <f t="shared" si="17"/>
        <v>2032</v>
      </c>
      <c r="P135" s="806">
        <f t="shared" si="17"/>
        <v>2033</v>
      </c>
      <c r="Q135" s="807">
        <f t="shared" si="17"/>
        <v>2034</v>
      </c>
      <c r="R135" s="808"/>
      <c r="S135" s="808"/>
      <c r="T135" s="808"/>
      <c r="U135" s="808"/>
      <c r="V135" s="808"/>
      <c r="W135" s="808"/>
      <c r="X135" s="12"/>
      <c r="Y135" s="12"/>
      <c r="Z135" s="12"/>
      <c r="AA135" s="12"/>
      <c r="AB135" s="12"/>
      <c r="AC135" s="12"/>
      <c r="AD135" s="12"/>
    </row>
    <row r="136" spans="1:30" ht="13.5" customHeight="1">
      <c r="A136" s="13"/>
      <c r="B136" s="12"/>
      <c r="C136" s="789" t="s">
        <v>936</v>
      </c>
      <c r="D136" s="798">
        <v>0</v>
      </c>
      <c r="E136" s="798">
        <v>0</v>
      </c>
      <c r="F136" s="798">
        <v>1980</v>
      </c>
      <c r="G136" s="798">
        <v>0</v>
      </c>
      <c r="H136" s="798">
        <v>1020</v>
      </c>
      <c r="I136" s="798">
        <v>0</v>
      </c>
      <c r="J136" s="798">
        <v>0</v>
      </c>
      <c r="K136" s="798">
        <v>0</v>
      </c>
      <c r="L136" s="798">
        <v>0</v>
      </c>
      <c r="M136" s="798">
        <v>0</v>
      </c>
      <c r="N136" s="798">
        <v>0</v>
      </c>
      <c r="O136" s="798">
        <v>0</v>
      </c>
      <c r="P136" s="798">
        <v>0</v>
      </c>
      <c r="Q136" s="798">
        <v>0</v>
      </c>
      <c r="R136" s="804"/>
      <c r="S136" s="804"/>
      <c r="T136" s="804"/>
      <c r="U136" s="804"/>
      <c r="V136" s="804"/>
      <c r="W136" s="804"/>
      <c r="X136" s="12"/>
      <c r="Y136" s="12"/>
      <c r="Z136" s="12"/>
      <c r="AA136" s="12"/>
      <c r="AB136" s="12"/>
      <c r="AC136" s="12"/>
      <c r="AD136" s="12"/>
    </row>
    <row r="137" spans="1:30" ht="13.5" customHeight="1">
      <c r="A137" s="13"/>
      <c r="B137" s="12"/>
      <c r="C137" s="789" t="s">
        <v>937</v>
      </c>
      <c r="D137" s="809">
        <v>1025</v>
      </c>
      <c r="E137" s="809">
        <v>760</v>
      </c>
      <c r="F137" s="809">
        <v>505</v>
      </c>
      <c r="G137" s="809">
        <v>450</v>
      </c>
      <c r="H137" s="809">
        <v>1500</v>
      </c>
      <c r="I137" s="809">
        <v>1350</v>
      </c>
      <c r="J137" s="809">
        <v>1618</v>
      </c>
      <c r="K137" s="809">
        <v>225</v>
      </c>
      <c r="L137" s="809">
        <v>1811</v>
      </c>
      <c r="M137" s="809">
        <v>1250</v>
      </c>
      <c r="N137" s="809">
        <v>0</v>
      </c>
      <c r="O137" s="809">
        <v>0</v>
      </c>
      <c r="P137" s="809">
        <v>0</v>
      </c>
      <c r="Q137" s="809">
        <v>0</v>
      </c>
      <c r="R137" s="804"/>
      <c r="S137" s="804"/>
      <c r="T137" s="804"/>
      <c r="U137" s="804"/>
      <c r="V137" s="804"/>
      <c r="W137" s="804"/>
      <c r="X137" s="12"/>
      <c r="Y137" s="12"/>
      <c r="Z137" s="12"/>
      <c r="AA137" s="12"/>
      <c r="AB137" s="12"/>
      <c r="AC137" s="12"/>
      <c r="AD137" s="12"/>
    </row>
    <row r="138" spans="1:30" ht="13.5" customHeight="1">
      <c r="A138" s="13"/>
      <c r="B138" s="12"/>
      <c r="C138" s="792" t="s">
        <v>938</v>
      </c>
      <c r="D138" s="809">
        <v>0</v>
      </c>
      <c r="E138" s="809">
        <v>0</v>
      </c>
      <c r="F138" s="809">
        <v>0</v>
      </c>
      <c r="G138" s="809">
        <v>0</v>
      </c>
      <c r="H138" s="809">
        <v>0</v>
      </c>
      <c r="I138" s="809">
        <v>0</v>
      </c>
      <c r="J138" s="809">
        <v>0</v>
      </c>
      <c r="K138" s="809">
        <v>0</v>
      </c>
      <c r="L138" s="809">
        <v>0</v>
      </c>
      <c r="M138" s="809">
        <v>0</v>
      </c>
      <c r="N138" s="809">
        <v>0</v>
      </c>
      <c r="O138" s="809">
        <v>0</v>
      </c>
      <c r="P138" s="809">
        <v>0</v>
      </c>
      <c r="Q138" s="809">
        <v>0</v>
      </c>
      <c r="R138" s="12"/>
      <c r="S138" s="12"/>
      <c r="T138" s="12"/>
      <c r="U138" s="12"/>
      <c r="V138" s="12"/>
      <c r="W138" s="12"/>
      <c r="X138" s="12"/>
      <c r="Y138" s="12"/>
      <c r="Z138" s="12"/>
      <c r="AA138" s="12"/>
      <c r="AB138" s="12"/>
      <c r="AC138" s="12"/>
      <c r="AD138" s="12"/>
    </row>
    <row r="139" spans="1:30" ht="13.5" customHeight="1">
      <c r="A139" s="13"/>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spans="1:30" ht="13.5" customHeight="1">
      <c r="A140" s="13"/>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ht="13.5" customHeight="1">
      <c r="A141" s="13"/>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13.5" customHeight="1">
      <c r="A142" s="13"/>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spans="1:30" ht="13.5" customHeight="1">
      <c r="A143" s="13"/>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ht="13.5" customHeight="1">
      <c r="A144" s="13"/>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13.5" customHeight="1">
      <c r="A145" s="13"/>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3.5" customHeight="1">
      <c r="A146" s="13"/>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ht="13.5" customHeight="1">
      <c r="A147" s="13"/>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3.5" customHeight="1">
      <c r="A148" s="13"/>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spans="1:30" ht="13.5" customHeight="1">
      <c r="A149" s="13"/>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ht="13.5" customHeight="1">
      <c r="A150" s="13"/>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13.5" customHeight="1">
      <c r="A151" s="13"/>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13.5" customHeight="1">
      <c r="A152" s="13"/>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13.5" customHeight="1">
      <c r="A153" s="13"/>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13.5" hidden="1" customHeight="1" outlineLevel="1" collapsed="1">
      <c r="A154" s="13" t="s">
        <v>1</v>
      </c>
      <c r="B154" s="12"/>
      <c r="C154" s="81" t="s">
        <v>939</v>
      </c>
      <c r="D154" s="82"/>
      <c r="E154" s="82"/>
      <c r="F154" s="82"/>
      <c r="G154" s="82"/>
      <c r="H154" s="82"/>
      <c r="I154" s="82"/>
      <c r="J154" s="82"/>
      <c r="K154" s="82"/>
      <c r="L154" s="82"/>
      <c r="M154" s="82"/>
      <c r="N154" s="82"/>
      <c r="O154" s="82"/>
      <c r="P154" s="82"/>
      <c r="Q154" s="82"/>
      <c r="R154" s="12"/>
      <c r="S154" s="12"/>
      <c r="T154" s="12"/>
      <c r="U154" s="12"/>
      <c r="V154" s="12"/>
      <c r="W154" s="12"/>
      <c r="X154" s="12"/>
      <c r="Y154" s="12"/>
      <c r="Z154" s="12"/>
      <c r="AA154" s="12"/>
      <c r="AB154" s="12"/>
      <c r="AC154" s="12"/>
      <c r="AD154" s="12"/>
    </row>
    <row r="155" spans="1:30" ht="13.5" hidden="1" customHeight="1" outlineLevel="1" collapsed="1">
      <c r="A155" s="13"/>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ht="13.5" hidden="1" customHeight="1" outlineLevel="1" collapsed="1">
      <c r="A156" s="13"/>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13.5" hidden="1" customHeight="1" outlineLevel="1" collapsed="1">
      <c r="A157" s="13"/>
      <c r="B157" s="12"/>
      <c r="C157" s="81" t="s">
        <v>940</v>
      </c>
      <c r="D157" s="81"/>
      <c r="E157" s="81"/>
      <c r="F157" s="81"/>
      <c r="G157" s="81"/>
      <c r="H157" s="81"/>
      <c r="I157" s="81"/>
      <c r="J157" s="12"/>
      <c r="K157" s="81" t="s">
        <v>941</v>
      </c>
      <c r="L157" s="81"/>
      <c r="M157" s="81"/>
      <c r="N157" s="81"/>
      <c r="O157" s="81"/>
      <c r="P157" s="81"/>
      <c r="Q157" s="81"/>
      <c r="R157" s="12"/>
      <c r="S157" s="12"/>
      <c r="T157" s="12"/>
      <c r="U157" s="12"/>
      <c r="V157" s="12"/>
      <c r="W157" s="12"/>
      <c r="X157" s="12"/>
      <c r="Y157" s="12"/>
      <c r="Z157" s="12"/>
      <c r="AA157" s="12"/>
      <c r="AB157" s="12"/>
      <c r="AC157" s="12"/>
      <c r="AD157" s="12"/>
    </row>
    <row r="158" spans="1:30" ht="13.5" hidden="1" customHeight="1" outlineLevel="1" collapsed="1">
      <c r="A158" s="13"/>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13.5" hidden="1" customHeight="1" outlineLevel="1" collapsed="1">
      <c r="A159" s="13"/>
      <c r="B159" s="12"/>
      <c r="C159" s="143"/>
      <c r="D159" s="810">
        <v>42735</v>
      </c>
      <c r="E159" s="811">
        <f t="shared" ref="E159:I159" si="18">EDATE(D159,12)</f>
        <v>43100</v>
      </c>
      <c r="F159" s="811">
        <f t="shared" si="18"/>
        <v>43465</v>
      </c>
      <c r="G159" s="811">
        <f t="shared" si="18"/>
        <v>43830</v>
      </c>
      <c r="H159" s="811">
        <f t="shared" si="18"/>
        <v>44196</v>
      </c>
      <c r="I159" s="812">
        <f t="shared" si="18"/>
        <v>44561</v>
      </c>
      <c r="J159" s="12"/>
      <c r="K159" s="143" t="s">
        <v>942</v>
      </c>
      <c r="L159" s="810">
        <v>41639</v>
      </c>
      <c r="M159" s="811">
        <f t="shared" ref="M159:Q159" si="19">EDATE(L159,12)</f>
        <v>42004</v>
      </c>
      <c r="N159" s="811">
        <f t="shared" si="19"/>
        <v>42369</v>
      </c>
      <c r="O159" s="811">
        <f t="shared" si="19"/>
        <v>42735</v>
      </c>
      <c r="P159" s="811">
        <f t="shared" si="19"/>
        <v>43100</v>
      </c>
      <c r="Q159" s="812">
        <f t="shared" si="19"/>
        <v>43465</v>
      </c>
      <c r="R159" s="12"/>
      <c r="S159" s="12"/>
      <c r="T159" s="12"/>
      <c r="U159" s="12"/>
      <c r="V159" s="12"/>
      <c r="W159" s="12"/>
      <c r="X159" s="12"/>
      <c r="Y159" s="12"/>
      <c r="Z159" s="12"/>
      <c r="AA159" s="12"/>
      <c r="AB159" s="12"/>
      <c r="AC159" s="12"/>
      <c r="AD159" s="12"/>
    </row>
    <row r="160" spans="1:30" ht="13.5" hidden="1" customHeight="1" outlineLevel="1" collapsed="1">
      <c r="A160" s="13"/>
      <c r="B160" s="12"/>
      <c r="C160" s="792" t="s">
        <v>943</v>
      </c>
      <c r="D160" s="798">
        <v>380</v>
      </c>
      <c r="E160" s="798">
        <v>400</v>
      </c>
      <c r="F160" s="798">
        <v>420</v>
      </c>
      <c r="G160" s="798">
        <v>460</v>
      </c>
      <c r="H160" s="798">
        <v>480</v>
      </c>
      <c r="I160" s="798">
        <v>490</v>
      </c>
      <c r="J160" s="12"/>
      <c r="K160" s="792" t="s">
        <v>944</v>
      </c>
      <c r="L160" s="795">
        <v>0.1</v>
      </c>
      <c r="M160" s="795">
        <v>0.11</v>
      </c>
      <c r="N160" s="795">
        <v>0.12</v>
      </c>
      <c r="O160" s="795">
        <v>0.13</v>
      </c>
      <c r="P160" s="795">
        <v>0.14000000000000001</v>
      </c>
      <c r="Q160" s="795">
        <v>0.15</v>
      </c>
      <c r="R160" s="12"/>
      <c r="S160" s="12"/>
      <c r="T160" s="12"/>
      <c r="U160" s="12"/>
      <c r="V160" s="12"/>
      <c r="W160" s="12"/>
      <c r="X160" s="12"/>
      <c r="Y160" s="12"/>
      <c r="Z160" s="12"/>
      <c r="AA160" s="12"/>
      <c r="AB160" s="12"/>
      <c r="AC160" s="12"/>
      <c r="AD160" s="12"/>
    </row>
    <row r="161" spans="1:30" ht="13.5" hidden="1" customHeight="1" outlineLevel="1" collapsed="1">
      <c r="A161" s="13"/>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3.5" hidden="1" customHeight="1" outlineLevel="1" collapsed="1">
      <c r="A162" s="13"/>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13.5" hidden="1" customHeight="1" outlineLevel="1" collapsed="1">
      <c r="A163" s="13"/>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spans="1:30" ht="13.5" hidden="1" customHeight="1" outlineLevel="1" collapsed="1">
      <c r="A164" s="13"/>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3.5" hidden="1" customHeight="1" outlineLevel="1" collapsed="1">
      <c r="A165" s="13"/>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3.5" hidden="1" customHeight="1" outlineLevel="1" collapsed="1">
      <c r="A166" s="13"/>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3.5" hidden="1" customHeight="1" outlineLevel="1" collapsed="1">
      <c r="A167" s="13"/>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3.5" hidden="1" customHeight="1" outlineLevel="1" collapsed="1">
      <c r="A168" s="13"/>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3.5" hidden="1" customHeight="1" outlineLevel="1" collapsed="1">
      <c r="A169" s="13"/>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13.5" hidden="1" customHeight="1" outlineLevel="1" collapsed="1">
      <c r="A170" s="13"/>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13.5" hidden="1" customHeight="1" outlineLevel="1" collapsed="1">
      <c r="A171" s="13"/>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spans="1:30" ht="13.5" hidden="1" customHeight="1" outlineLevel="1" collapsed="1">
      <c r="A172" s="13"/>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3.5" hidden="1" customHeight="1" outlineLevel="1" collapsed="1">
      <c r="A173" s="13"/>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13.5" hidden="1" customHeight="1" outlineLevel="1" collapsed="1">
      <c r="A174" s="13"/>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spans="1:30" ht="13.5" hidden="1" customHeight="1" outlineLevel="1" collapsed="1">
      <c r="A175" s="13"/>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3.5" customHeight="1">
      <c r="A176" s="13"/>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13.5" customHeight="1">
      <c r="A177" s="13" t="s">
        <v>1</v>
      </c>
      <c r="B177" s="12"/>
      <c r="C177" s="81" t="str">
        <f>Ticker&amp;" - One Year Stock Price Performance"</f>
        <v>NFLX - One Year Stock Price Performance</v>
      </c>
      <c r="D177" s="82"/>
      <c r="E177" s="82"/>
      <c r="F177" s="82"/>
      <c r="G177" s="82"/>
      <c r="H177" s="82"/>
      <c r="I177" s="82"/>
      <c r="J177" s="82"/>
      <c r="K177" s="82"/>
      <c r="L177" s="82"/>
      <c r="M177" s="82"/>
      <c r="N177" s="82"/>
      <c r="O177" s="82"/>
      <c r="P177" s="82"/>
      <c r="Q177" s="82"/>
      <c r="R177" s="12"/>
      <c r="S177" s="12"/>
      <c r="T177" s="12"/>
      <c r="U177" s="12"/>
      <c r="V177" s="12"/>
      <c r="W177" s="12"/>
      <c r="X177" s="12"/>
      <c r="Y177" s="12"/>
      <c r="Z177" s="12"/>
      <c r="AA177" s="12"/>
      <c r="AB177" s="12"/>
      <c r="AC177" s="12"/>
      <c r="AD177" s="12"/>
    </row>
    <row r="178" spans="1:30" ht="13.5" customHeight="1">
      <c r="A178" s="13"/>
      <c r="B178" s="12"/>
      <c r="C178" s="12"/>
      <c r="D178" s="12"/>
      <c r="E178" s="12"/>
      <c r="F178" s="929" t="s">
        <v>945</v>
      </c>
      <c r="G178" s="861"/>
      <c r="H178" s="861"/>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spans="1:30" ht="13.5" customHeight="1">
      <c r="A179" s="13"/>
      <c r="B179" s="12"/>
      <c r="C179" s="160" t="s">
        <v>182</v>
      </c>
      <c r="D179" s="160" t="s">
        <v>946</v>
      </c>
      <c r="E179" s="160" t="s">
        <v>255</v>
      </c>
      <c r="F179" s="160" t="s">
        <v>253</v>
      </c>
      <c r="G179" s="160" t="s">
        <v>252</v>
      </c>
      <c r="H179" s="160" t="s">
        <v>251</v>
      </c>
      <c r="I179" s="12"/>
      <c r="J179" s="12"/>
      <c r="K179" s="12"/>
      <c r="L179" s="12"/>
      <c r="M179" s="12"/>
      <c r="N179" s="908" t="s">
        <v>947</v>
      </c>
      <c r="O179" s="909"/>
      <c r="P179" s="910"/>
      <c r="Q179" s="12"/>
      <c r="R179" s="12"/>
      <c r="S179" s="12"/>
      <c r="T179" s="12"/>
      <c r="U179" s="12"/>
      <c r="V179" s="12"/>
      <c r="W179" s="12"/>
      <c r="X179" s="12"/>
      <c r="Y179" s="12"/>
      <c r="Z179" s="12"/>
      <c r="AA179" s="12"/>
      <c r="AB179" s="12"/>
      <c r="AC179" s="12"/>
      <c r="AD179" s="12"/>
    </row>
    <row r="180" spans="1:30" ht="13.5" customHeight="1">
      <c r="A180" s="13"/>
      <c r="B180" s="12"/>
      <c r="C180" s="785">
        <f>EDATE(C181,18)</f>
        <v>44984</v>
      </c>
      <c r="D180" s="69"/>
      <c r="E180" s="69"/>
      <c r="F180" s="382">
        <v>167</v>
      </c>
      <c r="G180" s="382">
        <v>236</v>
      </c>
      <c r="H180" s="382">
        <v>295</v>
      </c>
      <c r="I180" s="12"/>
      <c r="J180" s="12"/>
      <c r="K180" s="12"/>
      <c r="L180" s="12"/>
      <c r="M180" s="12"/>
      <c r="N180" s="69"/>
      <c r="O180" s="69"/>
      <c r="P180" s="69"/>
      <c r="Q180" s="12"/>
      <c r="R180" s="12"/>
      <c r="S180" s="12"/>
      <c r="T180" s="12"/>
      <c r="U180" s="12"/>
      <c r="V180" s="12"/>
      <c r="W180" s="12"/>
      <c r="X180" s="12"/>
      <c r="Y180" s="12"/>
      <c r="Z180" s="12"/>
      <c r="AA180" s="12"/>
      <c r="AB180" s="12"/>
      <c r="AC180" s="12"/>
      <c r="AD180" s="12"/>
    </row>
    <row r="181" spans="1:30" ht="13.5" customHeight="1">
      <c r="A181" s="13"/>
      <c r="B181" s="12"/>
      <c r="C181" s="813">
        <v>44435</v>
      </c>
      <c r="D181" s="382">
        <v>205.89999399999999</v>
      </c>
      <c r="E181" s="809">
        <v>2769871</v>
      </c>
      <c r="F181" s="96">
        <f t="shared" ref="F181:H181" si="20">$D$181</f>
        <v>205.89999399999999</v>
      </c>
      <c r="G181" s="96">
        <f t="shared" si="20"/>
        <v>205.89999399999999</v>
      </c>
      <c r="H181" s="96">
        <f t="shared" si="20"/>
        <v>205.89999399999999</v>
      </c>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ht="13.5" customHeight="1">
      <c r="A182" s="13"/>
      <c r="B182" s="12"/>
      <c r="C182" s="813">
        <v>44434</v>
      </c>
      <c r="D182" s="814">
        <v>205.64999399999999</v>
      </c>
      <c r="E182" s="809">
        <v>3250400</v>
      </c>
      <c r="F182" s="12"/>
      <c r="G182" s="12"/>
      <c r="H182" s="12"/>
      <c r="I182" s="12"/>
      <c r="J182" s="12"/>
      <c r="K182" s="12"/>
      <c r="L182" s="12"/>
      <c r="M182" s="12"/>
      <c r="N182" s="69"/>
      <c r="O182" s="160" t="s">
        <v>166</v>
      </c>
      <c r="P182" s="160" t="s">
        <v>255</v>
      </c>
      <c r="Q182" s="12"/>
      <c r="R182" s="12"/>
      <c r="S182" s="12"/>
      <c r="T182" s="12"/>
      <c r="U182" s="12"/>
      <c r="V182" s="12"/>
      <c r="W182" s="12"/>
      <c r="X182" s="12"/>
      <c r="Y182" s="12"/>
      <c r="Z182" s="12"/>
      <c r="AA182" s="12"/>
      <c r="AB182" s="12"/>
      <c r="AC182" s="12"/>
      <c r="AD182" s="12"/>
    </row>
    <row r="183" spans="1:30" ht="13.5" customHeight="1">
      <c r="A183" s="13"/>
      <c r="B183" s="12"/>
      <c r="C183" s="813">
        <v>44433</v>
      </c>
      <c r="D183" s="814">
        <v>206.179993</v>
      </c>
      <c r="E183" s="809">
        <v>2628800</v>
      </c>
      <c r="F183" s="12"/>
      <c r="G183" s="12"/>
      <c r="H183" s="12"/>
      <c r="I183" s="12"/>
      <c r="J183" s="12"/>
      <c r="K183" s="12"/>
      <c r="L183" s="12"/>
      <c r="M183" s="12"/>
      <c r="N183" s="142" t="s">
        <v>167</v>
      </c>
      <c r="O183" s="181">
        <f>MAX(D181:D447)*1.1</f>
        <v>231.47700400000002</v>
      </c>
      <c r="P183" s="105">
        <f>MAX(E181:E447)</f>
        <v>18087800</v>
      </c>
      <c r="Q183" s="12"/>
      <c r="R183" s="12"/>
      <c r="S183" s="12"/>
      <c r="T183" s="12"/>
      <c r="U183" s="12"/>
      <c r="V183" s="12"/>
      <c r="W183" s="12"/>
      <c r="X183" s="12"/>
      <c r="Y183" s="12"/>
      <c r="Z183" s="12"/>
      <c r="AA183" s="12"/>
      <c r="AB183" s="12"/>
      <c r="AC183" s="12"/>
      <c r="AD183" s="12"/>
    </row>
    <row r="184" spans="1:30" ht="13.5" customHeight="1">
      <c r="A184" s="13"/>
      <c r="B184" s="12"/>
      <c r="C184" s="813">
        <v>44432</v>
      </c>
      <c r="D184" s="814">
        <v>203.38999899999999</v>
      </c>
      <c r="E184" s="809">
        <v>4110400</v>
      </c>
      <c r="F184" s="12"/>
      <c r="G184" s="12"/>
      <c r="H184" s="12"/>
      <c r="I184" s="12"/>
      <c r="J184" s="12"/>
      <c r="K184" s="12"/>
      <c r="L184" s="12"/>
      <c r="M184" s="12"/>
      <c r="N184" s="142" t="s">
        <v>168</v>
      </c>
      <c r="O184" s="181">
        <f t="shared" ref="O184:P184" si="21">MIN(D181:D447)*0.9</f>
        <v>130.6723068</v>
      </c>
      <c r="P184" s="105">
        <f t="shared" si="21"/>
        <v>940140</v>
      </c>
      <c r="Q184" s="12"/>
      <c r="R184" s="12"/>
      <c r="S184" s="12"/>
      <c r="T184" s="12"/>
      <c r="U184" s="12"/>
      <c r="V184" s="12"/>
      <c r="W184" s="12"/>
      <c r="X184" s="12"/>
      <c r="Y184" s="12"/>
      <c r="Z184" s="12"/>
      <c r="AA184" s="12"/>
      <c r="AB184" s="12"/>
      <c r="AC184" s="12"/>
      <c r="AD184" s="12"/>
    </row>
    <row r="185" spans="1:30" ht="13.5" customHeight="1">
      <c r="A185" s="13"/>
      <c r="B185" s="12"/>
      <c r="C185" s="813">
        <v>44431</v>
      </c>
      <c r="D185" s="814">
        <v>206.05999800000001</v>
      </c>
      <c r="E185" s="809">
        <v>4195200</v>
      </c>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13.5" customHeight="1">
      <c r="A186" s="13"/>
      <c r="B186" s="12"/>
      <c r="C186" s="813">
        <v>44428</v>
      </c>
      <c r="D186" s="814">
        <v>208.21000699999999</v>
      </c>
      <c r="E186" s="809">
        <v>4914400</v>
      </c>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spans="1:30" ht="13.5" customHeight="1">
      <c r="A187" s="13"/>
      <c r="B187" s="12"/>
      <c r="C187" s="813">
        <v>44427</v>
      </c>
      <c r="D187" s="814">
        <v>202.58999600000001</v>
      </c>
      <c r="E187" s="809">
        <v>5378300</v>
      </c>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ht="13.5" customHeight="1">
      <c r="A188" s="13"/>
      <c r="B188" s="12"/>
      <c r="C188" s="813">
        <v>44426</v>
      </c>
      <c r="D188" s="814">
        <v>199.729996</v>
      </c>
      <c r="E188" s="809">
        <v>16992700</v>
      </c>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13.5" customHeight="1">
      <c r="A189" s="13"/>
      <c r="B189" s="12"/>
      <c r="C189" s="813">
        <v>44425</v>
      </c>
      <c r="D189" s="814">
        <v>182.259995</v>
      </c>
      <c r="E189" s="809">
        <v>8256400</v>
      </c>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3.5" customHeight="1">
      <c r="A190" s="13"/>
      <c r="B190" s="12"/>
      <c r="C190" s="813">
        <v>44424</v>
      </c>
      <c r="D190" s="814">
        <v>193.479996</v>
      </c>
      <c r="E190" s="809">
        <v>3485800</v>
      </c>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3.5" customHeight="1">
      <c r="A191" s="13"/>
      <c r="B191" s="12"/>
      <c r="C191" s="813">
        <v>44421</v>
      </c>
      <c r="D191" s="814">
        <v>190.509995</v>
      </c>
      <c r="E191" s="809">
        <v>2399300</v>
      </c>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3.5" customHeight="1">
      <c r="A192" s="13"/>
      <c r="B192" s="12"/>
      <c r="C192" s="813">
        <v>44420</v>
      </c>
      <c r="D192" s="814">
        <v>192</v>
      </c>
      <c r="E192" s="809">
        <v>2753600</v>
      </c>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3.5" customHeight="1">
      <c r="A193" s="13"/>
      <c r="B193" s="12"/>
      <c r="C193" s="813">
        <v>44419</v>
      </c>
      <c r="D193" s="814">
        <v>194.520004</v>
      </c>
      <c r="E193" s="809">
        <v>3367300</v>
      </c>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3.5" customHeight="1">
      <c r="A194" s="13"/>
      <c r="B194" s="12"/>
      <c r="C194" s="813">
        <v>44418</v>
      </c>
      <c r="D194" s="814">
        <v>189.729996</v>
      </c>
      <c r="E194" s="809">
        <v>2548300</v>
      </c>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13.5" customHeight="1">
      <c r="A195" s="13"/>
      <c r="B195" s="12"/>
      <c r="C195" s="813">
        <v>44417</v>
      </c>
      <c r="D195" s="814">
        <v>187.990005</v>
      </c>
      <c r="E195" s="809">
        <v>2296200</v>
      </c>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spans="1:30" ht="13.5" customHeight="1">
      <c r="A196" s="13"/>
      <c r="B196" s="12"/>
      <c r="C196" s="813">
        <v>44414</v>
      </c>
      <c r="D196" s="814">
        <v>190.16000399999999</v>
      </c>
      <c r="E196" s="809">
        <v>2853800</v>
      </c>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13.5" customHeight="1">
      <c r="A197" s="13"/>
      <c r="B197" s="12"/>
      <c r="C197" s="813">
        <v>44413</v>
      </c>
      <c r="D197" s="814">
        <v>190.679993</v>
      </c>
      <c r="E197" s="809">
        <v>2335500</v>
      </c>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13.5" customHeight="1">
      <c r="A198" s="13"/>
      <c r="B198" s="12"/>
      <c r="C198" s="813">
        <v>44412</v>
      </c>
      <c r="D198" s="814">
        <v>189.89999399999999</v>
      </c>
      <c r="E198" s="809">
        <v>3162200</v>
      </c>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3.5" customHeight="1">
      <c r="A199" s="13"/>
      <c r="B199" s="12"/>
      <c r="C199" s="813">
        <v>44411</v>
      </c>
      <c r="D199" s="814">
        <v>193.949997</v>
      </c>
      <c r="E199" s="809">
        <v>2335100</v>
      </c>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13.5" customHeight="1">
      <c r="A200" s="13"/>
      <c r="B200" s="12"/>
      <c r="C200" s="813">
        <v>44410</v>
      </c>
      <c r="D200" s="814">
        <v>190.96000699999999</v>
      </c>
      <c r="E200" s="809">
        <v>3051700</v>
      </c>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13.5" customHeight="1">
      <c r="A201" s="13"/>
      <c r="B201" s="12"/>
      <c r="C201" s="813">
        <v>44407</v>
      </c>
      <c r="D201" s="814">
        <v>192.69000199999999</v>
      </c>
      <c r="E201" s="809">
        <v>2841600</v>
      </c>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spans="1:30" ht="13.5" customHeight="1">
      <c r="A202" s="13"/>
      <c r="B202" s="12"/>
      <c r="C202" s="813">
        <v>44406</v>
      </c>
      <c r="D202" s="814">
        <v>193.61999499999999</v>
      </c>
      <c r="E202" s="809">
        <v>2532800</v>
      </c>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3.5" customHeight="1">
      <c r="A203" s="13"/>
      <c r="B203" s="12"/>
      <c r="C203" s="813">
        <v>44405</v>
      </c>
      <c r="D203" s="814">
        <v>192.38999899999999</v>
      </c>
      <c r="E203" s="809">
        <v>2152500</v>
      </c>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3.5" customHeight="1">
      <c r="A204" s="13"/>
      <c r="B204" s="12"/>
      <c r="C204" s="813">
        <v>44404</v>
      </c>
      <c r="D204" s="814">
        <v>193.509995</v>
      </c>
      <c r="E204" s="809">
        <v>4106100</v>
      </c>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3.5" customHeight="1">
      <c r="A205" s="13"/>
      <c r="B205" s="12"/>
      <c r="C205" s="813">
        <v>44403</v>
      </c>
      <c r="D205" s="814">
        <v>197.740005</v>
      </c>
      <c r="E205" s="809">
        <v>3422200</v>
      </c>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3.5" customHeight="1">
      <c r="A206" s="13"/>
      <c r="B206" s="12"/>
      <c r="C206" s="813">
        <v>44400</v>
      </c>
      <c r="D206" s="814">
        <v>200.83999600000001</v>
      </c>
      <c r="E206" s="809">
        <v>3358100</v>
      </c>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3.5" customHeight="1">
      <c r="A207" s="13"/>
      <c r="B207" s="12"/>
      <c r="C207" s="813">
        <v>44399</v>
      </c>
      <c r="D207" s="814">
        <v>196.770004</v>
      </c>
      <c r="E207" s="809">
        <v>3244100</v>
      </c>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13.5" customHeight="1">
      <c r="A208" s="13"/>
      <c r="B208" s="12"/>
      <c r="C208" s="813">
        <v>44398</v>
      </c>
      <c r="D208" s="814">
        <v>195.13000500000001</v>
      </c>
      <c r="E208" s="809">
        <v>2112900</v>
      </c>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3.5" customHeight="1">
      <c r="A209" s="13"/>
      <c r="B209" s="12"/>
      <c r="C209" s="813">
        <v>44397</v>
      </c>
      <c r="D209" s="814">
        <v>194.11000100000001</v>
      </c>
      <c r="E209" s="809">
        <v>2882400</v>
      </c>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13.5" customHeight="1">
      <c r="A210" s="13"/>
      <c r="B210" s="12"/>
      <c r="C210" s="813">
        <v>44396</v>
      </c>
      <c r="D210" s="814">
        <v>192.09999099999999</v>
      </c>
      <c r="E210" s="809">
        <v>5214000</v>
      </c>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spans="1:30" ht="13.5" customHeight="1">
      <c r="A211" s="13"/>
      <c r="B211" s="12"/>
      <c r="C211" s="813">
        <v>44393</v>
      </c>
      <c r="D211" s="814">
        <v>195.32656900000001</v>
      </c>
      <c r="E211" s="809">
        <v>4920700</v>
      </c>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ht="13.5" customHeight="1">
      <c r="A212" s="13"/>
      <c r="B212" s="12"/>
      <c r="C212" s="813">
        <v>44392</v>
      </c>
      <c r="D212" s="814">
        <v>194.938187</v>
      </c>
      <c r="E212" s="809">
        <v>3188000</v>
      </c>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3.5" customHeight="1">
      <c r="A213" s="13"/>
      <c r="B213" s="12"/>
      <c r="C213" s="813">
        <v>44391</v>
      </c>
      <c r="D213" s="814">
        <v>191.940674</v>
      </c>
      <c r="E213" s="809">
        <v>2943300</v>
      </c>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spans="1:30" ht="13.5" customHeight="1">
      <c r="A214" s="13"/>
      <c r="B214" s="12"/>
      <c r="C214" s="813">
        <v>44390</v>
      </c>
      <c r="D214" s="814">
        <v>193.47427400000001</v>
      </c>
      <c r="E214" s="809">
        <v>3191900</v>
      </c>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13.5" customHeight="1">
      <c r="A215" s="13"/>
      <c r="B215" s="12"/>
      <c r="C215" s="813">
        <v>44389</v>
      </c>
      <c r="D215" s="814">
        <v>194.758926</v>
      </c>
      <c r="E215" s="809">
        <v>2405600</v>
      </c>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spans="1:30" ht="13.5" customHeight="1">
      <c r="A216" s="13"/>
      <c r="B216" s="12"/>
      <c r="C216" s="813">
        <v>44386</v>
      </c>
      <c r="D216" s="814">
        <v>194.51992799999999</v>
      </c>
      <c r="E216" s="809">
        <v>2436300</v>
      </c>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13.5" customHeight="1">
      <c r="A217" s="13"/>
      <c r="B217" s="12"/>
      <c r="C217" s="813">
        <v>44385</v>
      </c>
      <c r="D217" s="814">
        <v>192.00041200000001</v>
      </c>
      <c r="E217" s="809">
        <v>3993600</v>
      </c>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spans="1:30" ht="13.5" customHeight="1">
      <c r="A218" s="13"/>
      <c r="B218" s="12"/>
      <c r="C218" s="813">
        <v>44384</v>
      </c>
      <c r="D218" s="814">
        <v>195.06764200000001</v>
      </c>
      <c r="E218" s="809">
        <v>3647100</v>
      </c>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13.5" customHeight="1">
      <c r="A219" s="13"/>
      <c r="B219" s="12"/>
      <c r="C219" s="813">
        <v>44383</v>
      </c>
      <c r="D219" s="814">
        <v>193.94232199999999</v>
      </c>
      <c r="E219" s="809">
        <v>2588300</v>
      </c>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spans="1:30" ht="13.5" customHeight="1">
      <c r="A220" s="13"/>
      <c r="B220" s="12"/>
      <c r="C220" s="813">
        <v>44379</v>
      </c>
      <c r="D220" s="814">
        <v>194.898346</v>
      </c>
      <c r="E220" s="809">
        <v>2553000</v>
      </c>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13.5" customHeight="1">
      <c r="A221" s="13"/>
      <c r="B221" s="12"/>
      <c r="C221" s="813">
        <v>44378</v>
      </c>
      <c r="D221" s="814">
        <v>195.00788900000001</v>
      </c>
      <c r="E221" s="809">
        <v>2456300</v>
      </c>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spans="1:30" ht="13.5" customHeight="1">
      <c r="A222" s="13"/>
      <c r="B222" s="12"/>
      <c r="C222" s="813">
        <v>44377</v>
      </c>
      <c r="D222" s="814">
        <v>193.165558</v>
      </c>
      <c r="E222" s="809">
        <v>2715900</v>
      </c>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13.5" customHeight="1">
      <c r="A223" s="13"/>
      <c r="B223" s="12"/>
      <c r="C223" s="813">
        <v>44376</v>
      </c>
      <c r="D223" s="814">
        <v>193.39460800000001</v>
      </c>
      <c r="E223" s="809">
        <v>2628800</v>
      </c>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spans="1:30" ht="13.5" customHeight="1">
      <c r="A224" s="13"/>
      <c r="B224" s="12"/>
      <c r="C224" s="813">
        <v>44375</v>
      </c>
      <c r="D224" s="814">
        <v>192.40872200000001</v>
      </c>
      <c r="E224" s="809">
        <v>2510600</v>
      </c>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13.5" customHeight="1">
      <c r="A225" s="13"/>
      <c r="B225" s="12"/>
      <c r="C225" s="813">
        <v>44372</v>
      </c>
      <c r="D225" s="814">
        <v>191.86099200000001</v>
      </c>
      <c r="E225" s="809">
        <v>4149500</v>
      </c>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spans="1:30" ht="13.5" customHeight="1">
      <c r="A226" s="13"/>
      <c r="B226" s="12"/>
      <c r="C226" s="813">
        <v>44371</v>
      </c>
      <c r="D226" s="814">
        <v>190.95477299999999</v>
      </c>
      <c r="E226" s="809">
        <v>2767800</v>
      </c>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3.5" customHeight="1">
      <c r="A227" s="13"/>
      <c r="B227" s="12"/>
      <c r="C227" s="813">
        <v>44370</v>
      </c>
      <c r="D227" s="814">
        <v>190.34728999999999</v>
      </c>
      <c r="E227" s="809">
        <v>2835900</v>
      </c>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3.5" customHeight="1">
      <c r="A228" s="13"/>
      <c r="B228" s="12"/>
      <c r="C228" s="813">
        <v>44369</v>
      </c>
      <c r="D228" s="814">
        <v>190.92489599999999</v>
      </c>
      <c r="E228" s="809">
        <v>3995700</v>
      </c>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3.5" customHeight="1">
      <c r="A229" s="13"/>
      <c r="B229" s="12"/>
      <c r="C229" s="813">
        <v>44368</v>
      </c>
      <c r="D229" s="814">
        <v>188.09667999999999</v>
      </c>
      <c r="E229" s="809">
        <v>4539400</v>
      </c>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3.5" customHeight="1">
      <c r="A230" s="13"/>
      <c r="B230" s="12"/>
      <c r="C230" s="813">
        <v>44365</v>
      </c>
      <c r="D230" s="814">
        <v>186.10496499999999</v>
      </c>
      <c r="E230" s="809">
        <v>9316900</v>
      </c>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3.5" customHeight="1">
      <c r="A231" s="13"/>
      <c r="B231" s="12"/>
      <c r="C231" s="813">
        <v>44364</v>
      </c>
      <c r="D231" s="814">
        <v>186.06512499999999</v>
      </c>
      <c r="E231" s="809">
        <v>4260900</v>
      </c>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13.5" customHeight="1">
      <c r="A232" s="13"/>
      <c r="B232" s="12"/>
      <c r="C232" s="813">
        <v>44363</v>
      </c>
      <c r="D232" s="814">
        <v>185.42778000000001</v>
      </c>
      <c r="E232" s="809">
        <v>4175800</v>
      </c>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13.5" customHeight="1">
      <c r="A233" s="13"/>
      <c r="B233" s="12"/>
      <c r="C233" s="813">
        <v>44362</v>
      </c>
      <c r="D233" s="814">
        <v>187.10083</v>
      </c>
      <c r="E233" s="809">
        <v>4472600</v>
      </c>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spans="1:30" ht="13.5" customHeight="1">
      <c r="A234" s="13"/>
      <c r="B234" s="12"/>
      <c r="C234" s="813">
        <v>44361</v>
      </c>
      <c r="D234" s="814">
        <v>188.87344400000001</v>
      </c>
      <c r="E234" s="809">
        <v>3257700</v>
      </c>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13.5" customHeight="1">
      <c r="A235" s="13"/>
      <c r="B235" s="12"/>
      <c r="C235" s="813">
        <v>44358</v>
      </c>
      <c r="D235" s="814">
        <v>190.01866100000001</v>
      </c>
      <c r="E235" s="809">
        <v>3127800</v>
      </c>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3.5" customHeight="1">
      <c r="A236" s="13"/>
      <c r="B236" s="12"/>
      <c r="C236" s="813">
        <v>44357</v>
      </c>
      <c r="D236" s="814">
        <v>187.997086</v>
      </c>
      <c r="E236" s="809">
        <v>3905800</v>
      </c>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3.5" customHeight="1">
      <c r="A237" s="13"/>
      <c r="B237" s="12"/>
      <c r="C237" s="813">
        <v>44356</v>
      </c>
      <c r="D237" s="814">
        <v>189.80954</v>
      </c>
      <c r="E237" s="809">
        <v>3638900</v>
      </c>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13.5" customHeight="1">
      <c r="A238" s="13"/>
      <c r="B238" s="12"/>
      <c r="C238" s="813">
        <v>44355</v>
      </c>
      <c r="D238" s="814">
        <v>190.60621599999999</v>
      </c>
      <c r="E238" s="809">
        <v>3604600</v>
      </c>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13.5" customHeight="1">
      <c r="A239" s="13"/>
      <c r="B239" s="12"/>
      <c r="C239" s="813">
        <v>44354</v>
      </c>
      <c r="D239" s="814">
        <v>189.460983</v>
      </c>
      <c r="E239" s="809">
        <v>2913500</v>
      </c>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3.5" customHeight="1">
      <c r="A240" s="13"/>
      <c r="B240" s="12"/>
      <c r="C240" s="813">
        <v>44351</v>
      </c>
      <c r="D240" s="814">
        <v>189.12240600000001</v>
      </c>
      <c r="E240" s="809">
        <v>4210500</v>
      </c>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ht="13.5" customHeight="1">
      <c r="A241" s="13"/>
      <c r="B241" s="12"/>
      <c r="C241" s="813">
        <v>44350</v>
      </c>
      <c r="D241" s="814">
        <v>189.51078799999999</v>
      </c>
      <c r="E241" s="809">
        <v>3469200</v>
      </c>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13.5" customHeight="1">
      <c r="A242" s="13"/>
      <c r="B242" s="12"/>
      <c r="C242" s="813">
        <v>44349</v>
      </c>
      <c r="D242" s="814">
        <v>189.978836</v>
      </c>
      <c r="E242" s="809">
        <v>3997700</v>
      </c>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spans="1:30" ht="13.5" customHeight="1">
      <c r="A243" s="13"/>
      <c r="B243" s="12"/>
      <c r="C243" s="813">
        <v>44348</v>
      </c>
      <c r="D243" s="814">
        <v>191.05436700000001</v>
      </c>
      <c r="E243" s="809">
        <v>4105600</v>
      </c>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ht="13.5" customHeight="1">
      <c r="A244" s="13"/>
      <c r="B244" s="12"/>
      <c r="C244" s="813">
        <v>44344</v>
      </c>
      <c r="D244" s="814">
        <v>194.02200300000001</v>
      </c>
      <c r="E244" s="809">
        <v>3619400</v>
      </c>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13.5" customHeight="1">
      <c r="A245" s="13"/>
      <c r="B245" s="12"/>
      <c r="C245" s="813">
        <v>44343</v>
      </c>
      <c r="D245" s="814">
        <v>192.96639999999999</v>
      </c>
      <c r="E245" s="809">
        <v>5126500</v>
      </c>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spans="1:30" ht="13.5" customHeight="1">
      <c r="A246" s="13"/>
      <c r="B246" s="12"/>
      <c r="C246" s="813">
        <v>44342</v>
      </c>
      <c r="D246" s="814">
        <v>192.79710399999999</v>
      </c>
      <c r="E246" s="809">
        <v>3565600</v>
      </c>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ht="13.5" customHeight="1">
      <c r="A247" s="13"/>
      <c r="B247" s="12"/>
      <c r="C247" s="813">
        <v>44341</v>
      </c>
      <c r="D247" s="814">
        <v>192.21951300000001</v>
      </c>
      <c r="E247" s="809">
        <v>4089300</v>
      </c>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13.5" customHeight="1">
      <c r="A248" s="13"/>
      <c r="B248" s="12"/>
      <c r="C248" s="813">
        <v>44340</v>
      </c>
      <c r="D248" s="814">
        <v>189.869293</v>
      </c>
      <c r="E248" s="809">
        <v>3396200</v>
      </c>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spans="1:30" ht="13.5" customHeight="1">
      <c r="A249" s="13"/>
      <c r="B249" s="12"/>
      <c r="C249" s="813">
        <v>44337</v>
      </c>
      <c r="D249" s="814">
        <v>191.671783</v>
      </c>
      <c r="E249" s="809">
        <v>4032700</v>
      </c>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ht="13.5" customHeight="1">
      <c r="A250" s="13"/>
      <c r="B250" s="12"/>
      <c r="C250" s="813">
        <v>44336</v>
      </c>
      <c r="D250" s="814">
        <v>192.60789500000001</v>
      </c>
      <c r="E250" s="809">
        <v>4397700</v>
      </c>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3.5" customHeight="1">
      <c r="A251" s="13"/>
      <c r="B251" s="12"/>
      <c r="C251" s="813">
        <v>44335</v>
      </c>
      <c r="D251" s="814">
        <v>189.929047</v>
      </c>
      <c r="E251" s="809">
        <v>6797900</v>
      </c>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spans="1:30" ht="13.5" customHeight="1">
      <c r="A252" s="13"/>
      <c r="B252" s="12"/>
      <c r="C252" s="813">
        <v>44334</v>
      </c>
      <c r="D252" s="814">
        <v>191.95062300000001</v>
      </c>
      <c r="E252" s="809">
        <v>5691500</v>
      </c>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ht="13.5" customHeight="1">
      <c r="A253" s="13"/>
      <c r="B253" s="12"/>
      <c r="C253" s="813">
        <v>44333</v>
      </c>
      <c r="D253" s="814">
        <v>193.324905</v>
      </c>
      <c r="E253" s="809">
        <v>5798800</v>
      </c>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13.5" customHeight="1">
      <c r="A254" s="13"/>
      <c r="B254" s="12"/>
      <c r="C254" s="813">
        <v>44330</v>
      </c>
      <c r="D254" s="814">
        <v>198.085083</v>
      </c>
      <c r="E254" s="809">
        <v>3743000</v>
      </c>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spans="1:30" ht="13.5" customHeight="1">
      <c r="A255" s="13"/>
      <c r="B255" s="12"/>
      <c r="C255" s="813">
        <v>44329</v>
      </c>
      <c r="D255" s="814">
        <v>199.50914</v>
      </c>
      <c r="E255" s="809">
        <v>4494000</v>
      </c>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ht="13.5" customHeight="1">
      <c r="A256" s="13"/>
      <c r="B256" s="12"/>
      <c r="C256" s="813">
        <v>44328</v>
      </c>
      <c r="D256" s="814">
        <v>194.72905</v>
      </c>
      <c r="E256" s="809">
        <v>5406600</v>
      </c>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13.5" customHeight="1">
      <c r="A257" s="13"/>
      <c r="B257" s="12"/>
      <c r="C257" s="813">
        <v>44327</v>
      </c>
      <c r="D257" s="814">
        <v>204.48840300000001</v>
      </c>
      <c r="E257" s="809">
        <v>4449200</v>
      </c>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spans="1:30" ht="13.5" customHeight="1">
      <c r="A258" s="13"/>
      <c r="B258" s="12"/>
      <c r="C258" s="813">
        <v>44326</v>
      </c>
      <c r="D258" s="814">
        <v>210.43364</v>
      </c>
      <c r="E258" s="809">
        <v>4476900</v>
      </c>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ht="13.5" customHeight="1">
      <c r="A259" s="13"/>
      <c r="B259" s="12"/>
      <c r="C259" s="813">
        <v>44323</v>
      </c>
      <c r="D259" s="814">
        <v>207.535706</v>
      </c>
      <c r="E259" s="809">
        <v>3694800</v>
      </c>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13.5" customHeight="1">
      <c r="A260" s="13"/>
      <c r="B260" s="12"/>
      <c r="C260" s="813">
        <v>44322</v>
      </c>
      <c r="D260" s="814">
        <v>205.08592200000001</v>
      </c>
      <c r="E260" s="809">
        <v>4525200</v>
      </c>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spans="1:30" ht="13.5" customHeight="1">
      <c r="A261" s="13"/>
      <c r="B261" s="12"/>
      <c r="C261" s="813">
        <v>44321</v>
      </c>
      <c r="D261" s="814">
        <v>199.170547</v>
      </c>
      <c r="E261" s="809">
        <v>3715300</v>
      </c>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ht="13.5" customHeight="1">
      <c r="A262" s="13"/>
      <c r="B262" s="12"/>
      <c r="C262" s="813">
        <v>44320</v>
      </c>
      <c r="D262" s="814">
        <v>199.46931499999999</v>
      </c>
      <c r="E262" s="809">
        <v>4150100</v>
      </c>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13.5" customHeight="1">
      <c r="A263" s="13"/>
      <c r="B263" s="12"/>
      <c r="C263" s="813">
        <v>44319</v>
      </c>
      <c r="D263" s="814">
        <v>198.37387100000001</v>
      </c>
      <c r="E263" s="809">
        <v>4629500</v>
      </c>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13.5" customHeight="1">
      <c r="A264" s="13"/>
      <c r="B264" s="12"/>
      <c r="C264" s="813">
        <v>44316</v>
      </c>
      <c r="D264" s="814">
        <v>195.43611100000001</v>
      </c>
      <c r="E264" s="809">
        <v>4255500</v>
      </c>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ht="13.5" customHeight="1">
      <c r="A265" s="13"/>
      <c r="B265" s="12"/>
      <c r="C265" s="813">
        <v>44315</v>
      </c>
      <c r="D265" s="814">
        <v>197.61702</v>
      </c>
      <c r="E265" s="809">
        <v>3860200</v>
      </c>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13.5" customHeight="1">
      <c r="A266" s="13"/>
      <c r="B266" s="12"/>
      <c r="C266" s="813">
        <v>44314</v>
      </c>
      <c r="D266" s="814">
        <v>195.24688699999999</v>
      </c>
      <c r="E266" s="809">
        <v>4939200</v>
      </c>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3.5" customHeight="1">
      <c r="A267" s="13"/>
      <c r="B267" s="12"/>
      <c r="C267" s="813">
        <v>44313</v>
      </c>
      <c r="D267" s="814">
        <v>198.224503</v>
      </c>
      <c r="E267" s="809">
        <v>3453900</v>
      </c>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3.5" customHeight="1">
      <c r="A268" s="13"/>
      <c r="B268" s="12"/>
      <c r="C268" s="813">
        <v>44312</v>
      </c>
      <c r="D268" s="814">
        <v>198.363922</v>
      </c>
      <c r="E268" s="809">
        <v>3017000</v>
      </c>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3.5" customHeight="1">
      <c r="A269" s="13"/>
      <c r="B269" s="12"/>
      <c r="C269" s="813">
        <v>44309</v>
      </c>
      <c r="D269" s="814">
        <v>200.09669500000001</v>
      </c>
      <c r="E269" s="809">
        <v>3634000</v>
      </c>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3.5" customHeight="1">
      <c r="A270" s="13"/>
      <c r="B270" s="12"/>
      <c r="C270" s="813">
        <v>44308</v>
      </c>
      <c r="D270" s="814">
        <v>200.46516399999999</v>
      </c>
      <c r="E270" s="809">
        <v>3713000</v>
      </c>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3.5" customHeight="1">
      <c r="A271" s="13"/>
      <c r="B271" s="12"/>
      <c r="C271" s="813">
        <v>44307</v>
      </c>
      <c r="D271" s="814">
        <v>203.064346</v>
      </c>
      <c r="E271" s="809">
        <v>2716600</v>
      </c>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13.5" customHeight="1">
      <c r="A272" s="13"/>
      <c r="B272" s="12"/>
      <c r="C272" s="813">
        <v>44306</v>
      </c>
      <c r="D272" s="814">
        <v>201.92907700000001</v>
      </c>
      <c r="E272" s="809">
        <v>3006200</v>
      </c>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spans="1:30" ht="13.5" customHeight="1">
      <c r="A273" s="13"/>
      <c r="B273" s="12"/>
      <c r="C273" s="813">
        <v>44305</v>
      </c>
      <c r="D273" s="814">
        <v>202.56642199999999</v>
      </c>
      <c r="E273" s="809">
        <v>3828800</v>
      </c>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ht="13.5" customHeight="1">
      <c r="A274" s="13"/>
      <c r="B274" s="12"/>
      <c r="C274" s="813">
        <v>44302</v>
      </c>
      <c r="D274" s="814">
        <v>206.77641299999999</v>
      </c>
      <c r="E274" s="809">
        <v>6359800</v>
      </c>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13.5" customHeight="1">
      <c r="A275" s="13"/>
      <c r="B275" s="12"/>
      <c r="C275" s="813">
        <v>44301</v>
      </c>
      <c r="D275" s="814">
        <v>203.122467</v>
      </c>
      <c r="E275" s="809">
        <v>3656300</v>
      </c>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spans="1:30" ht="13.5" customHeight="1">
      <c r="A276" s="13"/>
      <c r="B276" s="12"/>
      <c r="C276" s="813">
        <v>44300</v>
      </c>
      <c r="D276" s="814">
        <v>200.09404000000001</v>
      </c>
      <c r="E276" s="809">
        <v>3371900</v>
      </c>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ht="13.5" customHeight="1">
      <c r="A277" s="13"/>
      <c r="B277" s="12"/>
      <c r="C277" s="813">
        <v>44299</v>
      </c>
      <c r="D277" s="814">
        <v>198.30677800000001</v>
      </c>
      <c r="E277" s="809">
        <v>2964500</v>
      </c>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13.5" customHeight="1">
      <c r="A278" s="13"/>
      <c r="B278" s="12"/>
      <c r="C278" s="813">
        <v>44298</v>
      </c>
      <c r="D278" s="814">
        <v>199.23017899999999</v>
      </c>
      <c r="E278" s="809">
        <v>3647900</v>
      </c>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13.5" customHeight="1">
      <c r="A279" s="13"/>
      <c r="B279" s="12"/>
      <c r="C279" s="813">
        <v>44295</v>
      </c>
      <c r="D279" s="814">
        <v>197.10533100000001</v>
      </c>
      <c r="E279" s="809">
        <v>3168500</v>
      </c>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spans="1:30" ht="13.5" customHeight="1">
      <c r="A280" s="13"/>
      <c r="B280" s="12"/>
      <c r="C280" s="813">
        <v>44294</v>
      </c>
      <c r="D280" s="814">
        <v>192.83577</v>
      </c>
      <c r="E280" s="809">
        <v>2684300</v>
      </c>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spans="1:30" ht="13.5" customHeight="1">
      <c r="A281" s="13"/>
      <c r="B281" s="12"/>
      <c r="C281" s="813">
        <v>44293</v>
      </c>
      <c r="D281" s="814">
        <v>192.29959099999999</v>
      </c>
      <c r="E281" s="809">
        <v>3276300</v>
      </c>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13.5" customHeight="1">
      <c r="A282" s="13"/>
      <c r="B282" s="12"/>
      <c r="C282" s="813">
        <v>44292</v>
      </c>
      <c r="D282" s="814">
        <v>192.82582099999999</v>
      </c>
      <c r="E282" s="809">
        <v>2917700</v>
      </c>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spans="1:30" ht="13.5" customHeight="1">
      <c r="A283" s="13"/>
      <c r="B283" s="12"/>
      <c r="C283" s="813">
        <v>44291</v>
      </c>
      <c r="D283" s="814">
        <v>192.35914600000001</v>
      </c>
      <c r="E283" s="809">
        <v>3507200</v>
      </c>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13.5" customHeight="1">
      <c r="A284" s="13"/>
      <c r="B284" s="12"/>
      <c r="C284" s="813">
        <v>44287</v>
      </c>
      <c r="D284" s="814">
        <v>189.966217</v>
      </c>
      <c r="E284" s="809">
        <v>3192200</v>
      </c>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spans="1:30" ht="13.5" customHeight="1">
      <c r="A285" s="13"/>
      <c r="B285" s="12"/>
      <c r="C285" s="813">
        <v>44286</v>
      </c>
      <c r="D285" s="814">
        <v>188.834259</v>
      </c>
      <c r="E285" s="809">
        <v>3564200</v>
      </c>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13.5" customHeight="1">
      <c r="A286" s="13"/>
      <c r="B286" s="12"/>
      <c r="C286" s="813">
        <v>44285</v>
      </c>
      <c r="D286" s="814">
        <v>188.67541499999999</v>
      </c>
      <c r="E286" s="809">
        <v>3547600</v>
      </c>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spans="1:30" ht="13.5" customHeight="1">
      <c r="A287" s="13"/>
      <c r="B287" s="12"/>
      <c r="C287" s="813">
        <v>44284</v>
      </c>
      <c r="D287" s="814">
        <v>187.28530900000001</v>
      </c>
      <c r="E287" s="809">
        <v>3970900</v>
      </c>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13.5" customHeight="1">
      <c r="A288" s="13"/>
      <c r="B288" s="12"/>
      <c r="C288" s="813">
        <v>44281</v>
      </c>
      <c r="D288" s="814">
        <v>190.254166</v>
      </c>
      <c r="E288" s="809">
        <v>4795200</v>
      </c>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spans="1:30" ht="13.5" customHeight="1">
      <c r="A289" s="13"/>
      <c r="B289" s="12"/>
      <c r="C289" s="813">
        <v>44280</v>
      </c>
      <c r="D289" s="814">
        <v>183.85972599999999</v>
      </c>
      <c r="E289" s="809">
        <v>4543300</v>
      </c>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ht="13.5" customHeight="1">
      <c r="A290" s="13"/>
      <c r="B290" s="12"/>
      <c r="C290" s="813">
        <v>44279</v>
      </c>
      <c r="D290" s="814">
        <v>179.401489</v>
      </c>
      <c r="E290" s="809">
        <v>3555400</v>
      </c>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13.5" customHeight="1">
      <c r="A291" s="13"/>
      <c r="B291" s="12"/>
      <c r="C291" s="813">
        <v>44278</v>
      </c>
      <c r="D291" s="814">
        <v>179.12347399999999</v>
      </c>
      <c r="E291" s="809">
        <v>3324400</v>
      </c>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spans="1:30" ht="13.5" customHeight="1">
      <c r="A292" s="13"/>
      <c r="B292" s="12"/>
      <c r="C292" s="813">
        <v>44277</v>
      </c>
      <c r="D292" s="814">
        <v>180.602936</v>
      </c>
      <c r="E292" s="809">
        <v>4700200</v>
      </c>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ht="13.5" customHeight="1">
      <c r="A293" s="13"/>
      <c r="B293" s="12"/>
      <c r="C293" s="813">
        <v>44274</v>
      </c>
      <c r="D293" s="814">
        <v>178.21992499999999</v>
      </c>
      <c r="E293" s="809">
        <v>8525100</v>
      </c>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13.5" customHeight="1">
      <c r="A294" s="13"/>
      <c r="B294" s="12"/>
      <c r="C294" s="813">
        <v>44273</v>
      </c>
      <c r="D294" s="814">
        <v>173.632599</v>
      </c>
      <c r="E294" s="809">
        <v>3888100</v>
      </c>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spans="1:30" ht="13.5" customHeight="1">
      <c r="A295" s="13"/>
      <c r="B295" s="12"/>
      <c r="C295" s="813">
        <v>44272</v>
      </c>
      <c r="D295" s="814">
        <v>173.205658</v>
      </c>
      <c r="E295" s="809">
        <v>3119900</v>
      </c>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ht="13.5" customHeight="1">
      <c r="A296" s="13"/>
      <c r="B296" s="12"/>
      <c r="C296" s="813">
        <v>44271</v>
      </c>
      <c r="D296" s="814">
        <v>174.089371</v>
      </c>
      <c r="E296" s="809">
        <v>3737200</v>
      </c>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3.5" customHeight="1">
      <c r="A297" s="13"/>
      <c r="B297" s="12"/>
      <c r="C297" s="813">
        <v>44270</v>
      </c>
      <c r="D297" s="814">
        <v>172.96734599999999</v>
      </c>
      <c r="E297" s="809">
        <v>3745200</v>
      </c>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3.5" customHeight="1">
      <c r="A298" s="13"/>
      <c r="B298" s="12"/>
      <c r="C298" s="813">
        <v>44267</v>
      </c>
      <c r="D298" s="814">
        <v>170.336105</v>
      </c>
      <c r="E298" s="809">
        <v>3638700</v>
      </c>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3.5" customHeight="1">
      <c r="A299" s="13"/>
      <c r="B299" s="12"/>
      <c r="C299" s="813">
        <v>44266</v>
      </c>
      <c r="D299" s="814">
        <v>169.541763</v>
      </c>
      <c r="E299" s="809">
        <v>4989600</v>
      </c>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13.5" customHeight="1">
      <c r="A300" s="13"/>
      <c r="B300" s="12"/>
      <c r="C300" s="813">
        <v>44265</v>
      </c>
      <c r="D300" s="814">
        <v>167.26797500000001</v>
      </c>
      <c r="E300" s="809">
        <v>3394900</v>
      </c>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3.5" customHeight="1">
      <c r="A301" s="13"/>
      <c r="B301" s="12"/>
      <c r="C301" s="813">
        <v>44264</v>
      </c>
      <c r="D301" s="814">
        <v>164.81546</v>
      </c>
      <c r="E301" s="809">
        <v>4585200</v>
      </c>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3.5" customHeight="1">
      <c r="A302" s="13"/>
      <c r="B302" s="12"/>
      <c r="C302" s="813">
        <v>44263</v>
      </c>
      <c r="D302" s="814">
        <v>161.767166</v>
      </c>
      <c r="E302" s="809">
        <v>4613400</v>
      </c>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3.5" customHeight="1">
      <c r="A303" s="13"/>
      <c r="B303" s="12"/>
      <c r="C303" s="813">
        <v>44260</v>
      </c>
      <c r="D303" s="814">
        <v>157.457886</v>
      </c>
      <c r="E303" s="809">
        <v>5143100</v>
      </c>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3.5" customHeight="1">
      <c r="A304" s="13"/>
      <c r="B304" s="12"/>
      <c r="C304" s="813">
        <v>44259</v>
      </c>
      <c r="D304" s="814">
        <v>152.681915</v>
      </c>
      <c r="E304" s="809">
        <v>7792700</v>
      </c>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3.5" customHeight="1">
      <c r="A305" s="13"/>
      <c r="B305" s="12"/>
      <c r="C305" s="813">
        <v>44258</v>
      </c>
      <c r="D305" s="814">
        <v>157.16992200000001</v>
      </c>
      <c r="E305" s="809">
        <v>5238500</v>
      </c>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3.5" customHeight="1">
      <c r="A306" s="13"/>
      <c r="B306" s="12"/>
      <c r="C306" s="813">
        <v>44257</v>
      </c>
      <c r="D306" s="814">
        <v>161.89624000000001</v>
      </c>
      <c r="E306" s="809">
        <v>4330900</v>
      </c>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3.5" customHeight="1">
      <c r="A307" s="13"/>
      <c r="B307" s="12"/>
      <c r="C307" s="813">
        <v>44256</v>
      </c>
      <c r="D307" s="814">
        <v>160.79409799999999</v>
      </c>
      <c r="E307" s="809">
        <v>3361100</v>
      </c>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3.5" customHeight="1">
      <c r="A308" s="13"/>
      <c r="B308" s="12"/>
      <c r="C308" s="813">
        <v>44253</v>
      </c>
      <c r="D308" s="814">
        <v>158.619598</v>
      </c>
      <c r="E308" s="809">
        <v>6030400</v>
      </c>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3.5" customHeight="1">
      <c r="A309" s="13"/>
      <c r="B309" s="12"/>
      <c r="C309" s="813">
        <v>44252</v>
      </c>
      <c r="D309" s="814">
        <v>157.398315</v>
      </c>
      <c r="E309" s="809">
        <v>6639300</v>
      </c>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13.5" customHeight="1">
      <c r="A310" s="13"/>
      <c r="B310" s="12"/>
      <c r="C310" s="813">
        <v>44251</v>
      </c>
      <c r="D310" s="814">
        <v>161.161484</v>
      </c>
      <c r="E310" s="809">
        <v>9972300</v>
      </c>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ht="13.5" customHeight="1">
      <c r="A311" s="13"/>
      <c r="B311" s="12"/>
      <c r="C311" s="813">
        <v>44250</v>
      </c>
      <c r="D311" s="814">
        <v>167.39704900000001</v>
      </c>
      <c r="E311" s="809">
        <v>5149500</v>
      </c>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13.5" customHeight="1">
      <c r="A312" s="13"/>
      <c r="B312" s="12"/>
      <c r="C312" s="813">
        <v>44249</v>
      </c>
      <c r="D312" s="814">
        <v>171.19001800000001</v>
      </c>
      <c r="E312" s="809">
        <v>3767700</v>
      </c>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3.5" customHeight="1">
      <c r="A313" s="13"/>
      <c r="B313" s="12"/>
      <c r="C313" s="813">
        <v>44246</v>
      </c>
      <c r="D313" s="814">
        <v>176.28372200000001</v>
      </c>
      <c r="E313" s="809">
        <v>2842000</v>
      </c>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ht="13.5" customHeight="1">
      <c r="A314" s="13"/>
      <c r="B314" s="12"/>
      <c r="C314" s="813">
        <v>44245</v>
      </c>
      <c r="D314" s="814">
        <v>175.906418</v>
      </c>
      <c r="E314" s="809">
        <v>2758700</v>
      </c>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13.5" customHeight="1">
      <c r="A315" s="13"/>
      <c r="B315" s="12"/>
      <c r="C315" s="813">
        <v>44244</v>
      </c>
      <c r="D315" s="814">
        <v>175.876633</v>
      </c>
      <c r="E315" s="809">
        <v>2244100</v>
      </c>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13.5" customHeight="1">
      <c r="A316" s="13"/>
      <c r="B316" s="12"/>
      <c r="C316" s="813">
        <v>44243</v>
      </c>
      <c r="D316" s="814">
        <v>172.828339</v>
      </c>
      <c r="E316" s="809">
        <v>2947700</v>
      </c>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ht="13.5" customHeight="1">
      <c r="A317" s="13"/>
      <c r="B317" s="12"/>
      <c r="C317" s="813">
        <v>44239</v>
      </c>
      <c r="D317" s="814">
        <v>175.906418</v>
      </c>
      <c r="E317" s="809">
        <v>2035500</v>
      </c>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13.5" customHeight="1">
      <c r="A318" s="13"/>
      <c r="B318" s="12"/>
      <c r="C318" s="813">
        <v>44238</v>
      </c>
      <c r="D318" s="814">
        <v>174.48651100000001</v>
      </c>
      <c r="E318" s="809">
        <v>2783900</v>
      </c>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13.5" customHeight="1">
      <c r="A319" s="13"/>
      <c r="B319" s="12"/>
      <c r="C319" s="813">
        <v>44237</v>
      </c>
      <c r="D319" s="814">
        <v>175.98584</v>
      </c>
      <c r="E319" s="809">
        <v>2837900</v>
      </c>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ht="13.5" customHeight="1">
      <c r="A320" s="13"/>
      <c r="B320" s="12"/>
      <c r="C320" s="813">
        <v>44236</v>
      </c>
      <c r="D320" s="814">
        <v>176.522018</v>
      </c>
      <c r="E320" s="809">
        <v>2723800</v>
      </c>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13.5" customHeight="1">
      <c r="A321" s="13"/>
      <c r="B321" s="12"/>
      <c r="C321" s="813">
        <v>44235</v>
      </c>
      <c r="D321" s="814">
        <v>177.902176</v>
      </c>
      <c r="E321" s="809">
        <v>3421800</v>
      </c>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13.5" customHeight="1">
      <c r="A322" s="13"/>
      <c r="B322" s="12"/>
      <c r="C322" s="813">
        <v>44232</v>
      </c>
      <c r="D322" s="814">
        <v>173.791473</v>
      </c>
      <c r="E322" s="809">
        <v>2562700</v>
      </c>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ht="13.5" customHeight="1">
      <c r="A323" s="13"/>
      <c r="B323" s="12"/>
      <c r="C323" s="813">
        <v>44231</v>
      </c>
      <c r="D323" s="814">
        <v>171.805634</v>
      </c>
      <c r="E323" s="809">
        <v>2679800</v>
      </c>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13.5" customHeight="1">
      <c r="A324" s="13"/>
      <c r="B324" s="12"/>
      <c r="C324" s="813">
        <v>44230</v>
      </c>
      <c r="D324" s="814">
        <v>168.677933</v>
      </c>
      <c r="E324" s="809">
        <v>2996500</v>
      </c>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3.5" customHeight="1">
      <c r="A325" s="13"/>
      <c r="B325" s="12"/>
      <c r="C325" s="813">
        <v>44229</v>
      </c>
      <c r="D325" s="814">
        <v>165.48071300000001</v>
      </c>
      <c r="E325" s="809">
        <v>3181900</v>
      </c>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3.5" customHeight="1">
      <c r="A326" s="13"/>
      <c r="B326" s="12"/>
      <c r="C326" s="813">
        <v>44228</v>
      </c>
      <c r="D326" s="814">
        <v>162.213989</v>
      </c>
      <c r="E326" s="809">
        <v>3898500</v>
      </c>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3.5" customHeight="1">
      <c r="A327" s="13"/>
      <c r="B327" s="12"/>
      <c r="C327" s="813">
        <v>44225</v>
      </c>
      <c r="D327" s="814">
        <v>165.66937300000001</v>
      </c>
      <c r="E327" s="809">
        <v>4400500</v>
      </c>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3.5" customHeight="1">
      <c r="A328" s="13"/>
      <c r="B328" s="12"/>
      <c r="C328" s="813">
        <v>44224</v>
      </c>
      <c r="D328" s="814">
        <v>171.12051400000001</v>
      </c>
      <c r="E328" s="809">
        <v>3816600</v>
      </c>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13.5" customHeight="1">
      <c r="A329" s="13"/>
      <c r="B329" s="12"/>
      <c r="C329" s="813">
        <v>44223</v>
      </c>
      <c r="D329" s="814">
        <v>166.52328499999999</v>
      </c>
      <c r="E329" s="809">
        <v>4762700</v>
      </c>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13.5" customHeight="1">
      <c r="A330" s="13"/>
      <c r="B330" s="12"/>
      <c r="C330" s="813">
        <v>44222</v>
      </c>
      <c r="D330" s="814">
        <v>172.47088600000001</v>
      </c>
      <c r="E330" s="809">
        <v>2496200</v>
      </c>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3.5" customHeight="1">
      <c r="A331" s="13"/>
      <c r="B331" s="12"/>
      <c r="C331" s="813">
        <v>44221</v>
      </c>
      <c r="D331" s="814">
        <v>172.86807300000001</v>
      </c>
      <c r="E331" s="809">
        <v>4764100</v>
      </c>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ht="13.5" customHeight="1">
      <c r="A332" s="13"/>
      <c r="B332" s="12"/>
      <c r="C332" s="813">
        <v>44218</v>
      </c>
      <c r="D332" s="814">
        <v>171.18008399999999</v>
      </c>
      <c r="E332" s="809">
        <v>3612300</v>
      </c>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3.5" customHeight="1">
      <c r="A333" s="13"/>
      <c r="B333" s="12"/>
      <c r="C333" s="813">
        <v>44217</v>
      </c>
      <c r="D333" s="814">
        <v>171.12051400000001</v>
      </c>
      <c r="E333" s="809">
        <v>5322600</v>
      </c>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spans="1:30" ht="13.5" customHeight="1">
      <c r="A334" s="13"/>
      <c r="B334" s="12"/>
      <c r="C334" s="813">
        <v>44216</v>
      </c>
      <c r="D334" s="814">
        <v>171.170151</v>
      </c>
      <c r="E334" s="809">
        <v>3899800</v>
      </c>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ht="13.5" customHeight="1">
      <c r="A335" s="13"/>
      <c r="B335" s="12"/>
      <c r="C335" s="813">
        <v>44215</v>
      </c>
      <c r="D335" s="814">
        <v>169.551682</v>
      </c>
      <c r="E335" s="809">
        <v>4683100</v>
      </c>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3.5" customHeight="1">
      <c r="A336" s="13"/>
      <c r="B336" s="12"/>
      <c r="C336" s="813">
        <v>44211</v>
      </c>
      <c r="D336" s="814">
        <v>169.531845</v>
      </c>
      <c r="E336" s="809">
        <v>3727200</v>
      </c>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spans="1:30" ht="13.5" customHeight="1">
      <c r="A337" s="13"/>
      <c r="B337" s="12"/>
      <c r="C337" s="813">
        <v>44210</v>
      </c>
      <c r="D337" s="814">
        <v>168.591858</v>
      </c>
      <c r="E337" s="809">
        <v>4090900</v>
      </c>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ht="13.5" customHeight="1">
      <c r="A338" s="13"/>
      <c r="B338" s="12"/>
      <c r="C338" s="813">
        <v>44209</v>
      </c>
      <c r="D338" s="814">
        <v>168.037766</v>
      </c>
      <c r="E338" s="809">
        <v>3291800</v>
      </c>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13.5" customHeight="1">
      <c r="A339" s="13"/>
      <c r="B339" s="12"/>
      <c r="C339" s="813">
        <v>44208</v>
      </c>
      <c r="D339" s="814">
        <v>167.20663500000001</v>
      </c>
      <c r="E339" s="809">
        <v>4036900</v>
      </c>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spans="1:30" ht="13.5" customHeight="1">
      <c r="A340" s="13"/>
      <c r="B340" s="12"/>
      <c r="C340" s="813">
        <v>44207</v>
      </c>
      <c r="D340" s="814">
        <v>164.56480400000001</v>
      </c>
      <c r="E340" s="809">
        <v>3005200</v>
      </c>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ht="13.5" customHeight="1">
      <c r="A341" s="13"/>
      <c r="B341" s="12"/>
      <c r="C341" s="813">
        <v>44204</v>
      </c>
      <c r="D341" s="814">
        <v>163.308212</v>
      </c>
      <c r="E341" s="809">
        <v>4971200</v>
      </c>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13.5" customHeight="1">
      <c r="A342" s="13"/>
      <c r="B342" s="12"/>
      <c r="C342" s="813">
        <v>44203</v>
      </c>
      <c r="D342" s="814">
        <v>161.982361</v>
      </c>
      <c r="E342" s="809">
        <v>4144100</v>
      </c>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spans="1:30" ht="13.5" customHeight="1">
      <c r="A343" s="13"/>
      <c r="B343" s="12"/>
      <c r="C343" s="813">
        <v>44202</v>
      </c>
      <c r="D343" s="814">
        <v>161.349121</v>
      </c>
      <c r="E343" s="809">
        <v>4937000</v>
      </c>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3.5" customHeight="1">
      <c r="A344" s="13"/>
      <c r="B344" s="12"/>
      <c r="C344" s="813">
        <v>44201</v>
      </c>
      <c r="D344" s="814">
        <v>159.22178600000001</v>
      </c>
      <c r="E344" s="809">
        <v>3911900</v>
      </c>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13.5" customHeight="1">
      <c r="A345" s="13"/>
      <c r="B345" s="12"/>
      <c r="C345" s="813">
        <v>44200</v>
      </c>
      <c r="D345" s="814">
        <v>158.6875</v>
      </c>
      <c r="E345" s="809">
        <v>7243400</v>
      </c>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spans="1:30" ht="13.5" customHeight="1">
      <c r="A346" s="13"/>
      <c r="B346" s="12"/>
      <c r="C346" s="813">
        <v>44196</v>
      </c>
      <c r="D346" s="814">
        <v>158.81611599999999</v>
      </c>
      <c r="E346" s="809">
        <v>2335300</v>
      </c>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13.5" customHeight="1">
      <c r="A347" s="13"/>
      <c r="B347" s="12"/>
      <c r="C347" s="813">
        <v>44195</v>
      </c>
      <c r="D347" s="814">
        <v>158.86558500000001</v>
      </c>
      <c r="E347" s="809">
        <v>3227000</v>
      </c>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13.5" customHeight="1">
      <c r="A348" s="13"/>
      <c r="B348" s="12"/>
      <c r="C348" s="813">
        <v>44194</v>
      </c>
      <c r="D348" s="814">
        <v>158.84579500000001</v>
      </c>
      <c r="E348" s="809">
        <v>3326100</v>
      </c>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spans="1:30" ht="13.5" customHeight="1">
      <c r="A349" s="13"/>
      <c r="B349" s="12"/>
      <c r="C349" s="813">
        <v>44193</v>
      </c>
      <c r="D349" s="814">
        <v>160.329971</v>
      </c>
      <c r="E349" s="809">
        <v>2635000</v>
      </c>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spans="1:30" ht="13.5" customHeight="1">
      <c r="A350" s="13"/>
      <c r="B350" s="12"/>
      <c r="C350" s="813">
        <v>44189</v>
      </c>
      <c r="D350" s="814">
        <v>161.052277</v>
      </c>
      <c r="E350" s="809">
        <v>1044600</v>
      </c>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13.5" customHeight="1">
      <c r="A351" s="13"/>
      <c r="B351" s="12"/>
      <c r="C351" s="813">
        <v>44188</v>
      </c>
      <c r="D351" s="814">
        <v>160.71586600000001</v>
      </c>
      <c r="E351" s="809">
        <v>3613700</v>
      </c>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spans="1:30" ht="13.5" customHeight="1">
      <c r="A352" s="13"/>
      <c r="B352" s="12"/>
      <c r="C352" s="813">
        <v>44187</v>
      </c>
      <c r="D352" s="814">
        <v>162.87286399999999</v>
      </c>
      <c r="E352" s="809">
        <v>3274200</v>
      </c>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spans="1:30" ht="13.5" customHeight="1">
      <c r="A353" s="13"/>
      <c r="B353" s="12"/>
      <c r="C353" s="813">
        <v>44186</v>
      </c>
      <c r="D353" s="814">
        <v>162.59582499999999</v>
      </c>
      <c r="E353" s="809">
        <v>5153100</v>
      </c>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spans="1:30" ht="13.5" customHeight="1">
      <c r="A354" s="13"/>
      <c r="B354" s="12"/>
      <c r="C354" s="813">
        <v>44183</v>
      </c>
      <c r="D354" s="814">
        <v>161.477722</v>
      </c>
      <c r="E354" s="809">
        <v>11916900</v>
      </c>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13.5" customHeight="1">
      <c r="A355" s="13"/>
      <c r="B355" s="12"/>
      <c r="C355" s="813">
        <v>44182</v>
      </c>
      <c r="D355" s="814">
        <v>161.81414799999999</v>
      </c>
      <c r="E355" s="809">
        <v>4471500</v>
      </c>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spans="1:30" ht="13.5" customHeight="1">
      <c r="A356" s="13"/>
      <c r="B356" s="12"/>
      <c r="C356" s="813">
        <v>44181</v>
      </c>
      <c r="D356" s="814">
        <v>161.477722</v>
      </c>
      <c r="E356" s="809">
        <v>4443500</v>
      </c>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13.5" customHeight="1">
      <c r="A357" s="13"/>
      <c r="B357" s="12"/>
      <c r="C357" s="813">
        <v>44180</v>
      </c>
      <c r="D357" s="814">
        <v>161.606369</v>
      </c>
      <c r="E357" s="809">
        <v>4764700</v>
      </c>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spans="1:30" ht="13.5" customHeight="1">
      <c r="A358" s="13"/>
      <c r="B358" s="12"/>
      <c r="C358" s="813">
        <v>44179</v>
      </c>
      <c r="D358" s="814">
        <v>158.40055799999999</v>
      </c>
      <c r="E358" s="809">
        <v>4654000</v>
      </c>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spans="1:30" ht="13.5" customHeight="1">
      <c r="A359" s="13"/>
      <c r="B359" s="12"/>
      <c r="C359" s="813">
        <v>44176</v>
      </c>
      <c r="D359" s="814">
        <v>156.15450999999999</v>
      </c>
      <c r="E359" s="809">
        <v>5292600</v>
      </c>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13.5" customHeight="1">
      <c r="A360" s="13"/>
      <c r="B360" s="12"/>
      <c r="C360" s="813">
        <v>44175</v>
      </c>
      <c r="D360" s="814">
        <v>158.52917500000001</v>
      </c>
      <c r="E360" s="809">
        <v>6647400</v>
      </c>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3.5" customHeight="1">
      <c r="A361" s="13"/>
      <c r="B361" s="12"/>
      <c r="C361" s="813">
        <v>44174</v>
      </c>
      <c r="D361" s="814">
        <v>158.44014000000001</v>
      </c>
      <c r="E361" s="809">
        <v>11093300</v>
      </c>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3.5" customHeight="1">
      <c r="A362" s="13"/>
      <c r="B362" s="12"/>
      <c r="C362" s="813">
        <v>44173</v>
      </c>
      <c r="D362" s="814">
        <v>149.64395099999999</v>
      </c>
      <c r="E362" s="809">
        <v>6737300</v>
      </c>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3.5" customHeight="1">
      <c r="A363" s="13"/>
      <c r="B363" s="12"/>
      <c r="C363" s="813">
        <v>44172</v>
      </c>
      <c r="D363" s="814">
        <v>150.386032</v>
      </c>
      <c r="E363" s="809">
        <v>7306800</v>
      </c>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3.5" customHeight="1">
      <c r="A364" s="13"/>
      <c r="B364" s="12"/>
      <c r="C364" s="813">
        <v>44169</v>
      </c>
      <c r="D364" s="814">
        <v>148.41703799999999</v>
      </c>
      <c r="E364" s="809">
        <v>4709100</v>
      </c>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13.5" customHeight="1">
      <c r="A365" s="13"/>
      <c r="B365" s="12"/>
      <c r="C365" s="813">
        <v>44168</v>
      </c>
      <c r="D365" s="814">
        <v>150.366241</v>
      </c>
      <c r="E365" s="809">
        <v>4870100</v>
      </c>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spans="1:30" ht="13.5" customHeight="1">
      <c r="A366" s="13"/>
      <c r="B366" s="12"/>
      <c r="C366" s="813">
        <v>44167</v>
      </c>
      <c r="D366" s="814">
        <v>150.20794699999999</v>
      </c>
      <c r="E366" s="809">
        <v>5133100</v>
      </c>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3.5" customHeight="1">
      <c r="A367" s="13"/>
      <c r="B367" s="12"/>
      <c r="C367" s="813">
        <v>44166</v>
      </c>
      <c r="D367" s="814">
        <v>151.78114299999999</v>
      </c>
      <c r="E367" s="809">
        <v>6103700</v>
      </c>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spans="1:30" ht="13.5" customHeight="1">
      <c r="A368" s="13"/>
      <c r="B368" s="12"/>
      <c r="C368" s="813">
        <v>44165</v>
      </c>
      <c r="D368" s="814">
        <v>154.17562899999999</v>
      </c>
      <c r="E368" s="809">
        <v>7292400</v>
      </c>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spans="1:30" ht="13.5" customHeight="1">
      <c r="A369" s="13"/>
      <c r="B369" s="12"/>
      <c r="C369" s="813">
        <v>44162</v>
      </c>
      <c r="D369" s="814">
        <v>153.03774999999999</v>
      </c>
      <c r="E369" s="809">
        <v>2081300</v>
      </c>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spans="1:30" ht="13.5" customHeight="1">
      <c r="A370" s="13"/>
      <c r="B370" s="12"/>
      <c r="C370" s="813">
        <v>44160</v>
      </c>
      <c r="D370" s="814">
        <v>153.245529</v>
      </c>
      <c r="E370" s="809">
        <v>5228300</v>
      </c>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spans="1:30" ht="13.5" customHeight="1">
      <c r="A371" s="13"/>
      <c r="B371" s="12"/>
      <c r="C371" s="813">
        <v>44159</v>
      </c>
      <c r="D371" s="814">
        <v>153.32470699999999</v>
      </c>
      <c r="E371" s="809">
        <v>7190200</v>
      </c>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spans="1:30" ht="13.5" customHeight="1">
      <c r="A372" s="13"/>
      <c r="B372" s="12"/>
      <c r="C372" s="813">
        <v>44158</v>
      </c>
      <c r="D372" s="814">
        <v>152.048294</v>
      </c>
      <c r="E372" s="809">
        <v>6978500</v>
      </c>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spans="1:30" ht="13.5" customHeight="1">
      <c r="A373" s="13"/>
      <c r="B373" s="12"/>
      <c r="C373" s="813">
        <v>44155</v>
      </c>
      <c r="D373" s="814">
        <v>148.34776299999999</v>
      </c>
      <c r="E373" s="809">
        <v>6005800</v>
      </c>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spans="1:30" ht="13.5" customHeight="1">
      <c r="A374" s="13"/>
      <c r="B374" s="12"/>
      <c r="C374" s="813">
        <v>44154</v>
      </c>
      <c r="D374" s="814">
        <v>148.021255</v>
      </c>
      <c r="E374" s="809">
        <v>9393700</v>
      </c>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13.5" customHeight="1">
      <c r="A375" s="13"/>
      <c r="B375" s="12"/>
      <c r="C375" s="813">
        <v>44153</v>
      </c>
      <c r="D375" s="814">
        <v>145.191452</v>
      </c>
      <c r="E375" s="809">
        <v>18087800</v>
      </c>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spans="1:30" ht="13.5" customHeight="1">
      <c r="A376" s="13"/>
      <c r="B376" s="12"/>
      <c r="C376" s="813">
        <v>44152</v>
      </c>
      <c r="D376" s="814">
        <v>158.172989</v>
      </c>
      <c r="E376" s="809">
        <v>5642100</v>
      </c>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spans="1:30" ht="13.5" customHeight="1">
      <c r="A377" s="13"/>
      <c r="B377" s="12"/>
      <c r="C377" s="813">
        <v>44151</v>
      </c>
      <c r="D377" s="814">
        <v>160.191452</v>
      </c>
      <c r="E377" s="809">
        <v>5005400</v>
      </c>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spans="1:30" ht="13.5" customHeight="1">
      <c r="A378" s="13"/>
      <c r="B378" s="12"/>
      <c r="C378" s="813">
        <v>44148</v>
      </c>
      <c r="D378" s="814">
        <v>157.54963699999999</v>
      </c>
      <c r="E378" s="809">
        <v>4036000</v>
      </c>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spans="1:30" ht="13.5" customHeight="1">
      <c r="A379" s="13"/>
      <c r="B379" s="12"/>
      <c r="C379" s="813">
        <v>44147</v>
      </c>
      <c r="D379" s="814">
        <v>156.31281999999999</v>
      </c>
      <c r="E379" s="809">
        <v>3893900</v>
      </c>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spans="1:30" ht="13.5" customHeight="1">
      <c r="A380" s="13"/>
      <c r="B380" s="12"/>
      <c r="C380" s="813">
        <v>44146</v>
      </c>
      <c r="D380" s="814">
        <v>156.33261100000001</v>
      </c>
      <c r="E380" s="809">
        <v>4551700</v>
      </c>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spans="1:30" ht="13.5" customHeight="1">
      <c r="A381" s="13"/>
      <c r="B381" s="12"/>
      <c r="C381" s="813">
        <v>44145</v>
      </c>
      <c r="D381" s="814">
        <v>154.06677199999999</v>
      </c>
      <c r="E381" s="809">
        <v>5925100</v>
      </c>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3.5" customHeight="1">
      <c r="A382" s="13"/>
      <c r="B382" s="12"/>
      <c r="C382" s="813">
        <v>44144</v>
      </c>
      <c r="D382" s="814">
        <v>151.83062699999999</v>
      </c>
      <c r="E382" s="809">
        <v>10765200</v>
      </c>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13.5" customHeight="1">
      <c r="A383" s="13"/>
      <c r="B383" s="12"/>
      <c r="C383" s="813">
        <v>44141</v>
      </c>
      <c r="D383" s="814">
        <v>166.741592</v>
      </c>
      <c r="E383" s="809">
        <v>2672900</v>
      </c>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spans="1:30" ht="13.5" customHeight="1">
      <c r="A384" s="13"/>
      <c r="B384" s="12"/>
      <c r="C384" s="813">
        <v>44140</v>
      </c>
      <c r="D384" s="814">
        <v>167.46388200000001</v>
      </c>
      <c r="E384" s="809">
        <v>4088100</v>
      </c>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3.5" customHeight="1">
      <c r="A385" s="13"/>
      <c r="B385" s="12"/>
      <c r="C385" s="813">
        <v>44139</v>
      </c>
      <c r="D385" s="814">
        <v>166.44476299999999</v>
      </c>
      <c r="E385" s="809">
        <v>5006500</v>
      </c>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3.5" customHeight="1">
      <c r="A386" s="13"/>
      <c r="B386" s="12"/>
      <c r="C386" s="813">
        <v>44138</v>
      </c>
      <c r="D386" s="814">
        <v>162.91243</v>
      </c>
      <c r="E386" s="809">
        <v>2908200</v>
      </c>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13.5" customHeight="1">
      <c r="A387" s="13"/>
      <c r="B387" s="12"/>
      <c r="C387" s="813">
        <v>44137</v>
      </c>
      <c r="D387" s="814">
        <v>158.53907799999999</v>
      </c>
      <c r="E387" s="809">
        <v>2978900</v>
      </c>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spans="1:30" ht="13.5" customHeight="1">
      <c r="A388" s="13"/>
      <c r="B388" s="12"/>
      <c r="C388" s="813">
        <v>44134</v>
      </c>
      <c r="D388" s="814">
        <v>156.43154899999999</v>
      </c>
      <c r="E388" s="809">
        <v>3948900</v>
      </c>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3.5" customHeight="1">
      <c r="A389" s="13"/>
      <c r="B389" s="12"/>
      <c r="C389" s="813">
        <v>44133</v>
      </c>
      <c r="D389" s="814">
        <v>159.05358899999999</v>
      </c>
      <c r="E389" s="809">
        <v>3697800</v>
      </c>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3.5" customHeight="1">
      <c r="A390" s="13"/>
      <c r="B390" s="12"/>
      <c r="C390" s="813">
        <v>44132</v>
      </c>
      <c r="D390" s="814">
        <v>159.716522</v>
      </c>
      <c r="E390" s="809">
        <v>4947700</v>
      </c>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3.5" customHeight="1">
      <c r="A391" s="13"/>
      <c r="B391" s="12"/>
      <c r="C391" s="813">
        <v>44131</v>
      </c>
      <c r="D391" s="814">
        <v>163.39726300000001</v>
      </c>
      <c r="E391" s="809">
        <v>4425700</v>
      </c>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3.5" customHeight="1">
      <c r="A392" s="13"/>
      <c r="B392" s="12"/>
      <c r="C392" s="813">
        <v>44130</v>
      </c>
      <c r="D392" s="814">
        <v>166.35569799999999</v>
      </c>
      <c r="E392" s="809">
        <v>4380800</v>
      </c>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13.5" customHeight="1">
      <c r="A393" s="13"/>
      <c r="B393" s="12"/>
      <c r="C393" s="813">
        <v>44127</v>
      </c>
      <c r="D393" s="814">
        <v>170.323395</v>
      </c>
      <c r="E393" s="809">
        <v>2963100</v>
      </c>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spans="1:30" ht="13.5" customHeight="1">
      <c r="A394" s="13"/>
      <c r="B394" s="12"/>
      <c r="C394" s="813">
        <v>44126</v>
      </c>
      <c r="D394" s="814">
        <v>169.44278</v>
      </c>
      <c r="E394" s="809">
        <v>3266800</v>
      </c>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spans="1:30" ht="13.5" customHeight="1">
      <c r="A395" s="13"/>
      <c r="B395" s="12"/>
      <c r="C395" s="813">
        <v>44125</v>
      </c>
      <c r="D395" s="814">
        <v>172.658478</v>
      </c>
      <c r="E395" s="809">
        <v>3431800</v>
      </c>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spans="1:30" ht="13.5" customHeight="1">
      <c r="A396" s="13"/>
      <c r="B396" s="12"/>
      <c r="C396" s="813">
        <v>44124</v>
      </c>
      <c r="D396" s="814">
        <v>175.221146</v>
      </c>
      <c r="E396" s="809">
        <v>3603800</v>
      </c>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spans="1:30" ht="13.5" customHeight="1">
      <c r="A397" s="13"/>
      <c r="B397" s="12"/>
      <c r="C397" s="813">
        <v>44123</v>
      </c>
      <c r="D397" s="814">
        <v>172.688187</v>
      </c>
      <c r="E397" s="809">
        <v>4073200</v>
      </c>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spans="1:30" ht="13.5" customHeight="1">
      <c r="A398" s="13"/>
      <c r="B398" s="12"/>
      <c r="C398" s="813">
        <v>44120</v>
      </c>
      <c r="D398" s="814">
        <v>175.22232099999999</v>
      </c>
      <c r="E398" s="809">
        <v>3879100</v>
      </c>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13.5" customHeight="1">
      <c r="A399" s="13"/>
      <c r="B399" s="12"/>
      <c r="C399" s="813">
        <v>44119</v>
      </c>
      <c r="D399" s="814">
        <v>173.69395399999999</v>
      </c>
      <c r="E399" s="809">
        <v>3631600</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spans="1:30" ht="13.5" customHeight="1">
      <c r="A400" s="13"/>
      <c r="B400" s="12"/>
      <c r="C400" s="813">
        <v>44118</v>
      </c>
      <c r="D400" s="814">
        <v>171.18936199999999</v>
      </c>
      <c r="E400" s="809">
        <v>3474800</v>
      </c>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spans="1:30" ht="13.5" customHeight="1">
      <c r="A401" s="13"/>
      <c r="B401" s="12"/>
      <c r="C401" s="813">
        <v>44117</v>
      </c>
      <c r="D401" s="814">
        <v>172.88537600000001</v>
      </c>
      <c r="E401" s="809">
        <v>2987800</v>
      </c>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spans="1:30" ht="13.5" customHeight="1">
      <c r="A402" s="13"/>
      <c r="B402" s="12"/>
      <c r="C402" s="813">
        <v>44116</v>
      </c>
      <c r="D402" s="814">
        <v>170.32162500000001</v>
      </c>
      <c r="E402" s="809">
        <v>3377900</v>
      </c>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spans="1:30" ht="13.5" customHeight="1">
      <c r="A403" s="13"/>
      <c r="B403" s="12"/>
      <c r="C403" s="813">
        <v>44113</v>
      </c>
      <c r="D403" s="814">
        <v>170.814651</v>
      </c>
      <c r="E403" s="809">
        <v>4593700</v>
      </c>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spans="1:30" ht="13.5" customHeight="1">
      <c r="A404" s="13"/>
      <c r="B404" s="12"/>
      <c r="C404" s="813">
        <v>44112</v>
      </c>
      <c r="D404" s="814">
        <v>168.48756399999999</v>
      </c>
      <c r="E404" s="809">
        <v>3105700</v>
      </c>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spans="1:30" ht="13.5" customHeight="1">
      <c r="A405" s="13"/>
      <c r="B405" s="12"/>
      <c r="C405" s="813">
        <v>44111</v>
      </c>
      <c r="D405" s="814">
        <v>166.12103300000001</v>
      </c>
      <c r="E405" s="809">
        <v>2587400</v>
      </c>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3.5" customHeight="1">
      <c r="A406" s="13"/>
      <c r="B406" s="12"/>
      <c r="C406" s="813">
        <v>44110</v>
      </c>
      <c r="D406" s="814">
        <v>162.68954500000001</v>
      </c>
      <c r="E406" s="809">
        <v>2765600</v>
      </c>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13.5" customHeight="1">
      <c r="A407" s="13"/>
      <c r="B407" s="12"/>
      <c r="C407" s="813">
        <v>44109</v>
      </c>
      <c r="D407" s="814">
        <v>166.19006300000001</v>
      </c>
      <c r="E407" s="809">
        <v>2437400</v>
      </c>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spans="1:30" ht="13.5" customHeight="1">
      <c r="A408" s="13"/>
      <c r="B408" s="12"/>
      <c r="C408" s="813">
        <v>44106</v>
      </c>
      <c r="D408" s="814">
        <v>164.16862499999999</v>
      </c>
      <c r="E408" s="809">
        <v>2026600</v>
      </c>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3.5" customHeight="1">
      <c r="A409" s="13"/>
      <c r="B409" s="12"/>
      <c r="C409" s="813">
        <v>44105</v>
      </c>
      <c r="D409" s="814">
        <v>164.839157</v>
      </c>
      <c r="E409" s="809">
        <v>2677200</v>
      </c>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spans="1:30" ht="13.5" customHeight="1">
      <c r="A410" s="13"/>
      <c r="B410" s="12"/>
      <c r="C410" s="813">
        <v>44104</v>
      </c>
      <c r="D410" s="814">
        <v>163.54742400000001</v>
      </c>
      <c r="E410" s="809">
        <v>4198600</v>
      </c>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spans="1:30" ht="13.5" customHeight="1">
      <c r="A411" s="13"/>
      <c r="B411" s="12"/>
      <c r="C411" s="813">
        <v>44103</v>
      </c>
      <c r="D411" s="814">
        <v>159.99762000000001</v>
      </c>
      <c r="E411" s="809">
        <v>2212000</v>
      </c>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spans="1:30" ht="13.5" customHeight="1">
      <c r="A412" s="13"/>
      <c r="B412" s="12"/>
      <c r="C412" s="813">
        <v>44102</v>
      </c>
      <c r="D412" s="814">
        <v>160.32299800000001</v>
      </c>
      <c r="E412" s="809">
        <v>2815700</v>
      </c>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spans="1:30" ht="13.5" customHeight="1">
      <c r="A413" s="13"/>
      <c r="B413" s="12"/>
      <c r="C413" s="813">
        <v>44099</v>
      </c>
      <c r="D413" s="814">
        <v>157.32540900000001</v>
      </c>
      <c r="E413" s="809">
        <v>2828600</v>
      </c>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13.5" customHeight="1">
      <c r="A414" s="13"/>
      <c r="B414" s="12"/>
      <c r="C414" s="813">
        <v>44098</v>
      </c>
      <c r="D414" s="814">
        <v>156.30976899999999</v>
      </c>
      <c r="E414" s="809">
        <v>3888600</v>
      </c>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spans="1:30" ht="13.5" customHeight="1">
      <c r="A415" s="13"/>
      <c r="B415" s="12"/>
      <c r="C415" s="813">
        <v>44097</v>
      </c>
      <c r="D415" s="814">
        <v>156.39851400000001</v>
      </c>
      <c r="E415" s="809">
        <v>3245500</v>
      </c>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spans="1:30" ht="13.5" customHeight="1">
      <c r="A416" s="13"/>
      <c r="B416" s="12"/>
      <c r="C416" s="813">
        <v>44096</v>
      </c>
      <c r="D416" s="814">
        <v>159.29753099999999</v>
      </c>
      <c r="E416" s="809">
        <v>3526300</v>
      </c>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spans="1:30" ht="13.5" customHeight="1">
      <c r="A417" s="13"/>
      <c r="B417" s="12"/>
      <c r="C417" s="813">
        <v>44095</v>
      </c>
      <c r="D417" s="814">
        <v>157.37470999999999</v>
      </c>
      <c r="E417" s="809">
        <v>3929500</v>
      </c>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3.5" customHeight="1">
      <c r="A418" s="13"/>
      <c r="B418" s="12"/>
      <c r="C418" s="813">
        <v>44092</v>
      </c>
      <c r="D418" s="814">
        <v>157.86773700000001</v>
      </c>
      <c r="E418" s="809">
        <v>5484700</v>
      </c>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3.5" customHeight="1">
      <c r="A419" s="13"/>
      <c r="B419" s="12"/>
      <c r="C419" s="813">
        <v>44091</v>
      </c>
      <c r="D419" s="814">
        <v>161.49642900000001</v>
      </c>
      <c r="E419" s="809">
        <v>3717800</v>
      </c>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3.5" customHeight="1">
      <c r="A420" s="13"/>
      <c r="B420" s="12"/>
      <c r="C420" s="813">
        <v>44090</v>
      </c>
      <c r="D420" s="814">
        <v>164.38557399999999</v>
      </c>
      <c r="E420" s="809">
        <v>3814700</v>
      </c>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3.5" customHeight="1">
      <c r="A421" s="13"/>
      <c r="B421" s="12"/>
      <c r="C421" s="813">
        <v>44089</v>
      </c>
      <c r="D421" s="814">
        <v>166.67321799999999</v>
      </c>
      <c r="E421" s="809">
        <v>3998100</v>
      </c>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13.5" customHeight="1">
      <c r="A422" s="13"/>
      <c r="B422" s="12"/>
      <c r="C422" s="813">
        <v>44088</v>
      </c>
      <c r="D422" s="814">
        <v>162.886765</v>
      </c>
      <c r="E422" s="809">
        <v>3583300</v>
      </c>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spans="1:30" ht="13.5" customHeight="1">
      <c r="A423" s="13"/>
      <c r="B423" s="12"/>
      <c r="C423" s="813">
        <v>44085</v>
      </c>
      <c r="D423" s="814">
        <v>159.632767</v>
      </c>
      <c r="E423" s="809">
        <v>4870800</v>
      </c>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13.5" customHeight="1">
      <c r="A424" s="13"/>
      <c r="B424" s="12"/>
      <c r="C424" s="813">
        <v>44084</v>
      </c>
      <c r="D424" s="814">
        <v>156.122421</v>
      </c>
      <c r="E424" s="809">
        <v>4129200</v>
      </c>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spans="1:30" ht="13.5" customHeight="1">
      <c r="A425" s="13"/>
      <c r="B425" s="12"/>
      <c r="C425" s="813">
        <v>44083</v>
      </c>
      <c r="D425" s="814">
        <v>157.30566400000001</v>
      </c>
      <c r="E425" s="809">
        <v>4382600</v>
      </c>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spans="1:30" ht="13.5" customHeight="1">
      <c r="A426" s="13"/>
      <c r="B426" s="12"/>
      <c r="C426" s="813">
        <v>44082</v>
      </c>
      <c r="D426" s="814">
        <v>151.59641999999999</v>
      </c>
      <c r="E426" s="809">
        <v>4892800</v>
      </c>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spans="1:30" ht="13.5" customHeight="1">
      <c r="A427" s="13"/>
      <c r="B427" s="12"/>
      <c r="C427" s="813">
        <v>44078</v>
      </c>
      <c r="D427" s="814">
        <v>154.209442</v>
      </c>
      <c r="E427" s="809">
        <v>6303800</v>
      </c>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spans="1:30" ht="13.5" customHeight="1">
      <c r="A428" s="13"/>
      <c r="B428" s="12"/>
      <c r="C428" s="813">
        <v>44077</v>
      </c>
      <c r="D428" s="814">
        <v>159.26792900000001</v>
      </c>
      <c r="E428" s="809">
        <v>5734400</v>
      </c>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spans="1:30" ht="13.5" customHeight="1">
      <c r="A429" s="13"/>
      <c r="B429" s="12"/>
      <c r="C429" s="813">
        <v>44076</v>
      </c>
      <c r="D429" s="814">
        <v>168.11286899999999</v>
      </c>
      <c r="E429" s="809">
        <v>4262700</v>
      </c>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spans="1:30" ht="13.5" customHeight="1">
      <c r="A430" s="13"/>
      <c r="B430" s="12"/>
      <c r="C430" s="813">
        <v>44075</v>
      </c>
      <c r="D430" s="814">
        <v>165.25328099999999</v>
      </c>
      <c r="E430" s="809">
        <v>4284400</v>
      </c>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13.5" customHeight="1">
      <c r="A431" s="13"/>
      <c r="B431" s="12"/>
      <c r="C431" s="813">
        <v>44074</v>
      </c>
      <c r="D431" s="814">
        <v>162.393753</v>
      </c>
      <c r="E431" s="809">
        <v>3421300</v>
      </c>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spans="1:30" ht="13.5" customHeight="1">
      <c r="A432" s="13"/>
      <c r="B432" s="12"/>
      <c r="C432" s="813">
        <v>44071</v>
      </c>
      <c r="D432" s="814">
        <v>163.20230100000001</v>
      </c>
      <c r="E432" s="809">
        <v>3291400</v>
      </c>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13.5" customHeight="1">
      <c r="A433" s="13"/>
      <c r="B433" s="12"/>
      <c r="C433" s="813">
        <v>44070</v>
      </c>
      <c r="D433" s="814">
        <v>163.99115</v>
      </c>
      <c r="E433" s="809">
        <v>4425000</v>
      </c>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13.5" customHeight="1">
      <c r="A434" s="13"/>
      <c r="B434" s="12"/>
      <c r="C434" s="813"/>
      <c r="D434" s="814"/>
      <c r="E434" s="809"/>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13.5" customHeight="1">
      <c r="A435" s="13"/>
      <c r="B435" s="12"/>
      <c r="C435" s="813"/>
      <c r="D435" s="814"/>
      <c r="E435" s="809"/>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spans="1:30" ht="13.5" customHeight="1">
      <c r="A436" s="13"/>
      <c r="B436" s="12"/>
      <c r="C436" s="813"/>
      <c r="D436" s="814"/>
      <c r="E436" s="809"/>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spans="1:30" ht="13.5" customHeight="1">
      <c r="A437" s="13"/>
      <c r="B437" s="12"/>
      <c r="C437" s="813"/>
      <c r="D437" s="814"/>
      <c r="E437" s="809"/>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spans="1:30" ht="13.5" customHeight="1">
      <c r="A438" s="13"/>
      <c r="B438" s="12"/>
      <c r="C438" s="813"/>
      <c r="D438" s="814"/>
      <c r="E438" s="809"/>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spans="1:30" ht="13.5" customHeight="1">
      <c r="A439" s="13"/>
      <c r="B439" s="12"/>
      <c r="C439" s="813"/>
      <c r="D439" s="814"/>
      <c r="E439" s="809"/>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spans="1:30" ht="13.5" customHeight="1">
      <c r="A440" s="13"/>
      <c r="B440" s="12"/>
      <c r="C440" s="813"/>
      <c r="D440" s="814"/>
      <c r="E440" s="809"/>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spans="1:30" ht="13.5" customHeight="1">
      <c r="A441" s="13"/>
      <c r="B441" s="12"/>
      <c r="C441" s="813"/>
      <c r="D441" s="814"/>
      <c r="E441" s="809"/>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3.5" customHeight="1">
      <c r="A442" s="13"/>
      <c r="B442" s="12"/>
      <c r="C442" s="813"/>
      <c r="D442" s="814"/>
      <c r="E442" s="809"/>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13.5" customHeight="1">
      <c r="A443" s="13"/>
      <c r="B443" s="12"/>
      <c r="C443" s="813"/>
      <c r="D443" s="814"/>
      <c r="E443" s="809"/>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spans="1:30" ht="13.5" customHeight="1">
      <c r="A444" s="13"/>
      <c r="B444" s="12"/>
      <c r="C444" s="813"/>
      <c r="D444" s="814"/>
      <c r="E444" s="809"/>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3.5" customHeight="1">
      <c r="A445" s="13"/>
      <c r="B445" s="12"/>
      <c r="C445" s="813"/>
      <c r="D445" s="814"/>
      <c r="E445" s="809"/>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spans="1:30" ht="13.5" customHeight="1">
      <c r="A446" s="13"/>
      <c r="B446" s="12"/>
      <c r="C446" s="813"/>
      <c r="D446" s="814"/>
      <c r="E446" s="809"/>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spans="1:30" ht="13.5" customHeight="1">
      <c r="A447" s="13"/>
      <c r="B447" s="12"/>
      <c r="C447" s="813"/>
      <c r="D447" s="814"/>
      <c r="E447" s="809"/>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spans="1:30" ht="13.5" customHeight="1">
      <c r="A448" s="13" t="s">
        <v>1</v>
      </c>
      <c r="B448" s="12"/>
      <c r="C448" s="12"/>
      <c r="D448" s="12"/>
      <c r="E448" s="12"/>
      <c r="F448" s="12"/>
      <c r="G448" s="12"/>
      <c r="H448" s="12"/>
      <c r="I448" s="12"/>
      <c r="J448" s="12"/>
      <c r="K448" s="12"/>
      <c r="L448" s="12"/>
      <c r="M448" s="12"/>
      <c r="N448" s="12"/>
      <c r="O448" s="12"/>
      <c r="P448" s="12"/>
      <c r="Q448" s="12"/>
      <c r="R448" s="12"/>
      <c r="S448" s="12" t="s">
        <v>1</v>
      </c>
      <c r="T448" s="12"/>
      <c r="U448" s="12"/>
      <c r="V448" s="12"/>
      <c r="W448" s="12"/>
      <c r="X448" s="12"/>
      <c r="Y448" s="12"/>
      <c r="Z448" s="12"/>
      <c r="AA448" s="12"/>
      <c r="AB448" s="12"/>
      <c r="AC448" s="12"/>
      <c r="AD448" s="12"/>
    </row>
    <row r="449" spans="1:30"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spans="1:3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spans="1:30"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spans="1:30"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spans="1:30"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spans="1:30"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spans="1:30"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spans="1:30"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spans="1:30"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spans="1:30"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spans="1:30"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spans="1:3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spans="1:30"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spans="1:30"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spans="1:30"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spans="1:30"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spans="1:30"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spans="1:30"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spans="1:30"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spans="1:30"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spans="1:30"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spans="1:3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spans="1:30"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spans="1:30"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spans="1:30"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spans="1:30"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spans="1:30"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spans="1:30"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spans="1:30"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spans="1:30"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spans="1:30"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spans="1:3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spans="1:30"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spans="1:30"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spans="1:30"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spans="1:30"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spans="1:30"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spans="1:30"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spans="1:30"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spans="1:30"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spans="1:30"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spans="1:3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spans="1:30"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spans="1:30"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spans="1:30"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spans="1:30"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spans="1:30"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spans="1:30"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spans="1:30"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spans="1:30"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cols>
    <col min="1" max="2" width="1.6640625" customWidth="1"/>
    <col min="3" max="17" width="10.5" customWidth="1"/>
    <col min="18" max="18" width="2.5" customWidth="1"/>
    <col min="19" max="26" width="8.6640625" customWidth="1"/>
  </cols>
  <sheetData>
    <row r="1" spans="1:26" ht="13.5" customHeight="1">
      <c r="A1" s="7"/>
      <c r="B1" s="7"/>
      <c r="C1" s="8" t="str">
        <f ca="1">Company_Name&amp;" - "&amp;MID(CELL("filename",A1),FIND("]",CELL("filename",A1))+1,255)&amp;": "&amp;Case_Scenario&amp;" Case"</f>
        <v>NETFLIX INC - Benchmark: Base Case</v>
      </c>
      <c r="D1" s="7"/>
      <c r="E1" s="7"/>
      <c r="F1" s="7"/>
      <c r="G1" s="7"/>
      <c r="H1" s="7"/>
      <c r="I1" s="7"/>
      <c r="J1" s="7"/>
      <c r="K1" s="7"/>
      <c r="L1" s="7"/>
      <c r="M1" s="7"/>
      <c r="N1" s="7"/>
      <c r="O1" s="7"/>
      <c r="P1" s="7"/>
      <c r="Q1" s="7"/>
      <c r="R1" s="7"/>
      <c r="S1" s="7"/>
      <c r="T1" s="7"/>
      <c r="U1" s="7"/>
      <c r="V1" s="7"/>
      <c r="W1" s="7"/>
      <c r="X1" s="7"/>
      <c r="Y1" s="7"/>
      <c r="Z1" s="7"/>
    </row>
    <row r="2" spans="1:26" ht="13.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3.5" customHeight="1">
      <c r="A3" s="5" t="s">
        <v>1</v>
      </c>
      <c r="B3" s="12"/>
      <c r="C3" s="249"/>
      <c r="D3" s="12"/>
      <c r="E3" s="12"/>
      <c r="F3" s="12"/>
      <c r="G3" s="12"/>
      <c r="H3" s="12"/>
      <c r="I3" s="12"/>
      <c r="J3" s="12"/>
      <c r="K3" s="12"/>
      <c r="L3" s="12"/>
      <c r="M3" s="12"/>
      <c r="N3" s="12"/>
      <c r="O3" s="12"/>
      <c r="P3" s="12"/>
      <c r="Q3" s="12"/>
      <c r="R3" s="12"/>
      <c r="S3" s="12"/>
      <c r="T3" s="12"/>
      <c r="U3" s="12"/>
      <c r="V3" s="12"/>
      <c r="W3" s="12"/>
      <c r="X3" s="12"/>
      <c r="Y3" s="12"/>
      <c r="Z3" s="12"/>
    </row>
    <row r="4" spans="1:26" ht="13.5" customHeight="1">
      <c r="A4" s="13"/>
      <c r="B4" s="12"/>
      <c r="C4" s="143" t="s">
        <v>948</v>
      </c>
      <c r="D4" s="101"/>
      <c r="E4" s="815">
        <f>EDATE(E5,-12)</f>
        <v>45538</v>
      </c>
      <c r="F4" s="12"/>
      <c r="G4" s="69"/>
      <c r="H4" s="69"/>
      <c r="I4" s="69"/>
      <c r="J4" s="69"/>
      <c r="K4" s="69"/>
      <c r="L4" s="69"/>
      <c r="M4" s="12"/>
      <c r="N4" s="12"/>
      <c r="O4" s="12"/>
      <c r="P4" s="12"/>
      <c r="Q4" s="12"/>
      <c r="R4" s="12"/>
      <c r="S4" s="12"/>
      <c r="T4" s="12"/>
      <c r="U4" s="12"/>
      <c r="V4" s="12"/>
      <c r="W4" s="12"/>
      <c r="X4" s="12"/>
      <c r="Y4" s="12"/>
      <c r="Z4" s="12"/>
    </row>
    <row r="5" spans="1:26" ht="13.5" customHeight="1">
      <c r="A5" s="13"/>
      <c r="B5" s="12"/>
      <c r="C5" s="141" t="s">
        <v>949</v>
      </c>
      <c r="D5" s="12"/>
      <c r="E5" s="816">
        <f>Current_Date</f>
        <v>45903</v>
      </c>
      <c r="F5" s="12"/>
      <c r="G5" s="776" t="str">
        <f>Comparables!F10</f>
        <v>LOW</v>
      </c>
      <c r="H5" s="776" t="str">
        <f>Comparables!F12</f>
        <v>AAPL</v>
      </c>
      <c r="I5" s="776" t="str">
        <f>Comparables!F13</f>
        <v>FB</v>
      </c>
      <c r="J5" s="776" t="str">
        <f>Comparables!F14</f>
        <v>MSFT</v>
      </c>
      <c r="K5" s="776" t="str">
        <f>Comparables!F15</f>
        <v>SNAP</v>
      </c>
      <c r="L5" s="776" t="str">
        <f>Comparables!F16</f>
        <v>GOOGL</v>
      </c>
      <c r="M5" s="12"/>
      <c r="N5" s="12"/>
      <c r="O5" s="12"/>
      <c r="P5" s="12"/>
      <c r="Q5" s="12"/>
      <c r="R5" s="12"/>
      <c r="S5" s="12"/>
      <c r="T5" s="12"/>
      <c r="U5" s="12"/>
      <c r="V5" s="12"/>
      <c r="W5" s="12"/>
      <c r="X5" s="12"/>
      <c r="Y5" s="12"/>
      <c r="Z5" s="12"/>
    </row>
    <row r="6" spans="1:26" ht="13.5" customHeight="1">
      <c r="A6" s="13"/>
      <c r="B6" s="12"/>
      <c r="C6" s="145" t="s">
        <v>950</v>
      </c>
      <c r="D6" s="100"/>
      <c r="E6" s="817">
        <f>EDATE(E5,24)</f>
        <v>46633</v>
      </c>
      <c r="F6" s="12"/>
      <c r="G6" s="12"/>
      <c r="H6" s="12"/>
      <c r="I6" s="12"/>
      <c r="J6" s="12"/>
      <c r="K6" s="12"/>
      <c r="L6" s="12"/>
      <c r="M6" s="12"/>
      <c r="N6" s="12"/>
      <c r="O6" s="12"/>
      <c r="P6" s="12"/>
      <c r="Q6" s="12"/>
      <c r="R6" s="12"/>
      <c r="S6" s="12"/>
      <c r="T6" s="12"/>
      <c r="U6" s="12"/>
      <c r="V6" s="12"/>
      <c r="W6" s="12"/>
      <c r="X6" s="12"/>
      <c r="Y6" s="12"/>
      <c r="Z6" s="12"/>
    </row>
    <row r="7" spans="1:26" ht="13.5" customHeight="1">
      <c r="A7" s="13"/>
      <c r="B7" s="12"/>
      <c r="C7" s="12"/>
      <c r="D7" s="12"/>
      <c r="E7" s="12"/>
      <c r="F7" s="12"/>
      <c r="G7" s="12"/>
      <c r="H7" s="12"/>
      <c r="I7" s="12"/>
      <c r="J7" s="12"/>
      <c r="K7" s="12"/>
      <c r="L7" s="12"/>
      <c r="M7" s="12"/>
      <c r="N7" s="12"/>
      <c r="O7" s="12"/>
      <c r="P7" s="12"/>
      <c r="Q7" s="12"/>
      <c r="R7" s="12"/>
      <c r="S7" s="12"/>
      <c r="T7" s="12"/>
      <c r="U7" s="12"/>
      <c r="V7" s="12"/>
      <c r="W7" s="12"/>
      <c r="X7" s="12"/>
      <c r="Y7" s="12"/>
      <c r="Z7" s="12"/>
    </row>
    <row r="8" spans="1:26" ht="13.5" customHeight="1">
      <c r="A8" s="13" t="s">
        <v>1</v>
      </c>
      <c r="B8" s="12"/>
      <c r="C8" s="874" t="str">
        <f>"Revenue Growth "&amp;TEXT(E5,"yyyy")&amp;"e"</f>
        <v>Revenue Growth 2025e</v>
      </c>
      <c r="D8" s="858"/>
      <c r="E8" s="858"/>
      <c r="F8" s="858"/>
      <c r="G8" s="858"/>
      <c r="H8" s="858"/>
      <c r="I8" s="858"/>
      <c r="J8" s="858"/>
      <c r="K8" s="858"/>
      <c r="L8" s="858"/>
      <c r="M8" s="858"/>
      <c r="N8" s="858"/>
      <c r="O8" s="858"/>
      <c r="P8" s="858"/>
      <c r="Q8" s="858"/>
      <c r="R8" s="858"/>
      <c r="S8" s="12"/>
      <c r="T8" s="12"/>
      <c r="U8" s="12"/>
      <c r="V8" s="12"/>
      <c r="W8" s="12"/>
      <c r="X8" s="12"/>
      <c r="Y8" s="12"/>
      <c r="Z8" s="12"/>
    </row>
    <row r="9" spans="1:26" ht="13.5" customHeight="1">
      <c r="A9" s="13"/>
      <c r="B9" s="12"/>
      <c r="C9" s="12"/>
      <c r="D9" s="12"/>
      <c r="E9" s="12"/>
      <c r="F9" s="12"/>
      <c r="G9" s="12"/>
      <c r="H9" s="12"/>
      <c r="I9" s="12"/>
      <c r="J9" s="12"/>
      <c r="K9" s="12"/>
      <c r="L9" s="12"/>
      <c r="M9" s="12"/>
      <c r="N9" s="12"/>
      <c r="O9" s="12"/>
      <c r="P9" s="12"/>
      <c r="Q9" s="12"/>
      <c r="R9" s="12"/>
      <c r="S9" s="12"/>
      <c r="T9" s="12"/>
      <c r="U9" s="12"/>
      <c r="V9" s="12"/>
      <c r="W9" s="12"/>
      <c r="X9" s="12"/>
      <c r="Y9" s="12"/>
      <c r="Z9" s="12"/>
    </row>
    <row r="10" spans="1:26" ht="13.5" customHeight="1">
      <c r="A10" s="13"/>
      <c r="B10" s="12"/>
      <c r="C10" s="930" t="s">
        <v>951</v>
      </c>
      <c r="D10" s="883"/>
      <c r="E10" s="883"/>
      <c r="F10" s="40"/>
      <c r="G10" s="12"/>
      <c r="H10" s="12"/>
      <c r="I10" s="12"/>
      <c r="J10" s="12"/>
      <c r="K10" s="12"/>
      <c r="L10" s="12"/>
      <c r="M10" s="12"/>
      <c r="N10" s="12"/>
      <c r="O10" s="930" t="s">
        <v>952</v>
      </c>
      <c r="P10" s="883"/>
      <c r="Q10" s="883"/>
      <c r="R10" s="12"/>
      <c r="S10" s="12"/>
      <c r="T10" s="12"/>
      <c r="U10" s="12"/>
      <c r="V10" s="12"/>
      <c r="W10" s="12"/>
      <c r="X10" s="12"/>
      <c r="Y10" s="12"/>
      <c r="Z10" s="12"/>
    </row>
    <row r="11" spans="1:26" ht="13.5" customHeight="1">
      <c r="A11" s="13"/>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3.5" customHeight="1">
      <c r="A12" s="13"/>
      <c r="B12" s="12"/>
      <c r="C12" s="818" t="str">
        <f t="array" ref="C12:C17">TRANSPOSE(G5:L5)</f>
        <v>LOW</v>
      </c>
      <c r="D12" s="819">
        <f>Comparables!J10</f>
        <v>3.6889443396542321E-2</v>
      </c>
      <c r="E12" s="820"/>
      <c r="F12" s="12"/>
      <c r="G12" s="12"/>
      <c r="H12" s="12"/>
      <c r="I12" s="12"/>
      <c r="J12" s="12"/>
      <c r="K12" s="12"/>
      <c r="L12" s="12"/>
      <c r="M12" s="12"/>
      <c r="N12" s="12"/>
      <c r="O12" s="818" t="str">
        <f t="shared" ref="O12:P12" si="0">C12</f>
        <v>LOW</v>
      </c>
      <c r="P12" s="820">
        <f t="shared" si="0"/>
        <v>3.6889443396542321E-2</v>
      </c>
      <c r="Q12" s="820"/>
      <c r="R12" s="12"/>
      <c r="S12" s="12"/>
      <c r="T12" s="12"/>
      <c r="U12" s="12"/>
      <c r="V12" s="12"/>
      <c r="W12" s="12"/>
      <c r="X12" s="12"/>
      <c r="Y12" s="12"/>
      <c r="Z12" s="12"/>
    </row>
    <row r="13" spans="1:26" ht="13.5" customHeight="1">
      <c r="A13" s="13"/>
      <c r="B13" s="586">
        <v>1</v>
      </c>
      <c r="C13" s="675" t="str">
        <v>AAPL</v>
      </c>
      <c r="D13" s="821">
        <f ca="1">Comparables!J12+RAND()/1000000</f>
        <v>0.33343307929105148</v>
      </c>
      <c r="E13" s="822">
        <f ca="1">MEDIAN(D13:D17)</f>
        <v>0.37490926661856622</v>
      </c>
      <c r="F13" s="12"/>
      <c r="G13" s="12"/>
      <c r="H13" s="12"/>
      <c r="I13" s="12"/>
      <c r="J13" s="12"/>
      <c r="K13" s="12"/>
      <c r="L13" s="12"/>
      <c r="M13" s="12"/>
      <c r="N13" s="12"/>
      <c r="O13" s="675" t="str">
        <f t="shared" ref="O13:O17" ca="1" si="1">INDEX($C$13:$C$17,MATCH(P13,$D$13:$D$17,0),1)</f>
        <v>SNAP</v>
      </c>
      <c r="P13" s="822">
        <f t="shared" ref="P13:P17" ca="1" si="2">LARGE($D$13:$D$17,B13)</f>
        <v>0.67790731544308236</v>
      </c>
      <c r="Q13" s="822">
        <f t="shared" ref="Q13:Q17" ca="1" si="3">E13</f>
        <v>0.37490926661856622</v>
      </c>
      <c r="R13" s="822"/>
      <c r="S13" s="12"/>
      <c r="T13" s="12"/>
      <c r="U13" s="12"/>
      <c r="V13" s="12"/>
      <c r="W13" s="12"/>
      <c r="X13" s="12"/>
      <c r="Y13" s="12"/>
      <c r="Z13" s="12"/>
    </row>
    <row r="14" spans="1:26" ht="13.5" customHeight="1">
      <c r="A14" s="13"/>
      <c r="B14" s="12">
        <f t="shared" ref="B14:B17" si="4">B13+1</f>
        <v>2</v>
      </c>
      <c r="C14" s="675" t="str">
        <v>FB</v>
      </c>
      <c r="D14" s="821">
        <f ca="1">Comparables!J13+RAND()/1000000</f>
        <v>0.38907557381118674</v>
      </c>
      <c r="E14" s="822">
        <f t="shared" ref="E14:E17" ca="1" si="5">E13</f>
        <v>0.37490926661856622</v>
      </c>
      <c r="F14" s="12"/>
      <c r="G14" s="12"/>
      <c r="H14" s="12"/>
      <c r="I14" s="12"/>
      <c r="J14" s="12"/>
      <c r="K14" s="12"/>
      <c r="L14" s="12"/>
      <c r="M14" s="12"/>
      <c r="N14" s="12"/>
      <c r="O14" s="675" t="str">
        <f t="shared" ca="1" si="1"/>
        <v>FB</v>
      </c>
      <c r="P14" s="822">
        <f t="shared" ca="1" si="2"/>
        <v>0.38907557381118674</v>
      </c>
      <c r="Q14" s="822">
        <f t="shared" ca="1" si="3"/>
        <v>0.37490926661856622</v>
      </c>
      <c r="R14" s="822"/>
      <c r="S14" s="12"/>
      <c r="T14" s="12"/>
      <c r="U14" s="12"/>
      <c r="V14" s="12"/>
      <c r="W14" s="12"/>
      <c r="X14" s="12"/>
      <c r="Y14" s="12"/>
      <c r="Z14" s="12"/>
    </row>
    <row r="15" spans="1:26" ht="13.5" customHeight="1">
      <c r="A15" s="13"/>
      <c r="B15" s="12">
        <f t="shared" si="4"/>
        <v>3</v>
      </c>
      <c r="C15" s="675" t="str">
        <v>MSFT</v>
      </c>
      <c r="D15" s="821">
        <f ca="1">Comparables!J14+RAND()/1000000</f>
        <v>0.14070986527899199</v>
      </c>
      <c r="E15" s="822">
        <f t="shared" ca="1" si="5"/>
        <v>0.37490926661856622</v>
      </c>
      <c r="F15" s="12"/>
      <c r="G15" s="12"/>
      <c r="H15" s="12"/>
      <c r="I15" s="12"/>
      <c r="J15" s="12"/>
      <c r="K15" s="12"/>
      <c r="L15" s="12"/>
      <c r="M15" s="12"/>
      <c r="N15" s="12"/>
      <c r="O15" s="675" t="str">
        <f t="shared" ca="1" si="1"/>
        <v>GOOGL</v>
      </c>
      <c r="P15" s="822">
        <f t="shared" ca="1" si="2"/>
        <v>0.37490926661856622</v>
      </c>
      <c r="Q15" s="822">
        <f t="shared" ca="1" si="3"/>
        <v>0.37490926661856622</v>
      </c>
      <c r="R15" s="822"/>
      <c r="S15" s="12"/>
      <c r="T15" s="12"/>
      <c r="U15" s="12"/>
      <c r="V15" s="12"/>
      <c r="W15" s="12"/>
      <c r="X15" s="12"/>
      <c r="Y15" s="12"/>
      <c r="Z15" s="12"/>
    </row>
    <row r="16" spans="1:26" ht="13.5" customHeight="1">
      <c r="A16" s="13"/>
      <c r="B16" s="12">
        <f t="shared" si="4"/>
        <v>4</v>
      </c>
      <c r="C16" s="675" t="str">
        <v>SNAP</v>
      </c>
      <c r="D16" s="821">
        <f ca="1">Comparables!J15+RAND()/1000000</f>
        <v>0.67790731544308236</v>
      </c>
      <c r="E16" s="822">
        <f t="shared" ca="1" si="5"/>
        <v>0.37490926661856622</v>
      </c>
      <c r="F16" s="12"/>
      <c r="G16" s="12"/>
      <c r="H16" s="12"/>
      <c r="I16" s="12"/>
      <c r="J16" s="12"/>
      <c r="K16" s="12"/>
      <c r="L16" s="12"/>
      <c r="M16" s="12"/>
      <c r="N16" s="12"/>
      <c r="O16" s="675" t="str">
        <f t="shared" ca="1" si="1"/>
        <v>AAPL</v>
      </c>
      <c r="P16" s="822">
        <f t="shared" ca="1" si="2"/>
        <v>0.33343307929105148</v>
      </c>
      <c r="Q16" s="822">
        <f t="shared" ca="1" si="3"/>
        <v>0.37490926661856622</v>
      </c>
      <c r="R16" s="822"/>
      <c r="S16" s="12"/>
      <c r="T16" s="12"/>
      <c r="U16" s="12"/>
      <c r="V16" s="12"/>
      <c r="W16" s="12"/>
      <c r="X16" s="12"/>
      <c r="Y16" s="12"/>
      <c r="Z16" s="12"/>
    </row>
    <row r="17" spans="1:26" ht="13.5" customHeight="1">
      <c r="A17" s="13"/>
      <c r="B17" s="12">
        <f t="shared" si="4"/>
        <v>5</v>
      </c>
      <c r="C17" s="675" t="str">
        <v>GOOGL</v>
      </c>
      <c r="D17" s="821">
        <f ca="1">Comparables!J16+RAND()/1000000</f>
        <v>0.37490926661856622</v>
      </c>
      <c r="E17" s="822">
        <f t="shared" ca="1" si="5"/>
        <v>0.37490926661856622</v>
      </c>
      <c r="F17" s="12"/>
      <c r="G17" s="12"/>
      <c r="H17" s="12"/>
      <c r="I17" s="12"/>
      <c r="J17" s="12"/>
      <c r="K17" s="12"/>
      <c r="L17" s="12"/>
      <c r="M17" s="12"/>
      <c r="N17" s="12"/>
      <c r="O17" s="675" t="str">
        <f t="shared" ca="1" si="1"/>
        <v>MSFT</v>
      </c>
      <c r="P17" s="822">
        <f t="shared" ca="1" si="2"/>
        <v>0.14070986527899199</v>
      </c>
      <c r="Q17" s="822">
        <f t="shared" ca="1" si="3"/>
        <v>0.37490926661856622</v>
      </c>
      <c r="R17" s="822"/>
      <c r="S17" s="12"/>
      <c r="T17" s="12"/>
      <c r="U17" s="12"/>
      <c r="V17" s="12"/>
      <c r="W17" s="12"/>
      <c r="X17" s="12"/>
      <c r="Y17" s="12"/>
      <c r="Z17" s="12"/>
    </row>
    <row r="18" spans="1:26" ht="13.5" customHeight="1">
      <c r="A18" s="1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3"/>
      <c r="B19" s="12"/>
      <c r="C19" s="12"/>
      <c r="D19" s="12"/>
      <c r="E19" s="823" t="str">
        <f ca="1">"Median "&amp;TEXT(E13,"0.0%")</f>
        <v>Median 37.5%</v>
      </c>
      <c r="F19" s="12"/>
      <c r="G19" s="12"/>
      <c r="H19" s="12"/>
      <c r="I19" s="12"/>
      <c r="J19" s="12"/>
      <c r="K19" s="12"/>
      <c r="L19" s="12"/>
      <c r="M19" s="12"/>
      <c r="N19" s="12"/>
      <c r="O19" s="12"/>
      <c r="P19" s="12"/>
      <c r="Q19" s="823" t="str">
        <f ca="1">E19</f>
        <v>Median 37.5%</v>
      </c>
      <c r="R19" s="12"/>
      <c r="S19" s="12"/>
      <c r="T19" s="12"/>
      <c r="U19" s="12"/>
      <c r="V19" s="12"/>
      <c r="W19" s="12"/>
      <c r="X19" s="12"/>
      <c r="Y19" s="12"/>
      <c r="Z19" s="12"/>
    </row>
    <row r="20" spans="1:26" ht="13.5" customHeight="1">
      <c r="A20" s="13"/>
      <c r="B20" s="12"/>
      <c r="C20" s="12"/>
      <c r="D20" s="12"/>
      <c r="E20" s="12"/>
      <c r="F20" s="12"/>
      <c r="G20" s="12"/>
      <c r="H20" s="12"/>
      <c r="I20" s="12"/>
      <c r="J20" s="12"/>
      <c r="K20" s="12"/>
      <c r="L20" s="12"/>
      <c r="M20" s="12"/>
      <c r="N20" s="12"/>
      <c r="O20" s="12"/>
      <c r="P20" s="822"/>
      <c r="Q20" s="12"/>
      <c r="R20" s="12"/>
      <c r="S20" s="12"/>
      <c r="T20" s="12"/>
      <c r="U20" s="12"/>
      <c r="V20" s="12"/>
      <c r="W20" s="12"/>
      <c r="X20" s="12"/>
      <c r="Y20" s="12"/>
      <c r="Z20" s="12"/>
    </row>
    <row r="21" spans="1:26" ht="13.5" customHeight="1">
      <c r="A21" s="13"/>
      <c r="B21" s="12"/>
      <c r="C21" s="12"/>
      <c r="D21" s="12"/>
      <c r="E21" s="12"/>
      <c r="F21" s="12"/>
      <c r="G21" s="12"/>
      <c r="H21" s="12"/>
      <c r="I21" s="12"/>
      <c r="J21" s="12"/>
      <c r="K21" s="12"/>
      <c r="L21" s="12"/>
      <c r="M21" s="12"/>
      <c r="N21" s="12"/>
      <c r="O21" s="12"/>
      <c r="P21" s="822"/>
      <c r="Q21" s="12"/>
      <c r="R21" s="12"/>
      <c r="S21" s="12"/>
      <c r="T21" s="12"/>
      <c r="U21" s="12"/>
      <c r="V21" s="12"/>
      <c r="W21" s="12"/>
      <c r="X21" s="12"/>
      <c r="Y21" s="12"/>
      <c r="Z21" s="12"/>
    </row>
    <row r="22" spans="1:26" ht="13.5" customHeight="1">
      <c r="A22" s="13"/>
      <c r="B22" s="12"/>
      <c r="C22" s="12"/>
      <c r="D22" s="12"/>
      <c r="E22" s="12"/>
      <c r="F22" s="12"/>
      <c r="G22" s="12"/>
      <c r="H22" s="12"/>
      <c r="I22" s="12"/>
      <c r="J22" s="12"/>
      <c r="K22" s="12"/>
      <c r="L22" s="12"/>
      <c r="M22" s="12"/>
      <c r="N22" s="12"/>
      <c r="O22" s="12"/>
      <c r="P22" s="822"/>
      <c r="Q22" s="12"/>
      <c r="R22" s="12"/>
      <c r="S22" s="12"/>
      <c r="T22" s="12"/>
      <c r="U22" s="12"/>
      <c r="V22" s="12"/>
      <c r="W22" s="12"/>
      <c r="X22" s="12"/>
      <c r="Y22" s="12"/>
      <c r="Z22" s="12"/>
    </row>
    <row r="23" spans="1:26" ht="13.5" customHeight="1">
      <c r="A23" s="13"/>
      <c r="B23" s="12"/>
      <c r="C23" s="12"/>
      <c r="D23" s="12"/>
      <c r="E23" s="12"/>
      <c r="F23" s="12"/>
      <c r="G23" s="12"/>
      <c r="H23" s="12"/>
      <c r="I23" s="12"/>
      <c r="J23" s="12"/>
      <c r="K23" s="12"/>
      <c r="L23" s="12"/>
      <c r="M23" s="12"/>
      <c r="N23" s="12"/>
      <c r="O23" s="12"/>
      <c r="P23" s="822"/>
      <c r="Q23" s="12"/>
      <c r="R23" s="12"/>
      <c r="S23" s="12"/>
      <c r="T23" s="12"/>
      <c r="U23" s="12"/>
      <c r="V23" s="12"/>
      <c r="W23" s="12"/>
      <c r="X23" s="12"/>
      <c r="Y23" s="12"/>
      <c r="Z23" s="12"/>
    </row>
    <row r="24" spans="1:26" ht="13.5" customHeight="1">
      <c r="A24" s="13" t="s">
        <v>1</v>
      </c>
      <c r="B24" s="12"/>
      <c r="C24" s="874" t="str">
        <f>"EPS Growth "&amp;TEXT(E5,"yyyy")&amp;"e"</f>
        <v>EPS Growth 2025e</v>
      </c>
      <c r="D24" s="858"/>
      <c r="E24" s="858"/>
      <c r="F24" s="858"/>
      <c r="G24" s="858"/>
      <c r="H24" s="858"/>
      <c r="I24" s="858"/>
      <c r="J24" s="858"/>
      <c r="K24" s="858"/>
      <c r="L24" s="858"/>
      <c r="M24" s="858"/>
      <c r="N24" s="858"/>
      <c r="O24" s="858"/>
      <c r="P24" s="858"/>
      <c r="Q24" s="854"/>
      <c r="R24" s="12"/>
      <c r="S24" s="12"/>
      <c r="T24" s="12"/>
      <c r="U24" s="12"/>
      <c r="V24" s="12"/>
      <c r="W24" s="12"/>
      <c r="X24" s="12"/>
      <c r="Y24" s="12"/>
      <c r="Z24" s="12"/>
    </row>
    <row r="25" spans="1:26" ht="13.5" customHeight="1">
      <c r="A25" s="13"/>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3"/>
      <c r="B26" s="12"/>
      <c r="C26" s="930" t="str">
        <f>C10</f>
        <v>Raw Data</v>
      </c>
      <c r="D26" s="883"/>
      <c r="E26" s="883"/>
      <c r="F26" s="40"/>
      <c r="G26" s="12"/>
      <c r="H26" s="12"/>
      <c r="I26" s="12"/>
      <c r="J26" s="12"/>
      <c r="K26" s="12"/>
      <c r="L26" s="12"/>
      <c r="M26" s="12"/>
      <c r="N26" s="12"/>
      <c r="O26" s="930" t="str">
        <f>O10</f>
        <v>Chart Data</v>
      </c>
      <c r="P26" s="883"/>
      <c r="Q26" s="883"/>
      <c r="R26" s="12"/>
      <c r="S26" s="12"/>
      <c r="T26" s="12"/>
      <c r="U26" s="12"/>
      <c r="V26" s="12"/>
      <c r="W26" s="12"/>
      <c r="X26" s="12"/>
      <c r="Y26" s="12"/>
      <c r="Z26" s="12"/>
    </row>
    <row r="27" spans="1:26" ht="13.5" customHeight="1">
      <c r="A27" s="13"/>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3"/>
      <c r="B28" s="586"/>
      <c r="C28" s="818" t="str">
        <f t="shared" ref="C28:C33" si="6">C12</f>
        <v>LOW</v>
      </c>
      <c r="D28" s="819">
        <f>Comparables!L10</f>
        <v>0.46253161290322575</v>
      </c>
      <c r="E28" s="820"/>
      <c r="F28" s="12"/>
      <c r="G28" s="12"/>
      <c r="H28" s="12"/>
      <c r="I28" s="12"/>
      <c r="J28" s="12"/>
      <c r="K28" s="12"/>
      <c r="L28" s="12"/>
      <c r="M28" s="12"/>
      <c r="N28" s="12"/>
      <c r="O28" s="818" t="str">
        <f t="shared" ref="O28:P28" si="7">C28</f>
        <v>LOW</v>
      </c>
      <c r="P28" s="820">
        <f t="shared" si="7"/>
        <v>0.46253161290322575</v>
      </c>
      <c r="Q28" s="820"/>
      <c r="R28" s="12"/>
      <c r="S28" s="12"/>
      <c r="T28" s="12"/>
      <c r="U28" s="12"/>
      <c r="V28" s="12"/>
      <c r="W28" s="12"/>
      <c r="X28" s="12"/>
      <c r="Y28" s="12"/>
      <c r="Z28" s="12"/>
    </row>
    <row r="29" spans="1:26" ht="13.5" customHeight="1">
      <c r="A29" s="13"/>
      <c r="B29" s="586">
        <v>1</v>
      </c>
      <c r="C29" s="675" t="str">
        <f t="shared" si="6"/>
        <v>AAPL</v>
      </c>
      <c r="D29" s="821">
        <f ca="1">Comparables!L12+RAND()/1000000</f>
        <v>0.70120181000373027</v>
      </c>
      <c r="E29" s="822">
        <f ca="1">MEDIAN(D29:D33)</f>
        <v>0.39881325165771647</v>
      </c>
      <c r="F29" s="12"/>
      <c r="G29" s="12"/>
      <c r="H29" s="12"/>
      <c r="I29" s="12"/>
      <c r="J29" s="12"/>
      <c r="K29" s="12"/>
      <c r="L29" s="12"/>
      <c r="M29" s="12"/>
      <c r="N29" s="12"/>
      <c r="O29" s="675" t="str">
        <f t="shared" ref="O29:O33" ca="1" si="8">INDEX($C$29:$C$33,MATCH(P29,$D$29:$D$33,0),1)</f>
        <v>GOOGL</v>
      </c>
      <c r="P29" s="822">
        <f t="shared" ref="P29:P33" ca="1" si="9">LARGE($D$29:$D$33,B29)</f>
        <v>0.7232147415784459</v>
      </c>
      <c r="Q29" s="822">
        <f t="shared" ref="Q29:Q33" ca="1" si="10">E29</f>
        <v>0.39881325165771647</v>
      </c>
      <c r="R29" s="12"/>
      <c r="S29" s="12"/>
      <c r="T29" s="12"/>
      <c r="U29" s="12"/>
      <c r="V29" s="12"/>
      <c r="W29" s="12"/>
      <c r="X29" s="12"/>
      <c r="Y29" s="12"/>
      <c r="Z29" s="12"/>
    </row>
    <row r="30" spans="1:26" ht="13.5" customHeight="1">
      <c r="A30" s="13"/>
      <c r="B30" s="12">
        <f t="shared" ref="B30:B33" si="11">B29+1</f>
        <v>2</v>
      </c>
      <c r="C30" s="675" t="str">
        <f t="shared" si="6"/>
        <v>FB</v>
      </c>
      <c r="D30" s="821">
        <f ca="1">Comparables!L13+RAND()/1000000</f>
        <v>0.39881325165771647</v>
      </c>
      <c r="E30" s="822">
        <f t="shared" ref="E30:E33" ca="1" si="12">E29</f>
        <v>0.39881325165771647</v>
      </c>
      <c r="F30" s="12"/>
      <c r="G30" s="12"/>
      <c r="H30" s="12"/>
      <c r="I30" s="12"/>
      <c r="J30" s="12"/>
      <c r="K30" s="12"/>
      <c r="L30" s="12"/>
      <c r="M30" s="12"/>
      <c r="N30" s="12"/>
      <c r="O30" s="675" t="str">
        <f t="shared" ca="1" si="8"/>
        <v>AAPL</v>
      </c>
      <c r="P30" s="822">
        <f t="shared" ca="1" si="9"/>
        <v>0.70120181000373027</v>
      </c>
      <c r="Q30" s="822">
        <f t="shared" ca="1" si="10"/>
        <v>0.39881325165771647</v>
      </c>
      <c r="R30" s="12"/>
      <c r="S30" s="12"/>
      <c r="T30" s="12"/>
      <c r="U30" s="12"/>
      <c r="V30" s="12"/>
      <c r="W30" s="12"/>
      <c r="X30" s="12"/>
      <c r="Y30" s="12"/>
      <c r="Z30" s="12"/>
    </row>
    <row r="31" spans="1:26" ht="13.5" customHeight="1">
      <c r="A31" s="13"/>
      <c r="B31" s="12">
        <f t="shared" si="11"/>
        <v>3</v>
      </c>
      <c r="C31" s="675" t="str">
        <f t="shared" si="6"/>
        <v>MSFT</v>
      </c>
      <c r="D31" s="821">
        <f ca="1">Comparables!L14+RAND()/1000000</f>
        <v>9.4409025888814141E-2</v>
      </c>
      <c r="E31" s="822">
        <f t="shared" ca="1" si="12"/>
        <v>0.39881325165771647</v>
      </c>
      <c r="F31" s="12"/>
      <c r="G31" s="12"/>
      <c r="H31" s="12"/>
      <c r="I31" s="12"/>
      <c r="J31" s="12"/>
      <c r="K31" s="12"/>
      <c r="L31" s="12"/>
      <c r="M31" s="12"/>
      <c r="N31" s="12"/>
      <c r="O31" s="675" t="str">
        <f t="shared" ca="1" si="8"/>
        <v>FB</v>
      </c>
      <c r="P31" s="822">
        <f t="shared" ca="1" si="9"/>
        <v>0.39881325165771647</v>
      </c>
      <c r="Q31" s="822">
        <f t="shared" ca="1" si="10"/>
        <v>0.39881325165771647</v>
      </c>
      <c r="R31" s="12"/>
      <c r="S31" s="12"/>
      <c r="T31" s="12"/>
      <c r="U31" s="12"/>
      <c r="V31" s="12"/>
      <c r="W31" s="12"/>
      <c r="X31" s="12"/>
      <c r="Y31" s="12"/>
      <c r="Z31" s="12"/>
    </row>
    <row r="32" spans="1:26" ht="13.5" customHeight="1">
      <c r="A32" s="13"/>
      <c r="B32" s="12">
        <f t="shared" si="11"/>
        <v>4</v>
      </c>
      <c r="C32" s="675" t="str">
        <f t="shared" si="6"/>
        <v>SNAP</v>
      </c>
      <c r="D32" s="821">
        <f ca="1">Comparables!L15+RAND()/1000000</f>
        <v>-1.5530762446079358</v>
      </c>
      <c r="E32" s="822">
        <f t="shared" ca="1" si="12"/>
        <v>0.39881325165771647</v>
      </c>
      <c r="F32" s="12"/>
      <c r="G32" s="12"/>
      <c r="H32" s="12"/>
      <c r="I32" s="12"/>
      <c r="J32" s="12"/>
      <c r="K32" s="12"/>
      <c r="L32" s="12"/>
      <c r="M32" s="12"/>
      <c r="N32" s="12"/>
      <c r="O32" s="675" t="str">
        <f t="shared" ca="1" si="8"/>
        <v>MSFT</v>
      </c>
      <c r="P32" s="822">
        <f t="shared" ca="1" si="9"/>
        <v>9.4409025888814141E-2</v>
      </c>
      <c r="Q32" s="822">
        <f t="shared" ca="1" si="10"/>
        <v>0.39881325165771647</v>
      </c>
      <c r="R32" s="12"/>
      <c r="S32" s="12"/>
      <c r="T32" s="12"/>
      <c r="U32" s="12"/>
      <c r="V32" s="12"/>
      <c r="W32" s="12"/>
      <c r="X32" s="12"/>
      <c r="Y32" s="12"/>
      <c r="Z32" s="12"/>
    </row>
    <row r="33" spans="1:26" ht="13.5" customHeight="1">
      <c r="A33" s="13"/>
      <c r="B33" s="12">
        <f t="shared" si="11"/>
        <v>5</v>
      </c>
      <c r="C33" s="675" t="str">
        <f t="shared" si="6"/>
        <v>GOOGL</v>
      </c>
      <c r="D33" s="821">
        <f ca="1">Comparables!L16+RAND()/1000000</f>
        <v>0.7232147415784459</v>
      </c>
      <c r="E33" s="822">
        <f t="shared" ca="1" si="12"/>
        <v>0.39881325165771647</v>
      </c>
      <c r="F33" s="12"/>
      <c r="G33" s="12"/>
      <c r="H33" s="12"/>
      <c r="I33" s="12"/>
      <c r="J33" s="12"/>
      <c r="K33" s="12"/>
      <c r="L33" s="12"/>
      <c r="M33" s="12"/>
      <c r="N33" s="12"/>
      <c r="O33" s="675" t="str">
        <f t="shared" ca="1" si="8"/>
        <v>SNAP</v>
      </c>
      <c r="P33" s="822">
        <f t="shared" ca="1" si="9"/>
        <v>-1.5530762446079358</v>
      </c>
      <c r="Q33" s="822">
        <f t="shared" ca="1" si="10"/>
        <v>0.39881325165771647</v>
      </c>
      <c r="R33" s="12"/>
      <c r="S33" s="12"/>
      <c r="T33" s="12"/>
      <c r="U33" s="12"/>
      <c r="V33" s="12"/>
      <c r="W33" s="12"/>
      <c r="X33" s="12"/>
      <c r="Y33" s="12"/>
      <c r="Z33" s="12"/>
    </row>
    <row r="34" spans="1:26" ht="13.5" customHeight="1">
      <c r="A34" s="13"/>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3"/>
      <c r="B35" s="12"/>
      <c r="C35" s="12"/>
      <c r="D35" s="12"/>
      <c r="E35" s="823" t="str">
        <f ca="1">"Median "&amp;TEXT(E29,"0.0%")</f>
        <v>Median 39.9%</v>
      </c>
      <c r="F35" s="12"/>
      <c r="G35" s="12"/>
      <c r="H35" s="12"/>
      <c r="I35" s="12"/>
      <c r="J35" s="12"/>
      <c r="K35" s="12"/>
      <c r="L35" s="12"/>
      <c r="M35" s="12"/>
      <c r="N35" s="12"/>
      <c r="O35" s="12"/>
      <c r="P35" s="12"/>
      <c r="Q35" s="823" t="str">
        <f ca="1">E35</f>
        <v>Median 39.9%</v>
      </c>
      <c r="R35" s="12"/>
      <c r="S35" s="12"/>
      <c r="T35" s="12"/>
      <c r="U35" s="12"/>
      <c r="V35" s="12"/>
      <c r="W35" s="12"/>
      <c r="X35" s="12"/>
      <c r="Y35" s="12"/>
      <c r="Z35" s="12"/>
    </row>
    <row r="36" spans="1:26" ht="13.5" customHeight="1">
      <c r="A36" s="13"/>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3"/>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3"/>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3"/>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3" t="s">
        <v>1</v>
      </c>
      <c r="B40" s="12"/>
      <c r="C40" s="874" t="s">
        <v>953</v>
      </c>
      <c r="D40" s="858"/>
      <c r="E40" s="858"/>
      <c r="F40" s="858"/>
      <c r="G40" s="858"/>
      <c r="H40" s="858"/>
      <c r="I40" s="858"/>
      <c r="J40" s="858"/>
      <c r="K40" s="858"/>
      <c r="L40" s="858"/>
      <c r="M40" s="858"/>
      <c r="N40" s="858"/>
      <c r="O40" s="858"/>
      <c r="P40" s="858"/>
      <c r="Q40" s="854"/>
      <c r="R40" s="12"/>
      <c r="S40" s="12"/>
      <c r="T40" s="12"/>
      <c r="U40" s="12"/>
      <c r="V40" s="12"/>
      <c r="W40" s="12"/>
      <c r="X40" s="12"/>
      <c r="Y40" s="12"/>
      <c r="Z40" s="12"/>
    </row>
    <row r="41" spans="1:26" ht="13.5" customHeight="1">
      <c r="A41" s="13"/>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3"/>
      <c r="B42" s="12"/>
      <c r="C42" s="930" t="str">
        <f>C26</f>
        <v>Raw Data</v>
      </c>
      <c r="D42" s="883"/>
      <c r="E42" s="883"/>
      <c r="F42" s="40"/>
      <c r="G42" s="12"/>
      <c r="H42" s="12"/>
      <c r="I42" s="12"/>
      <c r="J42" s="12"/>
      <c r="K42" s="12"/>
      <c r="L42" s="12"/>
      <c r="M42" s="12"/>
      <c r="N42" s="12"/>
      <c r="O42" s="930" t="str">
        <f>O26</f>
        <v>Chart Data</v>
      </c>
      <c r="P42" s="883"/>
      <c r="Q42" s="883"/>
      <c r="R42" s="12"/>
      <c r="S42" s="12"/>
      <c r="T42" s="12"/>
      <c r="U42" s="12"/>
      <c r="V42" s="12"/>
      <c r="W42" s="12"/>
      <c r="X42" s="12"/>
      <c r="Y42" s="12"/>
      <c r="Z42" s="12"/>
    </row>
    <row r="43" spans="1:26" ht="13.5" customHeight="1">
      <c r="A43" s="13"/>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3"/>
      <c r="B44" s="12"/>
      <c r="C44" s="818" t="str">
        <f t="shared" ref="C44:C49" si="13">C28</f>
        <v>LOW</v>
      </c>
      <c r="D44" s="824">
        <f>Comparables!R10</f>
        <v>12.530955513708699</v>
      </c>
      <c r="E44" s="820"/>
      <c r="F44" s="12"/>
      <c r="G44" s="12"/>
      <c r="H44" s="12"/>
      <c r="I44" s="12"/>
      <c r="J44" s="12"/>
      <c r="K44" s="12"/>
      <c r="L44" s="12"/>
      <c r="M44" s="12"/>
      <c r="N44" s="12"/>
      <c r="O44" s="818" t="str">
        <f t="shared" ref="O44:P44" si="14">C44</f>
        <v>LOW</v>
      </c>
      <c r="P44" s="825">
        <f t="shared" si="14"/>
        <v>12.530955513708699</v>
      </c>
      <c r="Q44" s="820"/>
      <c r="R44" s="12"/>
      <c r="S44" s="12"/>
      <c r="T44" s="12"/>
      <c r="U44" s="12"/>
      <c r="V44" s="12"/>
      <c r="W44" s="12"/>
      <c r="X44" s="12"/>
      <c r="Y44" s="12"/>
      <c r="Z44" s="12"/>
    </row>
    <row r="45" spans="1:26" ht="13.5" customHeight="1">
      <c r="A45" s="13"/>
      <c r="B45" s="586">
        <v>1</v>
      </c>
      <c r="C45" s="675" t="str">
        <f t="shared" si="13"/>
        <v>AAPL</v>
      </c>
      <c r="D45" s="826">
        <f ca="1">Comparables!R12+RAND()/1000000</f>
        <v>20.059111661310318</v>
      </c>
      <c r="E45" s="827">
        <f ca="1">MEDIAN(D45:D49)</f>
        <v>20.059111661310318</v>
      </c>
      <c r="F45" s="12"/>
      <c r="G45" s="12"/>
      <c r="H45" s="12"/>
      <c r="I45" s="12"/>
      <c r="J45" s="12"/>
      <c r="K45" s="12"/>
      <c r="L45" s="12"/>
      <c r="M45" s="12"/>
      <c r="N45" s="12"/>
      <c r="O45" s="675" t="str">
        <f t="shared" ref="O45:O49" ca="1" si="15">INDEX($C$45:$C$49,MATCH(P45,$D$45:$D$49,0),1)</f>
        <v>SNAP</v>
      </c>
      <c r="P45" s="827">
        <f t="shared" ref="P45:P49" ca="1" si="16">LARGE($D$45:$D$49,B45)</f>
        <v>211.94604413812723</v>
      </c>
      <c r="Q45" s="827">
        <f t="shared" ref="Q45:Q49" ca="1" si="17">E45</f>
        <v>20.059111661310318</v>
      </c>
      <c r="R45" s="12"/>
      <c r="S45" s="12"/>
      <c r="T45" s="12"/>
      <c r="U45" s="12"/>
      <c r="V45" s="12"/>
      <c r="W45" s="12"/>
      <c r="X45" s="12"/>
      <c r="Y45" s="12"/>
      <c r="Z45" s="12"/>
    </row>
    <row r="46" spans="1:26" ht="13.5" customHeight="1">
      <c r="A46" s="13"/>
      <c r="B46" s="12">
        <f t="shared" ref="B46:B49" si="18">B45+1</f>
        <v>2</v>
      </c>
      <c r="C46" s="675" t="str">
        <f t="shared" si="13"/>
        <v>FB</v>
      </c>
      <c r="D46" s="826">
        <f ca="1">Comparables!R13+RAND()/1000000</f>
        <v>15.162146795105633</v>
      </c>
      <c r="E46" s="827">
        <f t="shared" ref="E46:E49" ca="1" si="19">E45</f>
        <v>20.059111661310318</v>
      </c>
      <c r="F46" s="12"/>
      <c r="G46" s="12"/>
      <c r="H46" s="12"/>
      <c r="I46" s="12"/>
      <c r="J46" s="12"/>
      <c r="K46" s="12"/>
      <c r="L46" s="12"/>
      <c r="M46" s="12"/>
      <c r="N46" s="12"/>
      <c r="O46" s="675" t="str">
        <f t="shared" ca="1" si="15"/>
        <v>MSFT</v>
      </c>
      <c r="P46" s="827">
        <f t="shared" ca="1" si="16"/>
        <v>23.640873425520407</v>
      </c>
      <c r="Q46" s="827">
        <f t="shared" ca="1" si="17"/>
        <v>20.059111661310318</v>
      </c>
      <c r="R46" s="12"/>
      <c r="S46" s="12"/>
      <c r="T46" s="12"/>
      <c r="U46" s="12"/>
      <c r="V46" s="12"/>
      <c r="W46" s="12"/>
      <c r="X46" s="12"/>
      <c r="Y46" s="12"/>
      <c r="Z46" s="12"/>
    </row>
    <row r="47" spans="1:26" ht="13.5" customHeight="1">
      <c r="A47" s="13"/>
      <c r="B47" s="12">
        <f t="shared" si="18"/>
        <v>3</v>
      </c>
      <c r="C47" s="675" t="str">
        <f t="shared" si="13"/>
        <v>MSFT</v>
      </c>
      <c r="D47" s="826">
        <f ca="1">Comparables!R14+RAND()/1000000</f>
        <v>23.640873425520407</v>
      </c>
      <c r="E47" s="827">
        <f t="shared" ca="1" si="19"/>
        <v>20.059111661310318</v>
      </c>
      <c r="F47" s="12"/>
      <c r="G47" s="12"/>
      <c r="H47" s="12"/>
      <c r="I47" s="12"/>
      <c r="J47" s="12"/>
      <c r="K47" s="12"/>
      <c r="L47" s="12"/>
      <c r="M47" s="12"/>
      <c r="N47" s="12"/>
      <c r="O47" s="675" t="str">
        <f t="shared" ca="1" si="15"/>
        <v>AAPL</v>
      </c>
      <c r="P47" s="827">
        <f t="shared" ca="1" si="16"/>
        <v>20.059111661310318</v>
      </c>
      <c r="Q47" s="827">
        <f t="shared" ca="1" si="17"/>
        <v>20.059111661310318</v>
      </c>
      <c r="R47" s="12"/>
      <c r="S47" s="12"/>
      <c r="T47" s="12"/>
      <c r="U47" s="12"/>
      <c r="V47" s="12"/>
      <c r="W47" s="12"/>
      <c r="X47" s="12"/>
      <c r="Y47" s="12"/>
      <c r="Z47" s="12"/>
    </row>
    <row r="48" spans="1:26" ht="13.5" customHeight="1">
      <c r="A48" s="13"/>
      <c r="B48" s="12">
        <f t="shared" si="18"/>
        <v>4</v>
      </c>
      <c r="C48" s="675" t="str">
        <f t="shared" si="13"/>
        <v>SNAP</v>
      </c>
      <c r="D48" s="826">
        <f ca="1">Comparables!R15+RAND()/1000000</f>
        <v>211.94604413812723</v>
      </c>
      <c r="E48" s="827">
        <f t="shared" ca="1" si="19"/>
        <v>20.059111661310318</v>
      </c>
      <c r="F48" s="12"/>
      <c r="G48" s="12"/>
      <c r="H48" s="12"/>
      <c r="I48" s="12"/>
      <c r="J48" s="12"/>
      <c r="K48" s="12"/>
      <c r="L48" s="12"/>
      <c r="M48" s="12"/>
      <c r="N48" s="12"/>
      <c r="O48" s="675" t="str">
        <f t="shared" ca="1" si="15"/>
        <v>GOOGL</v>
      </c>
      <c r="P48" s="827">
        <f t="shared" ca="1" si="16"/>
        <v>18.088799241742748</v>
      </c>
      <c r="Q48" s="827">
        <f t="shared" ca="1" si="17"/>
        <v>20.059111661310318</v>
      </c>
      <c r="R48" s="12"/>
      <c r="S48" s="12"/>
      <c r="T48" s="12"/>
      <c r="U48" s="12"/>
      <c r="V48" s="12"/>
      <c r="W48" s="12"/>
      <c r="X48" s="12"/>
      <c r="Y48" s="12"/>
      <c r="Z48" s="12"/>
    </row>
    <row r="49" spans="1:26" ht="13.5" customHeight="1">
      <c r="A49" s="13"/>
      <c r="B49" s="12">
        <f t="shared" si="18"/>
        <v>5</v>
      </c>
      <c r="C49" s="675" t="str">
        <f t="shared" si="13"/>
        <v>GOOGL</v>
      </c>
      <c r="D49" s="826">
        <f ca="1">Comparables!R16+RAND()/1000000</f>
        <v>18.088799241742748</v>
      </c>
      <c r="E49" s="827">
        <f t="shared" ca="1" si="19"/>
        <v>20.059111661310318</v>
      </c>
      <c r="F49" s="12"/>
      <c r="G49" s="12"/>
      <c r="H49" s="12"/>
      <c r="I49" s="12"/>
      <c r="J49" s="12"/>
      <c r="K49" s="12"/>
      <c r="L49" s="12"/>
      <c r="M49" s="12"/>
      <c r="N49" s="12"/>
      <c r="O49" s="675" t="str">
        <f t="shared" ca="1" si="15"/>
        <v>FB</v>
      </c>
      <c r="P49" s="827">
        <f t="shared" ca="1" si="16"/>
        <v>15.162146795105633</v>
      </c>
      <c r="Q49" s="827">
        <f t="shared" ca="1" si="17"/>
        <v>20.059111661310318</v>
      </c>
      <c r="R49" s="12"/>
      <c r="S49" s="12"/>
      <c r="T49" s="12"/>
      <c r="U49" s="12"/>
      <c r="V49" s="12"/>
      <c r="W49" s="12"/>
      <c r="X49" s="12"/>
      <c r="Y49" s="12"/>
      <c r="Z49" s="12"/>
    </row>
    <row r="50" spans="1:26" ht="13.5" customHeight="1">
      <c r="A50" s="13"/>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3"/>
      <c r="B51" s="12"/>
      <c r="C51" s="12"/>
      <c r="D51" s="12"/>
      <c r="E51" s="823" t="str">
        <f ca="1">"Median "&amp;TEXT(E45,"0.0x")</f>
        <v>Median 20.1x</v>
      </c>
      <c r="F51" s="12"/>
      <c r="G51" s="12"/>
      <c r="H51" s="12"/>
      <c r="I51" s="12"/>
      <c r="J51" s="12"/>
      <c r="K51" s="12"/>
      <c r="L51" s="12"/>
      <c r="M51" s="12"/>
      <c r="N51" s="12"/>
      <c r="O51" s="12"/>
      <c r="P51" s="12"/>
      <c r="Q51" s="823" t="str">
        <f ca="1">E51</f>
        <v>Median 20.1x</v>
      </c>
      <c r="R51" s="12"/>
      <c r="S51" s="12"/>
      <c r="T51" s="12"/>
      <c r="U51" s="12"/>
      <c r="V51" s="12"/>
      <c r="W51" s="12"/>
      <c r="X51" s="12"/>
      <c r="Y51" s="12"/>
      <c r="Z51" s="12"/>
    </row>
    <row r="52" spans="1:26" ht="13.5" customHeight="1">
      <c r="A52" s="13"/>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3"/>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3"/>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3"/>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3" t="s">
        <v>1</v>
      </c>
      <c r="B56" s="12"/>
      <c r="C56" s="874" t="s">
        <v>954</v>
      </c>
      <c r="D56" s="858"/>
      <c r="E56" s="858"/>
      <c r="F56" s="858"/>
      <c r="G56" s="858"/>
      <c r="H56" s="858"/>
      <c r="I56" s="858"/>
      <c r="J56" s="858"/>
      <c r="K56" s="858"/>
      <c r="L56" s="858"/>
      <c r="M56" s="858"/>
      <c r="N56" s="858"/>
      <c r="O56" s="858"/>
      <c r="P56" s="858"/>
      <c r="Q56" s="854"/>
      <c r="R56" s="12"/>
      <c r="S56" s="12"/>
      <c r="T56" s="12"/>
      <c r="U56" s="12"/>
      <c r="V56" s="12"/>
      <c r="W56" s="12"/>
      <c r="X56" s="12"/>
      <c r="Y56" s="12"/>
      <c r="Z56" s="12"/>
    </row>
    <row r="57" spans="1:26" ht="13.5" customHeight="1">
      <c r="A57" s="13"/>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3"/>
      <c r="B58" s="12"/>
      <c r="C58" s="930" t="str">
        <f>C42</f>
        <v>Raw Data</v>
      </c>
      <c r="D58" s="883"/>
      <c r="E58" s="883"/>
      <c r="F58" s="40"/>
      <c r="G58" s="12"/>
      <c r="H58" s="12"/>
      <c r="I58" s="12"/>
      <c r="J58" s="12"/>
      <c r="K58" s="12"/>
      <c r="L58" s="12"/>
      <c r="M58" s="12"/>
      <c r="N58" s="12"/>
      <c r="O58" s="930" t="str">
        <f>O42</f>
        <v>Chart Data</v>
      </c>
      <c r="P58" s="883"/>
      <c r="Q58" s="883"/>
      <c r="R58" s="12"/>
      <c r="S58" s="12"/>
      <c r="T58" s="12"/>
      <c r="U58" s="12"/>
      <c r="V58" s="12"/>
      <c r="W58" s="12"/>
      <c r="X58" s="12"/>
      <c r="Y58" s="12"/>
      <c r="Z58" s="12"/>
    </row>
    <row r="59" spans="1:26" ht="13.5" customHeight="1">
      <c r="A59" s="13"/>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3"/>
      <c r="B60" s="12"/>
      <c r="C60" s="818" t="str">
        <f t="shared" ref="C60:C65" si="20">C44</f>
        <v>LOW</v>
      </c>
      <c r="D60" s="824">
        <f>Comparables!V10</f>
        <v>17.846255042276262</v>
      </c>
      <c r="E60" s="820"/>
      <c r="F60" s="12"/>
      <c r="G60" s="12"/>
      <c r="H60" s="12"/>
      <c r="I60" s="12"/>
      <c r="J60" s="12"/>
      <c r="K60" s="12"/>
      <c r="L60" s="12"/>
      <c r="M60" s="12"/>
      <c r="N60" s="12"/>
      <c r="O60" s="818" t="str">
        <f t="shared" ref="O60:P60" si="21">C60</f>
        <v>LOW</v>
      </c>
      <c r="P60" s="825">
        <f t="shared" si="21"/>
        <v>17.846255042276262</v>
      </c>
      <c r="Q60" s="820"/>
      <c r="R60" s="12"/>
      <c r="S60" s="12"/>
      <c r="T60" s="12"/>
      <c r="U60" s="12"/>
      <c r="V60" s="12"/>
      <c r="W60" s="12"/>
      <c r="X60" s="12"/>
      <c r="Y60" s="12"/>
      <c r="Z60" s="12"/>
    </row>
    <row r="61" spans="1:26" ht="13.5" customHeight="1">
      <c r="A61" s="13"/>
      <c r="B61" s="586">
        <v>1</v>
      </c>
      <c r="C61" s="675" t="str">
        <f t="shared" si="20"/>
        <v>AAPL</v>
      </c>
      <c r="D61" s="826">
        <f ca="1">Comparables!V12+RAND()/1000000</f>
        <v>26.184054236996346</v>
      </c>
      <c r="E61" s="827">
        <f ca="1">MEDIAN(D61:D65)</f>
        <v>28.409248324915126</v>
      </c>
      <c r="F61" s="12"/>
      <c r="G61" s="12"/>
      <c r="H61" s="12"/>
      <c r="I61" s="12"/>
      <c r="J61" s="12"/>
      <c r="K61" s="12"/>
      <c r="L61" s="12"/>
      <c r="M61" s="12"/>
      <c r="N61" s="12"/>
      <c r="O61" s="675" t="str">
        <f t="shared" ref="O61:O65" ca="1" si="22">INDEX($C$61:$C$65,MATCH(P61,$D$61:$D$65,0),1)</f>
        <v>SNAP</v>
      </c>
      <c r="P61" s="827">
        <f t="shared" ref="P61:P65" ca="1" si="23">LARGE($D$61:$D$65,B61)</f>
        <v>214.40286136577956</v>
      </c>
      <c r="Q61" s="827">
        <f t="shared" ref="Q61:Q65" ca="1" si="24">E61</f>
        <v>28.409248324915126</v>
      </c>
      <c r="R61" s="12"/>
      <c r="S61" s="12"/>
      <c r="T61" s="12"/>
      <c r="U61" s="12"/>
      <c r="V61" s="12"/>
      <c r="W61" s="12"/>
      <c r="X61" s="12"/>
      <c r="Y61" s="12"/>
      <c r="Z61" s="12"/>
    </row>
    <row r="62" spans="1:26" ht="13.5" customHeight="1">
      <c r="A62" s="13"/>
      <c r="B62" s="12">
        <f t="shared" ref="B62:B65" si="25">B61+1</f>
        <v>2</v>
      </c>
      <c r="C62" s="675" t="str">
        <f t="shared" si="20"/>
        <v>FB</v>
      </c>
      <c r="D62" s="826">
        <f ca="1">Comparables!V13+RAND()/1000000</f>
        <v>25.96279989350182</v>
      </c>
      <c r="E62" s="827">
        <f t="shared" ref="E62:E65" ca="1" si="26">E61</f>
        <v>28.409248324915126</v>
      </c>
      <c r="F62" s="12"/>
      <c r="G62" s="12"/>
      <c r="H62" s="12"/>
      <c r="I62" s="12"/>
      <c r="J62" s="12"/>
      <c r="K62" s="12"/>
      <c r="L62" s="12"/>
      <c r="M62" s="12"/>
      <c r="N62" s="12"/>
      <c r="O62" s="675" t="str">
        <f t="shared" ca="1" si="22"/>
        <v>MSFT</v>
      </c>
      <c r="P62" s="827">
        <f t="shared" ca="1" si="23"/>
        <v>33.977222920788684</v>
      </c>
      <c r="Q62" s="827">
        <f t="shared" ca="1" si="24"/>
        <v>28.409248324915126</v>
      </c>
      <c r="R62" s="12"/>
      <c r="S62" s="12"/>
      <c r="T62" s="12"/>
      <c r="U62" s="12"/>
      <c r="V62" s="12"/>
      <c r="W62" s="12"/>
      <c r="X62" s="12"/>
      <c r="Y62" s="12"/>
      <c r="Z62" s="12"/>
    </row>
    <row r="63" spans="1:26" ht="13.5" customHeight="1">
      <c r="A63" s="13"/>
      <c r="B63" s="12">
        <f t="shared" si="25"/>
        <v>3</v>
      </c>
      <c r="C63" s="675" t="str">
        <f t="shared" si="20"/>
        <v>MSFT</v>
      </c>
      <c r="D63" s="826">
        <f ca="1">Comparables!V14+RAND()/1000000</f>
        <v>33.977222920788684</v>
      </c>
      <c r="E63" s="827">
        <f t="shared" ca="1" si="26"/>
        <v>28.409248324915126</v>
      </c>
      <c r="F63" s="12"/>
      <c r="G63" s="12"/>
      <c r="H63" s="12"/>
      <c r="I63" s="12"/>
      <c r="J63" s="12"/>
      <c r="K63" s="12"/>
      <c r="L63" s="12"/>
      <c r="M63" s="12"/>
      <c r="N63" s="12"/>
      <c r="O63" s="675" t="str">
        <f t="shared" ca="1" si="22"/>
        <v>GOOGL</v>
      </c>
      <c r="P63" s="827">
        <f t="shared" ca="1" si="23"/>
        <v>28.409248324915126</v>
      </c>
      <c r="Q63" s="827">
        <f t="shared" ca="1" si="24"/>
        <v>28.409248324915126</v>
      </c>
      <c r="R63" s="12"/>
      <c r="S63" s="12"/>
      <c r="T63" s="12"/>
      <c r="U63" s="12"/>
      <c r="V63" s="12"/>
      <c r="W63" s="12"/>
      <c r="X63" s="12"/>
      <c r="Y63" s="12"/>
      <c r="Z63" s="12"/>
    </row>
    <row r="64" spans="1:26" ht="13.5" customHeight="1">
      <c r="A64" s="13"/>
      <c r="B64" s="12">
        <f t="shared" si="25"/>
        <v>4</v>
      </c>
      <c r="C64" s="675" t="str">
        <f t="shared" si="20"/>
        <v>SNAP</v>
      </c>
      <c r="D64" s="826">
        <f ca="1">Comparables!V15+RAND()/1000000</f>
        <v>214.40286136577956</v>
      </c>
      <c r="E64" s="827">
        <f t="shared" ca="1" si="26"/>
        <v>28.409248324915126</v>
      </c>
      <c r="F64" s="12"/>
      <c r="G64" s="12"/>
      <c r="H64" s="12"/>
      <c r="I64" s="12"/>
      <c r="J64" s="12"/>
      <c r="K64" s="12"/>
      <c r="L64" s="12"/>
      <c r="M64" s="12"/>
      <c r="N64" s="12"/>
      <c r="O64" s="675" t="str">
        <f t="shared" ca="1" si="22"/>
        <v>AAPL</v>
      </c>
      <c r="P64" s="827">
        <f t="shared" ca="1" si="23"/>
        <v>26.184054236996346</v>
      </c>
      <c r="Q64" s="827">
        <f t="shared" ca="1" si="24"/>
        <v>28.409248324915126</v>
      </c>
      <c r="R64" s="12"/>
      <c r="S64" s="12"/>
      <c r="T64" s="12"/>
      <c r="U64" s="12"/>
      <c r="V64" s="12"/>
      <c r="W64" s="12"/>
      <c r="X64" s="12"/>
      <c r="Y64" s="12"/>
      <c r="Z64" s="12"/>
    </row>
    <row r="65" spans="1:26" ht="13.5" customHeight="1">
      <c r="A65" s="13"/>
      <c r="B65" s="12">
        <f t="shared" si="25"/>
        <v>5</v>
      </c>
      <c r="C65" s="675" t="str">
        <f t="shared" si="20"/>
        <v>GOOGL</v>
      </c>
      <c r="D65" s="826">
        <f ca="1">Comparables!V16+RAND()/1000000</f>
        <v>28.409248324915126</v>
      </c>
      <c r="E65" s="827">
        <f t="shared" ca="1" si="26"/>
        <v>28.409248324915126</v>
      </c>
      <c r="F65" s="12"/>
      <c r="G65" s="12"/>
      <c r="H65" s="12"/>
      <c r="I65" s="12"/>
      <c r="J65" s="12"/>
      <c r="K65" s="12"/>
      <c r="L65" s="12"/>
      <c r="M65" s="12"/>
      <c r="N65" s="12"/>
      <c r="O65" s="675" t="str">
        <f t="shared" ca="1" si="22"/>
        <v>FB</v>
      </c>
      <c r="P65" s="827">
        <f t="shared" ca="1" si="23"/>
        <v>25.96279989350182</v>
      </c>
      <c r="Q65" s="827">
        <f t="shared" ca="1" si="24"/>
        <v>28.409248324915126</v>
      </c>
      <c r="R65" s="12"/>
      <c r="S65" s="12"/>
      <c r="T65" s="12"/>
      <c r="U65" s="12"/>
      <c r="V65" s="12"/>
      <c r="W65" s="12"/>
      <c r="X65" s="12"/>
      <c r="Y65" s="12"/>
      <c r="Z65" s="12"/>
    </row>
    <row r="66" spans="1:26" ht="13.5" customHeight="1">
      <c r="A66" s="13"/>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3"/>
      <c r="B67" s="12"/>
      <c r="C67" s="12"/>
      <c r="D67" s="12"/>
      <c r="E67" s="823" t="str">
        <f ca="1">"Median "&amp;TEXT(E61,"0.0x")</f>
        <v>Median 28.4x</v>
      </c>
      <c r="F67" s="12"/>
      <c r="G67" s="12"/>
      <c r="H67" s="12"/>
      <c r="I67" s="12"/>
      <c r="J67" s="12"/>
      <c r="K67" s="12"/>
      <c r="L67" s="12"/>
      <c r="M67" s="12"/>
      <c r="N67" s="12"/>
      <c r="O67" s="12"/>
      <c r="P67" s="12"/>
      <c r="Q67" s="823" t="str">
        <f ca="1">E67</f>
        <v>Median 28.4x</v>
      </c>
      <c r="R67" s="12"/>
      <c r="S67" s="12"/>
      <c r="T67" s="12"/>
      <c r="U67" s="12"/>
      <c r="V67" s="12"/>
      <c r="W67" s="12"/>
      <c r="X67" s="12"/>
      <c r="Y67" s="12"/>
      <c r="Z67" s="12"/>
    </row>
    <row r="68" spans="1:26" ht="13.5" customHeight="1">
      <c r="A68" s="13"/>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3"/>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3"/>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3"/>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3" t="s">
        <v>1</v>
      </c>
      <c r="B72" s="12"/>
      <c r="C72" s="874" t="s">
        <v>955</v>
      </c>
      <c r="D72" s="858"/>
      <c r="E72" s="858"/>
      <c r="F72" s="858"/>
      <c r="G72" s="858"/>
      <c r="H72" s="858"/>
      <c r="I72" s="858"/>
      <c r="J72" s="858"/>
      <c r="K72" s="858"/>
      <c r="L72" s="858"/>
      <c r="M72" s="858"/>
      <c r="N72" s="858"/>
      <c r="O72" s="858"/>
      <c r="P72" s="858"/>
      <c r="Q72" s="854"/>
      <c r="R72" s="12"/>
      <c r="S72" s="12"/>
      <c r="T72" s="12"/>
      <c r="U72" s="12"/>
      <c r="V72" s="12"/>
      <c r="W72" s="12"/>
      <c r="X72" s="12"/>
      <c r="Y72" s="12"/>
      <c r="Z72" s="12"/>
    </row>
    <row r="73" spans="1:26" ht="13.5" customHeight="1">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3"/>
      <c r="B74" s="12"/>
      <c r="C74" s="930" t="str">
        <f>C58</f>
        <v>Raw Data</v>
      </c>
      <c r="D74" s="883"/>
      <c r="E74" s="883"/>
      <c r="F74" s="40"/>
      <c r="G74" s="12"/>
      <c r="H74" s="12"/>
      <c r="I74" s="12"/>
      <c r="J74" s="12"/>
      <c r="K74" s="12"/>
      <c r="L74" s="12"/>
      <c r="M74" s="12"/>
      <c r="N74" s="12"/>
      <c r="O74" s="930" t="str">
        <f>O58</f>
        <v>Chart Data</v>
      </c>
      <c r="P74" s="883"/>
      <c r="Q74" s="883"/>
      <c r="R74" s="12"/>
      <c r="S74" s="12"/>
      <c r="T74" s="12"/>
      <c r="U74" s="12"/>
      <c r="V74" s="12"/>
      <c r="W74" s="12"/>
      <c r="X74" s="12"/>
      <c r="Y74" s="12"/>
      <c r="Z74" s="12"/>
    </row>
    <row r="75" spans="1:26" ht="13.5" customHeight="1">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3"/>
      <c r="B76" s="12"/>
      <c r="C76" s="818" t="str">
        <f t="shared" ref="C76:C81" si="27">C60</f>
        <v>LOW</v>
      </c>
      <c r="D76" s="824">
        <f>Comparables!N28</f>
        <v>1.9578</v>
      </c>
      <c r="E76" s="820"/>
      <c r="F76" s="12"/>
      <c r="G76" s="12"/>
      <c r="H76" s="12"/>
      <c r="I76" s="12"/>
      <c r="J76" s="12"/>
      <c r="K76" s="12"/>
      <c r="L76" s="12"/>
      <c r="M76" s="12"/>
      <c r="N76" s="12"/>
      <c r="O76" s="818" t="str">
        <f t="shared" ref="O76:P76" si="28">C76</f>
        <v>LOW</v>
      </c>
      <c r="P76" s="825">
        <f t="shared" si="28"/>
        <v>1.9578</v>
      </c>
      <c r="Q76" s="820"/>
      <c r="R76" s="12"/>
      <c r="S76" s="12"/>
      <c r="T76" s="12"/>
      <c r="U76" s="12"/>
      <c r="V76" s="12"/>
      <c r="W76" s="12"/>
      <c r="X76" s="12"/>
      <c r="Y76" s="12"/>
      <c r="Z76" s="12"/>
    </row>
    <row r="77" spans="1:26" ht="13.5" customHeight="1">
      <c r="A77" s="13"/>
      <c r="B77" s="586">
        <v>1</v>
      </c>
      <c r="C77" s="675" t="str">
        <f t="shared" si="27"/>
        <v>AAPL</v>
      </c>
      <c r="D77" s="826">
        <f ca="1">Comparables!N30+RAND()/1000000</f>
        <v>1.3872502224600396</v>
      </c>
      <c r="E77" s="827">
        <f ca="1">MEDIAN(D77:D81)</f>
        <v>0.5794713599169693</v>
      </c>
      <c r="F77" s="12"/>
      <c r="G77" s="12"/>
      <c r="H77" s="12"/>
      <c r="I77" s="12"/>
      <c r="J77" s="12"/>
      <c r="K77" s="12"/>
      <c r="L77" s="12"/>
      <c r="M77" s="12"/>
      <c r="N77" s="12"/>
      <c r="O77" s="675" t="str">
        <f t="shared" ref="O77:O81" ca="1" si="29">INDEX($C$77:$C$81,MATCH(P77,$D$77:$D$81,0),1)</f>
        <v>AAPL</v>
      </c>
      <c r="P77" s="827">
        <f t="shared" ref="P77:P81" ca="1" si="30">LARGE($D$77:$D$81,B77)</f>
        <v>1.3872502224600396</v>
      </c>
      <c r="Q77" s="827">
        <f t="shared" ref="Q77:Q81" ca="1" si="31">E77</f>
        <v>0.5794713599169693</v>
      </c>
      <c r="R77" s="12"/>
      <c r="S77" s="12"/>
      <c r="T77" s="12"/>
      <c r="U77" s="12"/>
      <c r="V77" s="12"/>
      <c r="W77" s="12"/>
      <c r="X77" s="12"/>
      <c r="Y77" s="12"/>
      <c r="Z77" s="12"/>
    </row>
    <row r="78" spans="1:26" ht="13.5" customHeight="1">
      <c r="A78" s="13"/>
      <c r="B78" s="12">
        <f t="shared" ref="B78:B81" si="32">B77+1</f>
        <v>2</v>
      </c>
      <c r="C78" s="675" t="str">
        <f t="shared" si="27"/>
        <v>FB</v>
      </c>
      <c r="D78" s="826">
        <f ca="1">Comparables!O31+RAND()/1000000</f>
        <v>8.7122269319769713E-2</v>
      </c>
      <c r="E78" s="827">
        <f t="shared" ref="E78:E81" ca="1" si="33">E77</f>
        <v>0.5794713599169693</v>
      </c>
      <c r="F78" s="12"/>
      <c r="G78" s="12"/>
      <c r="H78" s="12"/>
      <c r="I78" s="12"/>
      <c r="J78" s="12"/>
      <c r="K78" s="12"/>
      <c r="L78" s="12"/>
      <c r="M78" s="12"/>
      <c r="N78" s="12"/>
      <c r="O78" s="675" t="str">
        <f t="shared" ca="1" si="29"/>
        <v>SNAP</v>
      </c>
      <c r="P78" s="827">
        <f t="shared" ca="1" si="30"/>
        <v>0.85989673570721148</v>
      </c>
      <c r="Q78" s="827">
        <f t="shared" ca="1" si="31"/>
        <v>0.5794713599169693</v>
      </c>
      <c r="R78" s="12"/>
      <c r="S78" s="12"/>
      <c r="T78" s="12"/>
      <c r="U78" s="12"/>
      <c r="V78" s="12"/>
      <c r="W78" s="12"/>
      <c r="X78" s="12"/>
      <c r="Y78" s="12"/>
      <c r="Z78" s="12"/>
    </row>
    <row r="79" spans="1:26" ht="13.5" customHeight="1">
      <c r="A79" s="13"/>
      <c r="B79" s="12">
        <f t="shared" si="32"/>
        <v>3</v>
      </c>
      <c r="C79" s="675" t="str">
        <f t="shared" si="27"/>
        <v>MSFT</v>
      </c>
      <c r="D79" s="826">
        <f ca="1">Comparables!O32+RAND()/1000000</f>
        <v>0.5794713599169693</v>
      </c>
      <c r="E79" s="827">
        <f t="shared" ca="1" si="33"/>
        <v>0.5794713599169693</v>
      </c>
      <c r="F79" s="12"/>
      <c r="G79" s="12"/>
      <c r="H79" s="12"/>
      <c r="I79" s="12"/>
      <c r="J79" s="12"/>
      <c r="K79" s="12"/>
      <c r="L79" s="12"/>
      <c r="M79" s="12"/>
      <c r="N79" s="12"/>
      <c r="O79" s="675" t="str">
        <f t="shared" ca="1" si="29"/>
        <v>MSFT</v>
      </c>
      <c r="P79" s="827">
        <f t="shared" ca="1" si="30"/>
        <v>0.5794713599169693</v>
      </c>
      <c r="Q79" s="827">
        <f t="shared" ca="1" si="31"/>
        <v>0.5794713599169693</v>
      </c>
      <c r="R79" s="12"/>
      <c r="S79" s="12"/>
      <c r="T79" s="12"/>
      <c r="U79" s="12"/>
      <c r="V79" s="12"/>
      <c r="W79" s="12"/>
      <c r="X79" s="12"/>
      <c r="Y79" s="12"/>
      <c r="Z79" s="12"/>
    </row>
    <row r="80" spans="1:26" ht="13.5" customHeight="1">
      <c r="A80" s="13"/>
      <c r="B80" s="12">
        <f t="shared" si="32"/>
        <v>4</v>
      </c>
      <c r="C80" s="675" t="str">
        <f t="shared" si="27"/>
        <v>SNAP</v>
      </c>
      <c r="D80" s="826">
        <f ca="1">Comparables!O33+RAND()/1000000</f>
        <v>0.85989673570721148</v>
      </c>
      <c r="E80" s="827">
        <f t="shared" ca="1" si="33"/>
        <v>0.5794713599169693</v>
      </c>
      <c r="F80" s="12"/>
      <c r="G80" s="12"/>
      <c r="H80" s="12"/>
      <c r="I80" s="12"/>
      <c r="J80" s="12"/>
      <c r="K80" s="12"/>
      <c r="L80" s="12"/>
      <c r="M80" s="12"/>
      <c r="N80" s="12"/>
      <c r="O80" s="675" t="str">
        <f t="shared" ca="1" si="29"/>
        <v>GOOGL</v>
      </c>
      <c r="P80" s="827">
        <f t="shared" ca="1" si="30"/>
        <v>0.12524269047043554</v>
      </c>
      <c r="Q80" s="827">
        <f t="shared" ca="1" si="31"/>
        <v>0.5794713599169693</v>
      </c>
      <c r="R80" s="12"/>
      <c r="S80" s="12"/>
      <c r="T80" s="12"/>
      <c r="U80" s="12"/>
      <c r="V80" s="12"/>
      <c r="W80" s="12"/>
      <c r="X80" s="12"/>
      <c r="Y80" s="12"/>
      <c r="Z80" s="12"/>
    </row>
    <row r="81" spans="1:26" ht="13.5" customHeight="1">
      <c r="A81" s="13"/>
      <c r="B81" s="12">
        <f t="shared" si="32"/>
        <v>5</v>
      </c>
      <c r="C81" s="675" t="str">
        <f t="shared" si="27"/>
        <v>GOOGL</v>
      </c>
      <c r="D81" s="826">
        <f ca="1">Comparables!O34+RAND()/1000000</f>
        <v>0.12524269047043554</v>
      </c>
      <c r="E81" s="827">
        <f t="shared" ca="1" si="33"/>
        <v>0.5794713599169693</v>
      </c>
      <c r="F81" s="12"/>
      <c r="G81" s="12"/>
      <c r="H81" s="12"/>
      <c r="I81" s="12"/>
      <c r="J81" s="12"/>
      <c r="K81" s="12"/>
      <c r="L81" s="12"/>
      <c r="M81" s="12"/>
      <c r="N81" s="12"/>
      <c r="O81" s="675" t="str">
        <f t="shared" ca="1" si="29"/>
        <v>FB</v>
      </c>
      <c r="P81" s="827">
        <f t="shared" ca="1" si="30"/>
        <v>8.7122269319769713E-2</v>
      </c>
      <c r="Q81" s="827">
        <f t="shared" ca="1" si="31"/>
        <v>0.5794713599169693</v>
      </c>
      <c r="R81" s="12"/>
      <c r="S81" s="12"/>
      <c r="T81" s="12"/>
      <c r="U81" s="12"/>
      <c r="V81" s="12"/>
      <c r="W81" s="12"/>
      <c r="X81" s="12"/>
      <c r="Y81" s="12"/>
      <c r="Z81" s="12"/>
    </row>
    <row r="82" spans="1:26" ht="13.5" customHeight="1">
      <c r="A82" s="13"/>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3"/>
      <c r="B83" s="12"/>
      <c r="C83" s="12"/>
      <c r="D83" s="12"/>
      <c r="E83" s="823" t="str">
        <f ca="1">"Median "&amp;TEXT(E77,"0.0x")</f>
        <v>Median 0.6x</v>
      </c>
      <c r="F83" s="12"/>
      <c r="G83" s="12"/>
      <c r="H83" s="12"/>
      <c r="I83" s="12"/>
      <c r="J83" s="12"/>
      <c r="K83" s="12"/>
      <c r="L83" s="12"/>
      <c r="M83" s="12"/>
      <c r="N83" s="12"/>
      <c r="O83" s="12"/>
      <c r="P83" s="12"/>
      <c r="Q83" s="823" t="str">
        <f ca="1">E83</f>
        <v>Median 0.6x</v>
      </c>
      <c r="R83" s="12"/>
      <c r="S83" s="12"/>
      <c r="T83" s="12"/>
      <c r="U83" s="12"/>
      <c r="V83" s="12"/>
      <c r="W83" s="12"/>
      <c r="X83" s="12"/>
      <c r="Y83" s="12"/>
      <c r="Z83" s="12"/>
    </row>
    <row r="84" spans="1:26" ht="13.5" customHeight="1">
      <c r="A84" s="13"/>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3"/>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3"/>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3"/>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3" t="s">
        <v>1</v>
      </c>
      <c r="B88" s="12"/>
      <c r="C88" s="874" t="str">
        <f>TEXT(E4,"yyyy")&amp;" EBITDA / Interest Expense"</f>
        <v>2024 EBITDA / Interest Expense</v>
      </c>
      <c r="D88" s="858"/>
      <c r="E88" s="858"/>
      <c r="F88" s="858"/>
      <c r="G88" s="858"/>
      <c r="H88" s="858"/>
      <c r="I88" s="858"/>
      <c r="J88" s="858"/>
      <c r="K88" s="858"/>
      <c r="L88" s="858"/>
      <c r="M88" s="858"/>
      <c r="N88" s="858"/>
      <c r="O88" s="858"/>
      <c r="P88" s="858"/>
      <c r="Q88" s="854"/>
      <c r="R88" s="12"/>
      <c r="S88" s="12"/>
      <c r="T88" s="12"/>
      <c r="U88" s="12"/>
      <c r="V88" s="12"/>
      <c r="W88" s="12"/>
      <c r="X88" s="12"/>
      <c r="Y88" s="12"/>
      <c r="Z88" s="12"/>
    </row>
    <row r="89" spans="1:26" ht="13.5" customHeight="1">
      <c r="A89" s="13"/>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3"/>
      <c r="B90" s="12"/>
      <c r="C90" s="930" t="str">
        <f>C74</f>
        <v>Raw Data</v>
      </c>
      <c r="D90" s="883"/>
      <c r="E90" s="883"/>
      <c r="F90" s="40"/>
      <c r="G90" s="12"/>
      <c r="H90" s="12"/>
      <c r="I90" s="12"/>
      <c r="J90" s="12"/>
      <c r="K90" s="12"/>
      <c r="L90" s="12"/>
      <c r="M90" s="12"/>
      <c r="N90" s="12"/>
      <c r="O90" s="930" t="str">
        <f>O74</f>
        <v>Chart Data</v>
      </c>
      <c r="P90" s="883"/>
      <c r="Q90" s="883"/>
      <c r="R90" s="12"/>
      <c r="S90" s="12"/>
      <c r="T90" s="12"/>
      <c r="U90" s="12"/>
      <c r="V90" s="12"/>
      <c r="W90" s="12"/>
      <c r="X90" s="12"/>
      <c r="Y90" s="12"/>
      <c r="Z90" s="12"/>
    </row>
    <row r="91" spans="1:26" ht="13.5" customHeight="1">
      <c r="A91" s="13"/>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3"/>
      <c r="B92" s="12"/>
      <c r="C92" s="818" t="str">
        <f t="shared" ref="C92:C97" si="34">C76</f>
        <v>LOW</v>
      </c>
      <c r="D92" s="824">
        <f>Comparables!P28</f>
        <v>15.353210000000001</v>
      </c>
      <c r="E92" s="820"/>
      <c r="F92" s="12"/>
      <c r="G92" s="12"/>
      <c r="H92" s="12"/>
      <c r="I92" s="12"/>
      <c r="J92" s="12"/>
      <c r="K92" s="12"/>
      <c r="L92" s="12"/>
      <c r="M92" s="12"/>
      <c r="N92" s="12"/>
      <c r="O92" s="818" t="str">
        <f t="shared" ref="O92:P92" si="35">C92</f>
        <v>LOW</v>
      </c>
      <c r="P92" s="825">
        <f t="shared" si="35"/>
        <v>15.353210000000001</v>
      </c>
      <c r="Q92" s="820"/>
      <c r="R92" s="12"/>
      <c r="S92" s="12"/>
      <c r="T92" s="12"/>
      <c r="U92" s="12"/>
      <c r="V92" s="12"/>
      <c r="W92" s="12"/>
      <c r="X92" s="12"/>
      <c r="Y92" s="12"/>
      <c r="Z92" s="12"/>
    </row>
    <row r="93" spans="1:26" ht="13.5" customHeight="1">
      <c r="A93" s="13"/>
      <c r="B93" s="586">
        <v>1</v>
      </c>
      <c r="C93" s="675" t="str">
        <f t="shared" si="34"/>
        <v>AAPL</v>
      </c>
      <c r="D93" s="826">
        <f ca="1">Comparables!P30+RAND()/1000000</f>
        <v>30.680130536181615</v>
      </c>
      <c r="E93" s="827" t="e">
        <f ca="1">MEDIAN(D93:D97)</f>
        <v>#VALUE!</v>
      </c>
      <c r="F93" s="12"/>
      <c r="G93" s="12"/>
      <c r="H93" s="12"/>
      <c r="I93" s="12"/>
      <c r="J93" s="12"/>
      <c r="K93" s="12"/>
      <c r="L93" s="12"/>
      <c r="M93" s="12"/>
      <c r="N93" s="12"/>
      <c r="O93" s="675" t="e">
        <f t="shared" ref="O93:O97" ca="1" si="36">INDEX($C$93:$C$97,MATCH(P93,$D$93:$D$97,0),1)</f>
        <v>#VALUE!</v>
      </c>
      <c r="P93" s="827" t="e">
        <f t="shared" ref="P93:P97" ca="1" si="37">LARGE($D$93:$D$97,B93)</f>
        <v>#VALUE!</v>
      </c>
      <c r="Q93" s="827" t="e">
        <f t="shared" ref="Q93:Q97" ca="1" si="38">E93</f>
        <v>#VALUE!</v>
      </c>
      <c r="R93" s="12"/>
      <c r="S93" s="12"/>
      <c r="T93" s="12"/>
      <c r="U93" s="12"/>
      <c r="V93" s="12"/>
      <c r="W93" s="12"/>
      <c r="X93" s="12"/>
      <c r="Y93" s="12"/>
      <c r="Z93" s="12"/>
    </row>
    <row r="94" spans="1:26" ht="13.5" customHeight="1">
      <c r="A94" s="13"/>
      <c r="B94" s="12">
        <f t="shared" ref="B94:B97" si="39">B93+1</f>
        <v>2</v>
      </c>
      <c r="C94" s="675" t="str">
        <f t="shared" si="34"/>
        <v>FB</v>
      </c>
      <c r="D94" s="826">
        <f ca="1">Comparables!P31+RAND()/1000000</f>
        <v>5.7844186311107732E-7</v>
      </c>
      <c r="E94" s="827" t="e">
        <f t="shared" ref="E94:E97" ca="1" si="40">E93</f>
        <v>#VALUE!</v>
      </c>
      <c r="F94" s="12"/>
      <c r="G94" s="12"/>
      <c r="H94" s="12"/>
      <c r="I94" s="12"/>
      <c r="J94" s="12"/>
      <c r="K94" s="12"/>
      <c r="L94" s="12"/>
      <c r="M94" s="12"/>
      <c r="N94" s="12"/>
      <c r="O94" s="675" t="e">
        <f t="shared" ca="1" si="36"/>
        <v>#VALUE!</v>
      </c>
      <c r="P94" s="827" t="e">
        <f t="shared" ca="1" si="37"/>
        <v>#VALUE!</v>
      </c>
      <c r="Q94" s="827" t="e">
        <f t="shared" ca="1" si="38"/>
        <v>#VALUE!</v>
      </c>
      <c r="R94" s="12"/>
      <c r="S94" s="12"/>
      <c r="T94" s="12"/>
      <c r="U94" s="12"/>
      <c r="V94" s="12"/>
      <c r="W94" s="12"/>
      <c r="X94" s="12"/>
      <c r="Y94" s="12"/>
      <c r="Z94" s="12"/>
    </row>
    <row r="95" spans="1:26" ht="13.5" customHeight="1">
      <c r="A95" s="13"/>
      <c r="B95" s="12">
        <f t="shared" si="39"/>
        <v>3</v>
      </c>
      <c r="C95" s="675" t="str">
        <f t="shared" si="34"/>
        <v>MSFT</v>
      </c>
      <c r="D95" s="826">
        <f ca="1">Comparables!P32+RAND()/1000000</f>
        <v>35.597850988386782</v>
      </c>
      <c r="E95" s="827" t="e">
        <f t="shared" ca="1" si="40"/>
        <v>#VALUE!</v>
      </c>
      <c r="F95" s="12"/>
      <c r="G95" s="12"/>
      <c r="H95" s="12"/>
      <c r="I95" s="12"/>
      <c r="J95" s="12"/>
      <c r="K95" s="12"/>
      <c r="L95" s="12"/>
      <c r="M95" s="12"/>
      <c r="N95" s="12"/>
      <c r="O95" s="675" t="e">
        <f t="shared" ca="1" si="36"/>
        <v>#VALUE!</v>
      </c>
      <c r="P95" s="827" t="e">
        <f t="shared" ca="1" si="37"/>
        <v>#VALUE!</v>
      </c>
      <c r="Q95" s="827" t="e">
        <f t="shared" ca="1" si="38"/>
        <v>#VALUE!</v>
      </c>
      <c r="R95" s="12"/>
      <c r="S95" s="12"/>
      <c r="T95" s="12"/>
      <c r="U95" s="12"/>
      <c r="V95" s="12"/>
      <c r="W95" s="12"/>
      <c r="X95" s="12"/>
      <c r="Y95" s="12"/>
      <c r="Z95" s="12"/>
    </row>
    <row r="96" spans="1:26" ht="13.5" customHeight="1">
      <c r="A96" s="13"/>
      <c r="B96" s="12">
        <f t="shared" si="39"/>
        <v>4</v>
      </c>
      <c r="C96" s="675" t="str">
        <f t="shared" si="34"/>
        <v>SNAP</v>
      </c>
      <c r="D96" s="826" t="e">
        <f ca="1">Comparables!P33+RAND()/1000000</f>
        <v>#VALUE!</v>
      </c>
      <c r="E96" s="827" t="e">
        <f t="shared" ca="1" si="40"/>
        <v>#VALUE!</v>
      </c>
      <c r="F96" s="12"/>
      <c r="G96" s="12"/>
      <c r="H96" s="12"/>
      <c r="I96" s="12"/>
      <c r="J96" s="12"/>
      <c r="K96" s="12"/>
      <c r="L96" s="12"/>
      <c r="M96" s="12"/>
      <c r="N96" s="12"/>
      <c r="O96" s="675" t="e">
        <f t="shared" ca="1" si="36"/>
        <v>#VALUE!</v>
      </c>
      <c r="P96" s="827" t="e">
        <f t="shared" ca="1" si="37"/>
        <v>#VALUE!</v>
      </c>
      <c r="Q96" s="827" t="e">
        <f t="shared" ca="1" si="38"/>
        <v>#VALUE!</v>
      </c>
      <c r="R96" s="12"/>
      <c r="S96" s="12"/>
      <c r="T96" s="12"/>
      <c r="U96" s="12"/>
      <c r="V96" s="12"/>
      <c r="W96" s="12"/>
      <c r="X96" s="12"/>
      <c r="Y96" s="12"/>
      <c r="Z96" s="12"/>
    </row>
    <row r="97" spans="1:26" ht="13.5" customHeight="1">
      <c r="A97" s="13"/>
      <c r="B97" s="12">
        <f t="shared" si="39"/>
        <v>5</v>
      </c>
      <c r="C97" s="675" t="str">
        <f t="shared" si="34"/>
        <v>GOOGL</v>
      </c>
      <c r="D97" s="826">
        <f ca="1">Comparables!P34+RAND()/1000000</f>
        <v>428.06667057754834</v>
      </c>
      <c r="E97" s="827" t="e">
        <f t="shared" ca="1" si="40"/>
        <v>#VALUE!</v>
      </c>
      <c r="F97" s="12"/>
      <c r="G97" s="12"/>
      <c r="H97" s="12"/>
      <c r="I97" s="12"/>
      <c r="J97" s="12"/>
      <c r="K97" s="12"/>
      <c r="L97" s="12"/>
      <c r="M97" s="12"/>
      <c r="N97" s="12"/>
      <c r="O97" s="675" t="e">
        <f t="shared" ca="1" si="36"/>
        <v>#VALUE!</v>
      </c>
      <c r="P97" s="827" t="e">
        <f t="shared" ca="1" si="37"/>
        <v>#VALUE!</v>
      </c>
      <c r="Q97" s="827" t="e">
        <f t="shared" ca="1" si="38"/>
        <v>#VALUE!</v>
      </c>
      <c r="R97" s="12"/>
      <c r="S97" s="12"/>
      <c r="T97" s="12"/>
      <c r="U97" s="12"/>
      <c r="V97" s="12"/>
      <c r="W97" s="12"/>
      <c r="X97" s="12"/>
      <c r="Y97" s="12"/>
      <c r="Z97" s="12"/>
    </row>
    <row r="98" spans="1:26" ht="13.5" customHeight="1">
      <c r="A98" s="13"/>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3"/>
      <c r="B99" s="12"/>
      <c r="C99" s="12"/>
      <c r="D99" s="12"/>
      <c r="E99" s="823" t="e">
        <f ca="1">"Median "&amp;TEXT(E93,"0.0x")</f>
        <v>#VALUE!</v>
      </c>
      <c r="F99" s="12"/>
      <c r="G99" s="12"/>
      <c r="H99" s="12"/>
      <c r="I99" s="12"/>
      <c r="J99" s="12"/>
      <c r="K99" s="12"/>
      <c r="L99" s="12"/>
      <c r="M99" s="12"/>
      <c r="N99" s="12"/>
      <c r="O99" s="12"/>
      <c r="P99" s="12"/>
      <c r="Q99" s="823" t="e">
        <f ca="1">E99</f>
        <v>#VALUE!</v>
      </c>
      <c r="R99" s="12"/>
      <c r="S99" s="12"/>
      <c r="T99" s="12"/>
      <c r="U99" s="12"/>
      <c r="V99" s="12"/>
      <c r="W99" s="12"/>
      <c r="X99" s="12"/>
      <c r="Y99" s="12"/>
      <c r="Z99" s="12"/>
    </row>
    <row r="100" spans="1:26" ht="13.5" customHeight="1">
      <c r="A100" s="13"/>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3"/>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3"/>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3"/>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3" t="s">
        <v>1</v>
      </c>
      <c r="B104" s="12"/>
      <c r="C104" s="874" t="s">
        <v>956</v>
      </c>
      <c r="D104" s="858"/>
      <c r="E104" s="858"/>
      <c r="F104" s="858"/>
      <c r="G104" s="858"/>
      <c r="H104" s="858"/>
      <c r="I104" s="858"/>
      <c r="J104" s="858"/>
      <c r="K104" s="858"/>
      <c r="L104" s="858"/>
      <c r="M104" s="858"/>
      <c r="N104" s="858"/>
      <c r="O104" s="858"/>
      <c r="P104" s="858"/>
      <c r="Q104" s="854"/>
      <c r="R104" s="12"/>
      <c r="S104" s="12"/>
      <c r="T104" s="12"/>
      <c r="U104" s="12"/>
      <c r="V104" s="12"/>
      <c r="W104" s="12"/>
      <c r="X104" s="12"/>
      <c r="Y104" s="12"/>
      <c r="Z104" s="12"/>
    </row>
    <row r="105" spans="1:26" ht="13.5" customHeight="1">
      <c r="A105" s="13"/>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3"/>
      <c r="B106" s="12"/>
      <c r="C106" s="930" t="str">
        <f>C90</f>
        <v>Raw Data</v>
      </c>
      <c r="D106" s="883"/>
      <c r="E106" s="883"/>
      <c r="F106" s="40"/>
      <c r="G106" s="12"/>
      <c r="H106" s="12"/>
      <c r="I106" s="12"/>
      <c r="J106" s="12"/>
      <c r="K106" s="12"/>
      <c r="L106" s="12"/>
      <c r="M106" s="12"/>
      <c r="N106" s="12"/>
      <c r="O106" s="930" t="str">
        <f>O90</f>
        <v>Chart Data</v>
      </c>
      <c r="P106" s="883"/>
      <c r="Q106" s="883"/>
      <c r="R106" s="12"/>
      <c r="S106" s="12"/>
      <c r="T106" s="12"/>
      <c r="U106" s="12"/>
      <c r="V106" s="12"/>
      <c r="W106" s="12"/>
      <c r="X106" s="12"/>
      <c r="Y106" s="12"/>
      <c r="Z106" s="12"/>
    </row>
    <row r="107" spans="1:26" ht="13.5" customHeight="1">
      <c r="A107" s="13"/>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3"/>
      <c r="B108" s="12"/>
      <c r="C108" s="818" t="str">
        <f t="shared" ref="C108:C113" si="41">C92</f>
        <v>LOW</v>
      </c>
      <c r="D108" s="819">
        <f>Comparables!M10</f>
        <v>0.14957700000000002</v>
      </c>
      <c r="E108" s="820"/>
      <c r="F108" s="12"/>
      <c r="G108" s="12"/>
      <c r="H108" s="12"/>
      <c r="I108" s="12"/>
      <c r="J108" s="12"/>
      <c r="K108" s="12"/>
      <c r="L108" s="12"/>
      <c r="M108" s="12"/>
      <c r="N108" s="12"/>
      <c r="O108" s="818" t="str">
        <f t="shared" ref="O108:P108" si="42">C108</f>
        <v>LOW</v>
      </c>
      <c r="P108" s="820">
        <f t="shared" si="42"/>
        <v>0.14957700000000002</v>
      </c>
      <c r="Q108" s="820"/>
      <c r="R108" s="12"/>
      <c r="S108" s="12"/>
      <c r="T108" s="12"/>
      <c r="U108" s="12"/>
      <c r="V108" s="12"/>
      <c r="W108" s="12"/>
      <c r="X108" s="12"/>
      <c r="Y108" s="12"/>
      <c r="Z108" s="12"/>
    </row>
    <row r="109" spans="1:26" ht="13.5" customHeight="1">
      <c r="A109" s="13"/>
      <c r="B109" s="586">
        <v>1</v>
      </c>
      <c r="C109" s="675" t="str">
        <f t="shared" si="41"/>
        <v>AAPL</v>
      </c>
      <c r="D109" s="821">
        <f ca="1">Comparables!M12+RAND()/1000000</f>
        <v>0.31955436104823975</v>
      </c>
      <c r="E109" s="822">
        <f ca="1">MEDIAN(D109:D113)</f>
        <v>0.34300947933110026</v>
      </c>
      <c r="F109" s="12"/>
      <c r="G109" s="12"/>
      <c r="H109" s="12"/>
      <c r="I109" s="12"/>
      <c r="J109" s="12"/>
      <c r="K109" s="12"/>
      <c r="L109" s="12"/>
      <c r="M109" s="12"/>
      <c r="N109" s="12"/>
      <c r="O109" s="675" t="str">
        <f t="shared" ref="O109:O113" ca="1" si="43">INDEX($C$109:$C$113,MATCH(P109,$D$109:$D$113,0),1)</f>
        <v>FB</v>
      </c>
      <c r="P109" s="822">
        <f t="shared" ref="P109:P113" ca="1" si="44">LARGE($D$109:$D$113,B109)</f>
        <v>0.49698443892157262</v>
      </c>
      <c r="Q109" s="822">
        <f t="shared" ref="Q109:Q113" ca="1" si="45">E109</f>
        <v>0.34300947933110026</v>
      </c>
      <c r="R109" s="12"/>
      <c r="S109" s="12"/>
      <c r="T109" s="12"/>
      <c r="U109" s="12"/>
      <c r="V109" s="12"/>
      <c r="W109" s="12"/>
      <c r="X109" s="12"/>
      <c r="Y109" s="12"/>
      <c r="Z109" s="12"/>
    </row>
    <row r="110" spans="1:26" ht="13.5" customHeight="1">
      <c r="A110" s="13"/>
      <c r="B110" s="12">
        <f t="shared" ref="B110:B113" si="46">B109+1</f>
        <v>2</v>
      </c>
      <c r="C110" s="675" t="str">
        <f t="shared" si="41"/>
        <v>FB</v>
      </c>
      <c r="D110" s="821">
        <f ca="1">Comparables!M13+RAND()/1000000</f>
        <v>0.49698443892157262</v>
      </c>
      <c r="E110" s="822">
        <f t="shared" ref="E110:E113" ca="1" si="47">E109</f>
        <v>0.34300947933110026</v>
      </c>
      <c r="F110" s="12"/>
      <c r="G110" s="12"/>
      <c r="H110" s="12"/>
      <c r="I110" s="12"/>
      <c r="J110" s="12"/>
      <c r="K110" s="12"/>
      <c r="L110" s="12"/>
      <c r="M110" s="12"/>
      <c r="N110" s="12"/>
      <c r="O110" s="675" t="str">
        <f t="shared" ca="1" si="43"/>
        <v>MSFT</v>
      </c>
      <c r="P110" s="822">
        <f t="shared" ca="1" si="44"/>
        <v>0.48079543951449966</v>
      </c>
      <c r="Q110" s="822">
        <f t="shared" ca="1" si="45"/>
        <v>0.34300947933110026</v>
      </c>
      <c r="R110" s="12"/>
      <c r="S110" s="12"/>
      <c r="T110" s="12"/>
      <c r="U110" s="12"/>
      <c r="V110" s="12"/>
      <c r="W110" s="12"/>
      <c r="X110" s="12"/>
      <c r="Y110" s="12"/>
      <c r="Z110" s="12"/>
    </row>
    <row r="111" spans="1:26" ht="13.5" customHeight="1">
      <c r="A111" s="13"/>
      <c r="B111" s="12">
        <f t="shared" si="46"/>
        <v>3</v>
      </c>
      <c r="C111" s="675" t="str">
        <f t="shared" si="41"/>
        <v>MSFT</v>
      </c>
      <c r="D111" s="821">
        <f ca="1">Comparables!M14+RAND()/1000000</f>
        <v>0.48079543951449966</v>
      </c>
      <c r="E111" s="822">
        <f t="shared" ca="1" si="47"/>
        <v>0.34300947933110026</v>
      </c>
      <c r="F111" s="12"/>
      <c r="G111" s="12"/>
      <c r="H111" s="12"/>
      <c r="I111" s="12"/>
      <c r="J111" s="12"/>
      <c r="K111" s="12"/>
      <c r="L111" s="12"/>
      <c r="M111" s="12"/>
      <c r="N111" s="12"/>
      <c r="O111" s="675" t="str">
        <f t="shared" ca="1" si="43"/>
        <v>GOOGL</v>
      </c>
      <c r="P111" s="822">
        <f t="shared" ca="1" si="44"/>
        <v>0.34300947933110026</v>
      </c>
      <c r="Q111" s="822">
        <f t="shared" ca="1" si="45"/>
        <v>0.34300947933110026</v>
      </c>
      <c r="R111" s="12"/>
      <c r="S111" s="12"/>
      <c r="T111" s="12"/>
      <c r="U111" s="12"/>
      <c r="V111" s="12"/>
      <c r="W111" s="12"/>
      <c r="X111" s="12"/>
      <c r="Y111" s="12"/>
      <c r="Z111" s="12"/>
    </row>
    <row r="112" spans="1:26" ht="13.5" customHeight="1">
      <c r="A112" s="13"/>
      <c r="B112" s="12">
        <f t="shared" si="46"/>
        <v>4</v>
      </c>
      <c r="C112" s="675" t="str">
        <f t="shared" si="41"/>
        <v>SNAP</v>
      </c>
      <c r="D112" s="821">
        <f ca="1">Comparables!M15+RAND()/1000000</f>
        <v>-0.19595802742304633</v>
      </c>
      <c r="E112" s="822">
        <f t="shared" ca="1" si="47"/>
        <v>0.34300947933110026</v>
      </c>
      <c r="F112" s="12"/>
      <c r="G112" s="12"/>
      <c r="H112" s="12"/>
      <c r="I112" s="12"/>
      <c r="J112" s="12"/>
      <c r="K112" s="12"/>
      <c r="L112" s="12"/>
      <c r="M112" s="12"/>
      <c r="N112" s="12"/>
      <c r="O112" s="675" t="str">
        <f t="shared" ca="1" si="43"/>
        <v>AAPL</v>
      </c>
      <c r="P112" s="822">
        <f t="shared" ca="1" si="44"/>
        <v>0.31955436104823975</v>
      </c>
      <c r="Q112" s="822">
        <f t="shared" ca="1" si="45"/>
        <v>0.34300947933110026</v>
      </c>
      <c r="R112" s="12"/>
      <c r="S112" s="12"/>
      <c r="T112" s="12"/>
      <c r="U112" s="12"/>
      <c r="V112" s="12"/>
      <c r="W112" s="12"/>
      <c r="X112" s="12"/>
      <c r="Y112" s="12"/>
      <c r="Z112" s="12"/>
    </row>
    <row r="113" spans="1:26" ht="13.5" customHeight="1">
      <c r="A113" s="13"/>
      <c r="B113" s="12">
        <f t="shared" si="46"/>
        <v>5</v>
      </c>
      <c r="C113" s="675" t="str">
        <f t="shared" si="41"/>
        <v>GOOGL</v>
      </c>
      <c r="D113" s="821">
        <f ca="1">Comparables!M16+RAND()/1000000</f>
        <v>0.34300947933110026</v>
      </c>
      <c r="E113" s="822">
        <f t="shared" ca="1" si="47"/>
        <v>0.34300947933110026</v>
      </c>
      <c r="F113" s="12"/>
      <c r="G113" s="12"/>
      <c r="H113" s="12"/>
      <c r="I113" s="12"/>
      <c r="J113" s="12"/>
      <c r="K113" s="12"/>
      <c r="L113" s="12"/>
      <c r="M113" s="12"/>
      <c r="N113" s="12"/>
      <c r="O113" s="675" t="str">
        <f t="shared" ca="1" si="43"/>
        <v>SNAP</v>
      </c>
      <c r="P113" s="822">
        <f t="shared" ca="1" si="44"/>
        <v>-0.19595802742304633</v>
      </c>
      <c r="Q113" s="822">
        <f t="shared" ca="1" si="45"/>
        <v>0.34300947933110026</v>
      </c>
      <c r="R113" s="12"/>
      <c r="S113" s="12"/>
      <c r="T113" s="12"/>
      <c r="U113" s="12"/>
      <c r="V113" s="12"/>
      <c r="W113" s="12"/>
      <c r="X113" s="12"/>
      <c r="Y113" s="12"/>
      <c r="Z113" s="12"/>
    </row>
    <row r="114" spans="1:26" ht="13.5" customHeight="1">
      <c r="A114" s="13"/>
      <c r="B114" s="12"/>
      <c r="C114" s="12"/>
      <c r="D114" s="12"/>
      <c r="E114" s="137"/>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3"/>
      <c r="B115" s="12"/>
      <c r="C115" s="12"/>
      <c r="D115" s="12"/>
      <c r="E115" s="823" t="str">
        <f ca="1">"Median "&amp;TEXT(E109,"0.0%")</f>
        <v>Median 34.3%</v>
      </c>
      <c r="F115" s="12"/>
      <c r="G115" s="12"/>
      <c r="H115" s="12"/>
      <c r="I115" s="12"/>
      <c r="J115" s="12"/>
      <c r="K115" s="12"/>
      <c r="L115" s="12"/>
      <c r="M115" s="12"/>
      <c r="N115" s="12"/>
      <c r="O115" s="12"/>
      <c r="P115" s="12"/>
      <c r="Q115" s="823" t="str">
        <f ca="1">E115</f>
        <v>Median 34.3%</v>
      </c>
      <c r="R115" s="12"/>
      <c r="S115" s="12"/>
      <c r="T115" s="12"/>
      <c r="U115" s="12"/>
      <c r="V115" s="12"/>
      <c r="W115" s="12"/>
      <c r="X115" s="12"/>
      <c r="Y115" s="12"/>
      <c r="Z115" s="12"/>
    </row>
    <row r="116" spans="1:26" ht="13.5" customHeight="1">
      <c r="A116" s="13"/>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3"/>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3"/>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3"/>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3" t="s">
        <v>1</v>
      </c>
      <c r="B120" s="12"/>
      <c r="C120" s="874" t="s">
        <v>50</v>
      </c>
      <c r="D120" s="858"/>
      <c r="E120" s="858"/>
      <c r="F120" s="858"/>
      <c r="G120" s="858"/>
      <c r="H120" s="858"/>
      <c r="I120" s="858"/>
      <c r="J120" s="858"/>
      <c r="K120" s="858"/>
      <c r="L120" s="858"/>
      <c r="M120" s="858"/>
      <c r="N120" s="858"/>
      <c r="O120" s="858"/>
      <c r="P120" s="858"/>
      <c r="Q120" s="854"/>
      <c r="R120" s="12"/>
      <c r="S120" s="12"/>
      <c r="T120" s="12"/>
      <c r="U120" s="12"/>
      <c r="V120" s="12"/>
      <c r="W120" s="12"/>
      <c r="X120" s="12"/>
      <c r="Y120" s="12"/>
      <c r="Z120" s="12"/>
    </row>
    <row r="121" spans="1:26" ht="13.5" customHeight="1">
      <c r="A121" s="13"/>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3"/>
      <c r="B122" s="12"/>
      <c r="C122" s="930" t="str">
        <f>C106</f>
        <v>Raw Data</v>
      </c>
      <c r="D122" s="883"/>
      <c r="E122" s="883"/>
      <c r="F122" s="40"/>
      <c r="G122" s="12"/>
      <c r="H122" s="12"/>
      <c r="I122" s="12"/>
      <c r="J122" s="12"/>
      <c r="K122" s="12"/>
      <c r="L122" s="12"/>
      <c r="M122" s="12"/>
      <c r="N122" s="12"/>
      <c r="O122" s="930" t="str">
        <f>O106</f>
        <v>Chart Data</v>
      </c>
      <c r="P122" s="883"/>
      <c r="Q122" s="883"/>
      <c r="R122" s="12"/>
      <c r="S122" s="12"/>
      <c r="T122" s="12"/>
      <c r="U122" s="12"/>
      <c r="V122" s="12"/>
      <c r="W122" s="12"/>
      <c r="X122" s="12"/>
      <c r="Y122" s="12"/>
      <c r="Z122" s="12"/>
    </row>
    <row r="123" spans="1:26" ht="13.5" customHeight="1">
      <c r="A123" s="13"/>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3"/>
      <c r="B124" s="12"/>
      <c r="C124" s="818" t="str">
        <f t="shared" ref="C124:C129" si="48">C108</f>
        <v>LOW</v>
      </c>
      <c r="D124" s="819">
        <f>Comparables!I28</f>
        <v>1.5541000000000001E-2</v>
      </c>
      <c r="E124" s="820"/>
      <c r="F124" s="12"/>
      <c r="G124" s="12"/>
      <c r="H124" s="12"/>
      <c r="I124" s="12"/>
      <c r="J124" s="12"/>
      <c r="K124" s="12"/>
      <c r="L124" s="12"/>
      <c r="M124" s="12"/>
      <c r="N124" s="12"/>
      <c r="O124" s="818" t="str">
        <f t="shared" ref="O124:P124" si="49">C124</f>
        <v>LOW</v>
      </c>
      <c r="P124" s="820">
        <f t="shared" si="49"/>
        <v>1.5541000000000001E-2</v>
      </c>
      <c r="Q124" s="820"/>
      <c r="R124" s="12"/>
      <c r="S124" s="12"/>
      <c r="T124" s="12"/>
      <c r="U124" s="12"/>
      <c r="V124" s="12"/>
      <c r="W124" s="12"/>
      <c r="X124" s="12"/>
      <c r="Y124" s="12"/>
      <c r="Z124" s="12"/>
    </row>
    <row r="125" spans="1:26" ht="13.5" customHeight="1">
      <c r="A125" s="13"/>
      <c r="B125" s="586">
        <v>1</v>
      </c>
      <c r="C125" s="675" t="str">
        <f t="shared" si="48"/>
        <v>AAPL</v>
      </c>
      <c r="D125" s="821">
        <f>Comparables!I30</f>
        <v>5.9209999999999992E-3</v>
      </c>
      <c r="E125" s="822">
        <f>MEDIAN(D125:D129)</f>
        <v>0</v>
      </c>
      <c r="F125" s="12"/>
      <c r="G125" s="12"/>
      <c r="H125" s="12"/>
      <c r="I125" s="12"/>
      <c r="J125" s="12"/>
      <c r="K125" s="12"/>
      <c r="L125" s="12"/>
      <c r="M125" s="12"/>
      <c r="N125" s="12"/>
      <c r="O125" s="675" t="str">
        <f t="shared" ref="O125:O129" si="50">INDEX($C$125:$C$129,MATCH(P125,$D$125:$D$129,0),1)</f>
        <v>MSFT</v>
      </c>
      <c r="P125" s="822">
        <f t="shared" ref="P125:P129" si="51">LARGE($D$125:$D$129,B125)</f>
        <v>7.4729999999999996E-3</v>
      </c>
      <c r="Q125" s="822">
        <f t="shared" ref="Q125:Q129" si="52">E125</f>
        <v>0</v>
      </c>
      <c r="R125" s="12"/>
      <c r="S125" s="12"/>
      <c r="T125" s="12"/>
      <c r="U125" s="12"/>
      <c r="V125" s="12"/>
      <c r="W125" s="12"/>
      <c r="X125" s="12"/>
      <c r="Y125" s="12"/>
      <c r="Z125" s="12"/>
    </row>
    <row r="126" spans="1:26" ht="13.5" customHeight="1">
      <c r="A126" s="13"/>
      <c r="B126" s="12">
        <f t="shared" ref="B126:B129" si="53">B125+1</f>
        <v>2</v>
      </c>
      <c r="C126" s="675" t="str">
        <f t="shared" si="48"/>
        <v>FB</v>
      </c>
      <c r="D126" s="821">
        <f>IF(ISNUMBER(Comparables!I31),Comparables!I31,0)</f>
        <v>0</v>
      </c>
      <c r="E126" s="822">
        <f t="shared" ref="E126:E129" si="54">E125</f>
        <v>0</v>
      </c>
      <c r="F126" s="12"/>
      <c r="G126" s="12"/>
      <c r="H126" s="12"/>
      <c r="I126" s="12"/>
      <c r="J126" s="12"/>
      <c r="K126" s="12"/>
      <c r="L126" s="12"/>
      <c r="M126" s="12"/>
      <c r="N126" s="12"/>
      <c r="O126" s="675" t="str">
        <f t="shared" si="50"/>
        <v>AAPL</v>
      </c>
      <c r="P126" s="822">
        <f t="shared" si="51"/>
        <v>5.9209999999999992E-3</v>
      </c>
      <c r="Q126" s="822">
        <f t="shared" si="52"/>
        <v>0</v>
      </c>
      <c r="R126" s="12"/>
      <c r="S126" s="12"/>
      <c r="T126" s="12"/>
      <c r="U126" s="12"/>
      <c r="V126" s="12"/>
      <c r="W126" s="12"/>
      <c r="X126" s="12"/>
      <c r="Y126" s="12"/>
      <c r="Z126" s="12"/>
    </row>
    <row r="127" spans="1:26" ht="13.5" customHeight="1">
      <c r="A127" s="13"/>
      <c r="B127" s="12">
        <f t="shared" si="53"/>
        <v>3</v>
      </c>
      <c r="C127" s="675" t="str">
        <f t="shared" si="48"/>
        <v>MSFT</v>
      </c>
      <c r="D127" s="821">
        <f>Comparables!I32</f>
        <v>7.4729999999999996E-3</v>
      </c>
      <c r="E127" s="822">
        <f t="shared" si="54"/>
        <v>0</v>
      </c>
      <c r="F127" s="12"/>
      <c r="G127" s="12"/>
      <c r="H127" s="12"/>
      <c r="I127" s="12"/>
      <c r="J127" s="12"/>
      <c r="K127" s="12"/>
      <c r="L127" s="12"/>
      <c r="M127" s="12"/>
      <c r="N127" s="12"/>
      <c r="O127" s="675" t="str">
        <f t="shared" si="50"/>
        <v>FB</v>
      </c>
      <c r="P127" s="822">
        <f t="shared" si="51"/>
        <v>0</v>
      </c>
      <c r="Q127" s="822">
        <f t="shared" si="52"/>
        <v>0</v>
      </c>
      <c r="R127" s="12"/>
      <c r="S127" s="12"/>
      <c r="T127" s="12"/>
      <c r="U127" s="12"/>
      <c r="V127" s="12"/>
      <c r="W127" s="12"/>
      <c r="X127" s="12"/>
      <c r="Y127" s="12"/>
      <c r="Z127" s="12"/>
    </row>
    <row r="128" spans="1:26" ht="13.5" customHeight="1">
      <c r="A128" s="13"/>
      <c r="B128" s="12">
        <f t="shared" si="53"/>
        <v>4</v>
      </c>
      <c r="C128" s="675" t="str">
        <f t="shared" si="48"/>
        <v>SNAP</v>
      </c>
      <c r="D128" s="821">
        <f>Comparables!I33</f>
        <v>0</v>
      </c>
      <c r="E128" s="822">
        <f t="shared" si="54"/>
        <v>0</v>
      </c>
      <c r="F128" s="12"/>
      <c r="G128" s="12"/>
      <c r="H128" s="12"/>
      <c r="I128" s="12"/>
      <c r="J128" s="12"/>
      <c r="K128" s="12"/>
      <c r="L128" s="12"/>
      <c r="M128" s="12"/>
      <c r="N128" s="12"/>
      <c r="O128" s="675" t="str">
        <f t="shared" si="50"/>
        <v>FB</v>
      </c>
      <c r="P128" s="822">
        <f t="shared" si="51"/>
        <v>0</v>
      </c>
      <c r="Q128" s="822">
        <f t="shared" si="52"/>
        <v>0</v>
      </c>
      <c r="R128" s="12"/>
      <c r="S128" s="12"/>
      <c r="T128" s="12"/>
      <c r="U128" s="12"/>
      <c r="V128" s="12"/>
      <c r="W128" s="12"/>
      <c r="X128" s="12"/>
      <c r="Y128" s="12"/>
      <c r="Z128" s="12"/>
    </row>
    <row r="129" spans="1:26" ht="13.5" customHeight="1">
      <c r="A129" s="13"/>
      <c r="B129" s="12">
        <f t="shared" si="53"/>
        <v>5</v>
      </c>
      <c r="C129" s="675" t="str">
        <f t="shared" si="48"/>
        <v>GOOGL</v>
      </c>
      <c r="D129" s="821">
        <f>Comparables!I34</f>
        <v>0</v>
      </c>
      <c r="E129" s="822">
        <f t="shared" si="54"/>
        <v>0</v>
      </c>
      <c r="F129" s="12"/>
      <c r="G129" s="12"/>
      <c r="H129" s="12"/>
      <c r="I129" s="12"/>
      <c r="J129" s="12"/>
      <c r="K129" s="12"/>
      <c r="L129" s="12"/>
      <c r="M129" s="12"/>
      <c r="N129" s="12"/>
      <c r="O129" s="675" t="str">
        <f t="shared" si="50"/>
        <v>FB</v>
      </c>
      <c r="P129" s="822">
        <f t="shared" si="51"/>
        <v>0</v>
      </c>
      <c r="Q129" s="822">
        <f t="shared" si="52"/>
        <v>0</v>
      </c>
      <c r="R129" s="12"/>
      <c r="S129" s="12"/>
      <c r="T129" s="12"/>
      <c r="U129" s="12"/>
      <c r="V129" s="12"/>
      <c r="W129" s="12"/>
      <c r="X129" s="12"/>
      <c r="Y129" s="12"/>
      <c r="Z129" s="12"/>
    </row>
    <row r="130" spans="1:26" ht="13.5" customHeight="1">
      <c r="A130" s="13"/>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3"/>
      <c r="B131" s="12"/>
      <c r="C131" s="12"/>
      <c r="D131" s="12"/>
      <c r="E131" s="823" t="str">
        <f>"Median "&amp;TEXT(E125,"0.0%")</f>
        <v>Median 0.0%</v>
      </c>
      <c r="F131" s="12"/>
      <c r="G131" s="12"/>
      <c r="H131" s="12"/>
      <c r="I131" s="12"/>
      <c r="J131" s="12"/>
      <c r="K131" s="12"/>
      <c r="L131" s="12"/>
      <c r="M131" s="12"/>
      <c r="N131" s="12"/>
      <c r="O131" s="12"/>
      <c r="P131" s="12"/>
      <c r="Q131" s="823" t="str">
        <f>E131</f>
        <v>Median 0.0%</v>
      </c>
      <c r="R131" s="12"/>
      <c r="S131" s="12"/>
      <c r="T131" s="12"/>
      <c r="U131" s="12"/>
      <c r="V131" s="12"/>
      <c r="W131" s="12"/>
      <c r="X131" s="12"/>
      <c r="Y131" s="12"/>
      <c r="Z131" s="12"/>
    </row>
    <row r="132" spans="1:26" ht="13.5" customHeight="1">
      <c r="A132" s="13"/>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3"/>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3"/>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3"/>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3" t="s">
        <v>1</v>
      </c>
      <c r="B136" s="12"/>
      <c r="C136" s="874" t="s">
        <v>957</v>
      </c>
      <c r="D136" s="858"/>
      <c r="E136" s="858"/>
      <c r="F136" s="858"/>
      <c r="G136" s="858"/>
      <c r="H136" s="858"/>
      <c r="I136" s="858"/>
      <c r="J136" s="858"/>
      <c r="K136" s="858"/>
      <c r="L136" s="858"/>
      <c r="M136" s="858"/>
      <c r="N136" s="858"/>
      <c r="O136" s="858"/>
      <c r="P136" s="858"/>
      <c r="Q136" s="854"/>
      <c r="R136" s="12"/>
      <c r="S136" s="12"/>
      <c r="T136" s="12"/>
      <c r="U136" s="12"/>
      <c r="V136" s="12"/>
      <c r="W136" s="12"/>
      <c r="X136" s="12"/>
      <c r="Y136" s="12"/>
      <c r="Z136" s="12"/>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930" t="str">
        <f>C122</f>
        <v>Raw Data</v>
      </c>
      <c r="D138" s="883"/>
      <c r="E138" s="883"/>
      <c r="F138" s="4"/>
      <c r="G138" s="4"/>
      <c r="H138" s="4"/>
      <c r="I138" s="4"/>
      <c r="J138" s="4"/>
      <c r="K138" s="4"/>
      <c r="L138" s="4"/>
      <c r="M138" s="4"/>
      <c r="N138" s="4"/>
      <c r="O138" s="930" t="str">
        <f>O122</f>
        <v>Chart Data</v>
      </c>
      <c r="P138" s="883"/>
      <c r="Q138" s="4"/>
      <c r="R138" s="4"/>
      <c r="S138" s="4"/>
      <c r="T138" s="4"/>
      <c r="U138" s="4"/>
      <c r="V138" s="4"/>
      <c r="W138" s="4"/>
      <c r="X138" s="4"/>
      <c r="Y138" s="4"/>
      <c r="Z138" s="4"/>
    </row>
    <row r="139" spans="1:26" ht="13.5" customHeight="1">
      <c r="A139" s="4"/>
      <c r="B139" s="4"/>
      <c r="D139" s="4"/>
      <c r="E139" s="4"/>
      <c r="F139" s="4"/>
      <c r="G139" s="4"/>
      <c r="H139" s="4"/>
      <c r="I139" s="4"/>
      <c r="J139" s="4"/>
      <c r="K139" s="4"/>
      <c r="L139" s="4"/>
      <c r="M139" s="4"/>
      <c r="N139" s="4"/>
      <c r="O139" s="12"/>
      <c r="P139" s="12"/>
      <c r="Q139" s="4"/>
      <c r="R139" s="4"/>
      <c r="S139" s="4"/>
      <c r="T139" s="4"/>
      <c r="U139" s="4"/>
      <c r="V139" s="4"/>
      <c r="W139" s="4"/>
      <c r="X139" s="4"/>
      <c r="Y139" s="4"/>
      <c r="Z139" s="4"/>
    </row>
    <row r="140" spans="1:26" ht="13.5" customHeight="1">
      <c r="A140" s="4"/>
      <c r="B140" s="4">
        <v>1</v>
      </c>
      <c r="C140" s="818" t="str">
        <f t="shared" ref="C140:C145" si="55">C124</f>
        <v>LOW</v>
      </c>
      <c r="D140" s="828">
        <v>0.2828</v>
      </c>
      <c r="E140" s="4"/>
      <c r="F140" s="4"/>
      <c r="G140" s="4"/>
      <c r="H140" s="4"/>
      <c r="I140" s="4"/>
      <c r="J140" s="4"/>
      <c r="K140" s="4"/>
      <c r="L140" s="4"/>
      <c r="M140" s="4"/>
      <c r="N140" s="4"/>
      <c r="O140" s="675" t="str">
        <f t="shared" ref="O140:O145" si="56">INDEX($C$140:$C$145,MATCH(P140,$D$140:$D$145,0),1)</f>
        <v>LOW</v>
      </c>
      <c r="P140" s="822">
        <f t="shared" ref="P140:P145" si="57">LARGE($D$140:$D$145,B140)</f>
        <v>0.2828</v>
      </c>
      <c r="Q140" s="4"/>
      <c r="R140" s="4"/>
      <c r="S140" s="4"/>
      <c r="T140" s="4"/>
      <c r="U140" s="4"/>
      <c r="V140" s="4"/>
      <c r="W140" s="4"/>
      <c r="X140" s="4"/>
      <c r="Y140" s="4"/>
      <c r="Z140" s="4"/>
    </row>
    <row r="141" spans="1:26" ht="13.5" customHeight="1">
      <c r="A141" s="4"/>
      <c r="B141" s="586">
        <f t="shared" ref="B141:B145" si="58">B140+1</f>
        <v>2</v>
      </c>
      <c r="C141" s="675" t="str">
        <f t="shared" si="55"/>
        <v>AAPL</v>
      </c>
      <c r="D141" s="828">
        <v>0.2175</v>
      </c>
      <c r="E141" s="822"/>
      <c r="F141" s="4"/>
      <c r="G141" s="4"/>
      <c r="H141" s="4"/>
      <c r="I141" s="4"/>
      <c r="J141" s="4"/>
      <c r="K141" s="4"/>
      <c r="L141" s="4"/>
      <c r="M141" s="4"/>
      <c r="N141" s="4"/>
      <c r="O141" s="675" t="str">
        <f t="shared" si="56"/>
        <v>AAPL</v>
      </c>
      <c r="P141" s="822">
        <f t="shared" si="57"/>
        <v>0.2175</v>
      </c>
      <c r="Q141" s="4"/>
      <c r="R141" s="4"/>
      <c r="S141" s="4"/>
      <c r="T141" s="4"/>
      <c r="U141" s="4"/>
      <c r="V141" s="4"/>
      <c r="W141" s="4"/>
      <c r="X141" s="4"/>
      <c r="Y141" s="4"/>
      <c r="Z141" s="4"/>
    </row>
    <row r="142" spans="1:26" ht="13.5" customHeight="1">
      <c r="A142" s="4"/>
      <c r="B142" s="586">
        <f t="shared" si="58"/>
        <v>3</v>
      </c>
      <c r="C142" s="675" t="str">
        <f t="shared" si="55"/>
        <v>FB</v>
      </c>
      <c r="D142" s="828">
        <v>0</v>
      </c>
      <c r="E142" s="822"/>
      <c r="F142" s="4"/>
      <c r="G142" s="4"/>
      <c r="H142" s="4"/>
      <c r="I142" s="4"/>
      <c r="J142" s="4"/>
      <c r="K142" s="4"/>
      <c r="L142" s="4"/>
      <c r="M142" s="4"/>
      <c r="N142" s="4"/>
      <c r="O142" s="675" t="str">
        <f t="shared" si="56"/>
        <v>FB</v>
      </c>
      <c r="P142" s="822">
        <f t="shared" si="57"/>
        <v>0</v>
      </c>
      <c r="Q142" s="4"/>
      <c r="R142" s="4"/>
      <c r="S142" s="4"/>
      <c r="T142" s="4"/>
      <c r="U142" s="4"/>
      <c r="V142" s="4"/>
      <c r="W142" s="4"/>
      <c r="X142" s="4"/>
      <c r="Y142" s="4"/>
      <c r="Z142" s="4"/>
    </row>
    <row r="143" spans="1:26" ht="13.5" customHeight="1">
      <c r="A143" s="4"/>
      <c r="B143" s="586">
        <f t="shared" si="58"/>
        <v>4</v>
      </c>
      <c r="C143" s="675" t="str">
        <f t="shared" si="55"/>
        <v>MSFT</v>
      </c>
      <c r="D143" s="828">
        <v>0</v>
      </c>
      <c r="E143" s="822"/>
      <c r="F143" s="4"/>
      <c r="G143" s="4"/>
      <c r="H143" s="4"/>
      <c r="I143" s="4"/>
      <c r="J143" s="4"/>
      <c r="K143" s="4"/>
      <c r="L143" s="4"/>
      <c r="M143" s="4"/>
      <c r="N143" s="4"/>
      <c r="O143" s="675" t="str">
        <f t="shared" si="56"/>
        <v>FB</v>
      </c>
      <c r="P143" s="822">
        <f t="shared" si="57"/>
        <v>0</v>
      </c>
      <c r="Q143" s="4"/>
      <c r="R143" s="4"/>
      <c r="S143" s="4"/>
      <c r="T143" s="4"/>
      <c r="U143" s="4"/>
      <c r="V143" s="4"/>
      <c r="W143" s="4"/>
      <c r="X143" s="4"/>
      <c r="Y143" s="4"/>
      <c r="Z143" s="4"/>
    </row>
    <row r="144" spans="1:26" ht="13.5" customHeight="1">
      <c r="A144" s="4"/>
      <c r="B144" s="586">
        <f t="shared" si="58"/>
        <v>5</v>
      </c>
      <c r="C144" s="675" t="str">
        <f t="shared" si="55"/>
        <v>SNAP</v>
      </c>
      <c r="D144" s="828">
        <v>0</v>
      </c>
      <c r="E144" s="822"/>
      <c r="F144" s="4"/>
      <c r="G144" s="4"/>
      <c r="H144" s="4"/>
      <c r="I144" s="4"/>
      <c r="J144" s="4"/>
      <c r="K144" s="4"/>
      <c r="L144" s="4"/>
      <c r="M144" s="4"/>
      <c r="N144" s="4"/>
      <c r="O144" s="675" t="str">
        <f t="shared" si="56"/>
        <v>FB</v>
      </c>
      <c r="P144" s="822">
        <f t="shared" si="57"/>
        <v>0</v>
      </c>
      <c r="Q144" s="4"/>
      <c r="R144" s="4"/>
      <c r="S144" s="4"/>
      <c r="T144" s="4"/>
      <c r="U144" s="4"/>
      <c r="V144" s="4"/>
      <c r="W144" s="4"/>
      <c r="X144" s="4"/>
      <c r="Y144" s="4"/>
      <c r="Z144" s="4"/>
    </row>
    <row r="145" spans="1:26" ht="13.5" customHeight="1">
      <c r="A145" s="4"/>
      <c r="B145" s="586">
        <f t="shared" si="58"/>
        <v>6</v>
      </c>
      <c r="C145" s="675" t="str">
        <f t="shared" si="55"/>
        <v>GOOGL</v>
      </c>
      <c r="D145" s="828">
        <v>0</v>
      </c>
      <c r="E145" s="822"/>
      <c r="F145" s="4"/>
      <c r="G145" s="4"/>
      <c r="H145" s="4"/>
      <c r="I145" s="4"/>
      <c r="J145" s="4"/>
      <c r="K145" s="4"/>
      <c r="L145" s="4"/>
      <c r="M145" s="4"/>
      <c r="N145" s="4"/>
      <c r="O145" s="675" t="str">
        <f t="shared" si="56"/>
        <v>FB</v>
      </c>
      <c r="P145" s="822">
        <f t="shared" si="57"/>
        <v>0</v>
      </c>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12"/>
      <c r="P146" s="12"/>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874" t="s">
        <v>958</v>
      </c>
      <c r="D152" s="858"/>
      <c r="E152" s="858"/>
      <c r="F152" s="858"/>
      <c r="G152" s="858"/>
      <c r="H152" s="858"/>
      <c r="I152" s="858"/>
      <c r="J152" s="858"/>
      <c r="K152" s="858"/>
      <c r="L152" s="858"/>
      <c r="M152" s="858"/>
      <c r="N152" s="858"/>
      <c r="O152" s="858"/>
      <c r="P152" s="858"/>
      <c r="Q152" s="85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930" t="str">
        <f>C138</f>
        <v>Raw Data</v>
      </c>
      <c r="D154" s="883"/>
      <c r="E154" s="883"/>
      <c r="F154" s="4"/>
      <c r="G154" s="4"/>
      <c r="H154" s="4"/>
      <c r="I154" s="4"/>
      <c r="J154" s="4"/>
      <c r="K154" s="4"/>
      <c r="L154" s="4"/>
      <c r="M154" s="4"/>
      <c r="N154" s="4"/>
      <c r="O154" s="930" t="str">
        <f>O138</f>
        <v>Chart Data</v>
      </c>
      <c r="P154" s="883"/>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12"/>
      <c r="P155" s="12"/>
      <c r="Q155" s="4"/>
      <c r="R155" s="4"/>
      <c r="S155" s="4"/>
      <c r="T155" s="4"/>
      <c r="U155" s="4"/>
      <c r="V155" s="4"/>
      <c r="W155" s="4"/>
      <c r="X155" s="4"/>
      <c r="Y155" s="4"/>
      <c r="Z155" s="4"/>
    </row>
    <row r="156" spans="1:26" ht="13.5" customHeight="1">
      <c r="A156" s="4"/>
      <c r="B156" s="4">
        <v>1</v>
      </c>
      <c r="C156" s="818" t="str">
        <f t="shared" ref="C156:C161" si="59">C140</f>
        <v>LOW</v>
      </c>
      <c r="D156" s="828">
        <v>0.24399999999999999</v>
      </c>
      <c r="E156" s="4"/>
      <c r="F156" s="4"/>
      <c r="G156" s="4"/>
      <c r="H156" s="4"/>
      <c r="I156" s="4"/>
      <c r="J156" s="4"/>
      <c r="K156" s="4"/>
      <c r="L156" s="4"/>
      <c r="M156" s="4"/>
      <c r="N156" s="4"/>
      <c r="O156" s="675" t="str">
        <f t="shared" ref="O156:O161" si="60">INDEX($C$156:$C$161,MATCH(P156,$D$156:$D$161,0),1)</f>
        <v>LOW</v>
      </c>
      <c r="P156" s="822">
        <f t="shared" ref="P156:P161" si="61">LARGE($D$156:$D$161,B156)</f>
        <v>0.24399999999999999</v>
      </c>
      <c r="Q156" s="4"/>
      <c r="R156" s="4"/>
      <c r="S156" s="4"/>
      <c r="T156" s="4"/>
      <c r="U156" s="4"/>
      <c r="V156" s="4"/>
      <c r="W156" s="4"/>
      <c r="X156" s="4"/>
      <c r="Y156" s="4"/>
      <c r="Z156" s="4"/>
    </row>
    <row r="157" spans="1:26" ht="13.5" customHeight="1">
      <c r="A157" s="4"/>
      <c r="B157" s="586">
        <f t="shared" ref="B157:B161" si="62">B156+1</f>
        <v>2</v>
      </c>
      <c r="C157" s="675" t="str">
        <f t="shared" si="59"/>
        <v>AAPL</v>
      </c>
      <c r="D157" s="828">
        <v>0.12959999999999999</v>
      </c>
      <c r="E157" s="4"/>
      <c r="F157" s="4"/>
      <c r="G157" s="4"/>
      <c r="H157" s="4"/>
      <c r="I157" s="4"/>
      <c r="J157" s="4"/>
      <c r="K157" s="4"/>
      <c r="L157" s="4"/>
      <c r="M157" s="4"/>
      <c r="N157" s="4"/>
      <c r="O157" s="675" t="str">
        <f t="shared" si="60"/>
        <v>AAPL</v>
      </c>
      <c r="P157" s="822">
        <f t="shared" si="61"/>
        <v>0.12959999999999999</v>
      </c>
      <c r="Q157" s="4"/>
      <c r="R157" s="4"/>
      <c r="S157" s="4"/>
      <c r="T157" s="4"/>
      <c r="U157" s="4"/>
      <c r="V157" s="4"/>
      <c r="W157" s="4"/>
      <c r="X157" s="4"/>
      <c r="Y157" s="4"/>
      <c r="Z157" s="4"/>
    </row>
    <row r="158" spans="1:26" ht="13.5" customHeight="1">
      <c r="A158" s="4"/>
      <c r="B158" s="586">
        <f t="shared" si="62"/>
        <v>3</v>
      </c>
      <c r="C158" s="675" t="str">
        <f t="shared" si="59"/>
        <v>FB</v>
      </c>
      <c r="D158" s="828">
        <v>0</v>
      </c>
      <c r="E158" s="4"/>
      <c r="F158" s="4"/>
      <c r="G158" s="4"/>
      <c r="H158" s="4"/>
      <c r="I158" s="4"/>
      <c r="J158" s="4"/>
      <c r="K158" s="4"/>
      <c r="L158" s="4"/>
      <c r="M158" s="4"/>
      <c r="N158" s="4"/>
      <c r="O158" s="675" t="str">
        <f t="shared" si="60"/>
        <v>FB</v>
      </c>
      <c r="P158" s="822">
        <f t="shared" si="61"/>
        <v>0</v>
      </c>
      <c r="Q158" s="4"/>
      <c r="R158" s="4"/>
      <c r="S158" s="4"/>
      <c r="T158" s="4"/>
      <c r="U158" s="4"/>
      <c r="V158" s="4"/>
      <c r="W158" s="4"/>
      <c r="X158" s="4"/>
      <c r="Y158" s="4"/>
      <c r="Z158" s="4"/>
    </row>
    <row r="159" spans="1:26" ht="13.5" customHeight="1">
      <c r="A159" s="4"/>
      <c r="B159" s="586">
        <f t="shared" si="62"/>
        <v>4</v>
      </c>
      <c r="C159" s="675" t="str">
        <f t="shared" si="59"/>
        <v>MSFT</v>
      </c>
      <c r="D159" s="828">
        <v>0</v>
      </c>
      <c r="E159" s="4"/>
      <c r="F159" s="4"/>
      <c r="G159" s="4"/>
      <c r="H159" s="4"/>
      <c r="I159" s="4"/>
      <c r="J159" s="4"/>
      <c r="K159" s="4"/>
      <c r="L159" s="4"/>
      <c r="M159" s="4"/>
      <c r="N159" s="4"/>
      <c r="O159" s="675" t="str">
        <f t="shared" si="60"/>
        <v>FB</v>
      </c>
      <c r="P159" s="822">
        <f t="shared" si="61"/>
        <v>0</v>
      </c>
      <c r="Q159" s="4"/>
      <c r="R159" s="4"/>
      <c r="S159" s="4"/>
      <c r="T159" s="4"/>
      <c r="U159" s="4"/>
      <c r="V159" s="4"/>
      <c r="W159" s="4"/>
      <c r="X159" s="4"/>
      <c r="Y159" s="4"/>
      <c r="Z159" s="4"/>
    </row>
    <row r="160" spans="1:26" ht="13.5" customHeight="1">
      <c r="A160" s="4"/>
      <c r="B160" s="586">
        <f t="shared" si="62"/>
        <v>5</v>
      </c>
      <c r="C160" s="675" t="str">
        <f t="shared" si="59"/>
        <v>SNAP</v>
      </c>
      <c r="D160" s="828">
        <v>0</v>
      </c>
      <c r="E160" s="4"/>
      <c r="F160" s="4"/>
      <c r="G160" s="4"/>
      <c r="H160" s="4"/>
      <c r="I160" s="4"/>
      <c r="J160" s="4"/>
      <c r="K160" s="4"/>
      <c r="L160" s="4"/>
      <c r="M160" s="4"/>
      <c r="N160" s="4"/>
      <c r="O160" s="675" t="str">
        <f t="shared" si="60"/>
        <v>FB</v>
      </c>
      <c r="P160" s="822">
        <f t="shared" si="61"/>
        <v>0</v>
      </c>
      <c r="Q160" s="4"/>
      <c r="R160" s="4"/>
      <c r="S160" s="4"/>
      <c r="T160" s="4"/>
      <c r="U160" s="4"/>
      <c r="V160" s="4"/>
      <c r="W160" s="4"/>
      <c r="X160" s="4"/>
      <c r="Y160" s="4"/>
      <c r="Z160" s="4"/>
    </row>
    <row r="161" spans="1:26" ht="13.5" customHeight="1">
      <c r="A161" s="4"/>
      <c r="B161" s="586">
        <f t="shared" si="62"/>
        <v>6</v>
      </c>
      <c r="C161" s="675" t="str">
        <f t="shared" si="59"/>
        <v>GOOGL</v>
      </c>
      <c r="D161" s="828">
        <v>0</v>
      </c>
      <c r="E161" s="4"/>
      <c r="F161" s="4"/>
      <c r="G161" s="4"/>
      <c r="H161" s="4"/>
      <c r="I161" s="4"/>
      <c r="J161" s="4"/>
      <c r="K161" s="4"/>
      <c r="L161" s="4"/>
      <c r="M161" s="4"/>
      <c r="N161" s="4"/>
      <c r="O161" s="675" t="str">
        <f t="shared" si="60"/>
        <v>FB</v>
      </c>
      <c r="P161" s="822">
        <f t="shared" si="61"/>
        <v>0</v>
      </c>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7"/>
      <c r="B1" s="7"/>
      <c r="C1" s="774" t="str">
        <f ca="1">Company_Name&amp;" - "&amp;MID(CELL("filename",A1),FIND("]",CELL("filename",A1))+1,255)&amp;": "&amp;Case_Scenario&amp;" Case"</f>
        <v>NETFLIX INC - Pre-Earnings: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5"/>
      <c r="B3" s="12"/>
      <c r="C3" s="12"/>
      <c r="D3" s="12"/>
      <c r="E3" s="12"/>
      <c r="F3" s="12"/>
      <c r="G3" s="12"/>
      <c r="H3" s="12"/>
      <c r="I3" s="12"/>
      <c r="J3" s="12"/>
      <c r="K3" s="12"/>
      <c r="L3" s="12"/>
      <c r="M3" s="12"/>
      <c r="N3" s="12"/>
      <c r="O3" s="12"/>
      <c r="P3" s="12"/>
      <c r="Q3" s="4"/>
      <c r="R3" s="4"/>
      <c r="S3" s="4"/>
      <c r="T3" s="4"/>
      <c r="U3" s="4"/>
      <c r="V3" s="4"/>
      <c r="W3" s="4"/>
      <c r="X3" s="4"/>
      <c r="Y3" s="4"/>
      <c r="Z3" s="4"/>
    </row>
    <row r="4" spans="1:26" ht="14.25" customHeight="1">
      <c r="A4" s="12"/>
      <c r="B4" s="12"/>
      <c r="C4" s="12" t="s">
        <v>959</v>
      </c>
      <c r="D4" s="12"/>
      <c r="E4" s="12"/>
      <c r="F4" s="12"/>
      <c r="G4" s="12"/>
      <c r="H4" s="46" t="s">
        <v>960</v>
      </c>
      <c r="I4" s="12"/>
      <c r="J4" s="12"/>
      <c r="K4" s="12"/>
      <c r="L4" s="12"/>
      <c r="M4" s="12"/>
      <c r="N4" s="12"/>
      <c r="O4" s="12"/>
      <c r="P4" s="12"/>
      <c r="Q4" s="4"/>
      <c r="R4" s="4"/>
      <c r="S4" s="4"/>
      <c r="T4" s="4"/>
      <c r="U4" s="4"/>
      <c r="V4" s="4"/>
      <c r="W4" s="4"/>
      <c r="X4" s="4"/>
      <c r="Y4" s="4"/>
      <c r="Z4" s="4"/>
    </row>
    <row r="5" spans="1:26" ht="14.25" customHeight="1">
      <c r="A5" s="12"/>
      <c r="B5" s="12"/>
      <c r="C5" s="12" t="s">
        <v>961</v>
      </c>
      <c r="D5" s="12"/>
      <c r="E5" s="12"/>
      <c r="F5" s="12"/>
      <c r="G5" s="12"/>
      <c r="H5" s="829">
        <f>YEAR(Next_FYE)</f>
        <v>2026</v>
      </c>
      <c r="I5" s="12"/>
      <c r="J5" s="12"/>
      <c r="K5" s="12"/>
      <c r="L5" s="12"/>
      <c r="M5" s="12"/>
      <c r="N5" s="12"/>
      <c r="O5" s="12"/>
      <c r="P5" s="12"/>
      <c r="Q5" s="4"/>
      <c r="R5" s="4"/>
      <c r="S5" s="4"/>
      <c r="T5" s="4"/>
      <c r="U5" s="4"/>
      <c r="V5" s="4"/>
      <c r="W5" s="4"/>
      <c r="X5" s="4"/>
      <c r="Y5" s="4"/>
      <c r="Z5" s="4"/>
    </row>
    <row r="6" spans="1:26" ht="14.25" customHeight="1">
      <c r="A6" s="12"/>
      <c r="B6" s="12"/>
      <c r="C6" s="12" t="s">
        <v>962</v>
      </c>
      <c r="D6" s="12"/>
      <c r="E6" s="12"/>
      <c r="F6" s="12"/>
      <c r="G6" s="12"/>
      <c r="H6" s="830" t="str">
        <f>H4&amp;RIGHT(H5,2)&amp;"e"</f>
        <v>4Q26e</v>
      </c>
      <c r="I6" s="12"/>
      <c r="J6" s="12"/>
      <c r="K6" s="12"/>
      <c r="L6" s="12"/>
      <c r="M6" s="12"/>
      <c r="N6" s="12"/>
      <c r="O6" s="12"/>
      <c r="P6" s="12"/>
      <c r="Q6" s="4"/>
      <c r="R6" s="4"/>
      <c r="S6" s="4"/>
      <c r="T6" s="4"/>
      <c r="U6" s="4"/>
      <c r="V6" s="4"/>
      <c r="W6" s="4"/>
      <c r="X6" s="4"/>
      <c r="Y6" s="4"/>
      <c r="Z6" s="4"/>
    </row>
    <row r="7" spans="1:26" ht="14.25" customHeight="1">
      <c r="A7" s="12"/>
      <c r="B7" s="12"/>
      <c r="C7" s="12" t="s">
        <v>963</v>
      </c>
      <c r="D7" s="12"/>
      <c r="E7" s="12"/>
      <c r="F7" s="12"/>
      <c r="G7" s="12"/>
      <c r="H7" s="829">
        <f>YEAR(Last_FYE)</f>
        <v>2025</v>
      </c>
      <c r="I7" s="12"/>
      <c r="J7" s="12"/>
      <c r="K7" s="12"/>
      <c r="L7" s="12"/>
      <c r="M7" s="12"/>
      <c r="N7" s="12"/>
      <c r="O7" s="12"/>
      <c r="P7" s="12"/>
      <c r="Q7" s="4"/>
      <c r="R7" s="4"/>
      <c r="S7" s="4"/>
      <c r="T7" s="4"/>
      <c r="U7" s="4"/>
      <c r="V7" s="4"/>
      <c r="W7" s="4"/>
      <c r="X7" s="4"/>
      <c r="Y7" s="4"/>
      <c r="Z7" s="4"/>
    </row>
    <row r="8" spans="1:26" ht="14.25" customHeight="1">
      <c r="A8" s="12"/>
      <c r="B8" s="12"/>
      <c r="C8" s="12" t="s">
        <v>964</v>
      </c>
      <c r="D8" s="12"/>
      <c r="E8" s="12"/>
      <c r="F8" s="12"/>
      <c r="G8" s="12"/>
      <c r="H8" s="34" t="s">
        <v>6</v>
      </c>
      <c r="I8" s="12"/>
      <c r="J8" s="12"/>
      <c r="K8" s="12"/>
      <c r="L8" s="12"/>
      <c r="M8" s="12"/>
      <c r="N8" s="12"/>
      <c r="O8" s="12"/>
      <c r="P8" s="12"/>
      <c r="Q8" s="4"/>
      <c r="R8" s="4"/>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4"/>
      <c r="R9" s="4"/>
      <c r="S9" s="4"/>
      <c r="T9" s="4"/>
      <c r="U9" s="4"/>
      <c r="V9" s="4"/>
      <c r="W9" s="4"/>
      <c r="X9" s="4"/>
      <c r="Y9" s="4"/>
      <c r="Z9" s="4"/>
    </row>
    <row r="10" spans="1:26" ht="14.25" customHeight="1">
      <c r="A10" s="12"/>
      <c r="B10" s="211" t="s">
        <v>1</v>
      </c>
      <c r="C10" s="81" t="str">
        <f>Ticker&amp;" "&amp;H4&amp;RIGHT(H5,2)&amp;" Operating Expectations"</f>
        <v>NFLX 4Q26 Operating Expectations</v>
      </c>
      <c r="D10" s="81"/>
      <c r="E10" s="81"/>
      <c r="F10" s="81"/>
      <c r="G10" s="81"/>
      <c r="H10" s="82" t="s">
        <v>965</v>
      </c>
      <c r="I10" s="82" t="s">
        <v>966</v>
      </c>
      <c r="J10" s="82" t="str">
        <f>H4&amp;RIGHT(H7,2)&amp;"a"</f>
        <v>4Q25a</v>
      </c>
      <c r="K10" s="82" t="str">
        <f>IF(H4="1Q",Last_FQR&amp;RIGHT(H7,2)&amp;"a",Last_FQR&amp;RIGHT(H5,2)&amp;"a")</f>
        <v>2Q26a</v>
      </c>
      <c r="L10" s="831" t="str">
        <f t="shared" ref="L10:N10" si="0">"v. "&amp;I10</f>
        <v>v. Consensus</v>
      </c>
      <c r="M10" s="82" t="str">
        <f t="shared" si="0"/>
        <v>v. 4Q25a</v>
      </c>
      <c r="N10" s="82" t="str">
        <f t="shared" si="0"/>
        <v>v. 2Q26a</v>
      </c>
      <c r="O10" s="149"/>
      <c r="P10" s="149"/>
      <c r="Q10" s="4"/>
      <c r="R10" s="4"/>
      <c r="S10" s="4"/>
      <c r="T10" s="4"/>
      <c r="U10" s="4"/>
      <c r="V10" s="4"/>
      <c r="W10" s="4"/>
      <c r="X10" s="4"/>
      <c r="Y10" s="4"/>
      <c r="Z10" s="4"/>
    </row>
    <row r="11" spans="1:26" ht="4.5" customHeight="1">
      <c r="A11" s="12"/>
      <c r="B11" s="211"/>
      <c r="C11" s="40"/>
      <c r="D11" s="40"/>
      <c r="E11" s="40"/>
      <c r="F11" s="40"/>
      <c r="G11" s="40"/>
      <c r="H11" s="149"/>
      <c r="I11" s="149"/>
      <c r="J11" s="149"/>
      <c r="K11" s="149"/>
      <c r="L11" s="149"/>
      <c r="M11" s="149"/>
      <c r="N11" s="149"/>
      <c r="O11" s="149"/>
      <c r="P11" s="149"/>
      <c r="Q11" s="4"/>
      <c r="R11" s="4"/>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3">
        <v>19670.3</v>
      </c>
      <c r="J12" s="832">
        <f t="array" ref="J12">INDEX(Data,MATCH($C12,Line_Items,0),MATCH(LEFT(J$10,4),Fiscal_Periods,0))</f>
        <v>12050.762000000001</v>
      </c>
      <c r="K12" s="832">
        <f t="array" ref="K12">INDEX(Data,MATCH($C12,Line_Items,0),MATCH(LEFT(K$10,4),Fiscal_Periods,0))</f>
        <v>27570</v>
      </c>
      <c r="L12" s="834">
        <f t="shared" ref="L12:N12" si="1">IFERROR($H12/I12-1,"N/A")</f>
        <v>0.10685144608877351</v>
      </c>
      <c r="M12" s="540">
        <f t="shared" si="1"/>
        <v>0.80669902865893439</v>
      </c>
      <c r="N12" s="540">
        <f t="shared" si="1"/>
        <v>-0.21029742473703306</v>
      </c>
      <c r="O12" s="12"/>
      <c r="P12" s="12"/>
      <c r="Q12" s="4"/>
      <c r="R12" s="4"/>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6">
        <v>3968.1</v>
      </c>
      <c r="J13" s="835">
        <f t="array" ref="J13">INDEX(Data,MATCH($C13,Line_Items,0),MATCH(LEFT(J$10,4),Fiscal_Periods,0))</f>
        <v>5528.1410000000005</v>
      </c>
      <c r="K13" s="835">
        <f t="array" ref="K13">INDEX(Data,MATCH($C13,Line_Items,0),MATCH(LEFT(K$10,4),Fiscal_Periods,0))</f>
        <v>9312</v>
      </c>
      <c r="L13" s="834">
        <f t="shared" ref="L13:N13" si="2">IFERROR($H13/I13-1,"N/A")</f>
        <v>-0.28671832867115254</v>
      </c>
      <c r="M13" s="540">
        <f t="shared" si="2"/>
        <v>-0.48800636597366109</v>
      </c>
      <c r="N13" s="540">
        <f t="shared" si="2"/>
        <v>-0.69605100945017184</v>
      </c>
      <c r="O13" s="12"/>
      <c r="P13" s="12"/>
      <c r="Q13" s="4"/>
      <c r="R13" s="4"/>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8">
        <v>0.20200000000000001</v>
      </c>
      <c r="J14" s="837">
        <f t="array" ref="J14">INDEX(Data,MATCH($C14,Line_Items,0),MATCH(LEFT(J$10,4),Fiscal_Periods,0))</f>
        <v>0.4587378789822586</v>
      </c>
      <c r="K14" s="837">
        <f t="array" ref="K14">INDEX(Data,MATCH($C14,Line_Items,0),MATCH(LEFT(K$10,4),Fiscal_Periods,0))</f>
        <v>0.33775843307943415</v>
      </c>
      <c r="L14" s="839">
        <f t="shared" ref="L14:N14" si="3">$H14-I14</f>
        <v>-7.2000000000000008E-2</v>
      </c>
      <c r="M14" s="840">
        <f t="shared" si="3"/>
        <v>-0.32873787898225859</v>
      </c>
      <c r="N14" s="840">
        <f t="shared" si="3"/>
        <v>-0.20775843307943415</v>
      </c>
      <c r="O14" s="12"/>
      <c r="P14" s="12"/>
      <c r="Q14" s="4"/>
      <c r="R14" s="4"/>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6">
        <v>2224.4</v>
      </c>
      <c r="J15" s="835">
        <f t="array" ref="J15">INDEX(Data,MATCH($C15,Line_Items,0),MATCH(LEFT(J$10,4),Fiscal_Periods,0))</f>
        <v>3042.6460000000006</v>
      </c>
      <c r="K15" s="835">
        <f t="array" ref="K15">INDEX(Data,MATCH($C15,Line_Items,0),MATCH(LEFT(K$10,4),Fiscal_Periods,0))</f>
        <v>4619</v>
      </c>
      <c r="L15" s="834" t="str">
        <f t="shared" ref="L15:N15" ca="1" si="4">IFERROR($H15/I15-1,"N/A")</f>
        <v>N/A</v>
      </c>
      <c r="M15" s="540" t="str">
        <f t="shared" ca="1" si="4"/>
        <v>N/A</v>
      </c>
      <c r="N15" s="540" t="str">
        <f t="shared" ca="1" si="4"/>
        <v>N/A</v>
      </c>
      <c r="O15" s="12"/>
      <c r="P15" s="12"/>
      <c r="Q15" s="4"/>
      <c r="R15" s="4"/>
      <c r="S15" s="4"/>
      <c r="T15" s="4"/>
      <c r="U15" s="4"/>
      <c r="V15" s="4"/>
      <c r="W15" s="4"/>
      <c r="X15" s="4"/>
      <c r="Y15" s="4"/>
      <c r="Z15" s="4"/>
    </row>
    <row r="16" spans="1:26" ht="14.25" customHeight="1">
      <c r="A16" s="12"/>
      <c r="B16" s="12"/>
      <c r="C16" s="89" t="str">
        <f>'Segment Analysis'!C146</f>
        <v>EBITDA Margin</v>
      </c>
      <c r="D16" s="12"/>
      <c r="E16" s="12"/>
      <c r="F16" s="12"/>
      <c r="G16" s="12"/>
      <c r="H16" s="841" t="str">
        <f ca="1">H15/$H$12</f>
        <v/>
      </c>
      <c r="I16" s="838">
        <v>0.113</v>
      </c>
      <c r="J16" s="841">
        <f t="shared" ref="J16:K16" si="5">J15/$H$12</f>
        <v>0.13974977149654838</v>
      </c>
      <c r="K16" s="841">
        <f t="shared" si="5"/>
        <v>0.21215224989780501</v>
      </c>
      <c r="L16" s="839" t="str">
        <f t="shared" ref="L16:N16" ca="1" si="6">$H16-I16</f>
        <v/>
      </c>
      <c r="M16" s="840" t="str">
        <f t="shared" ca="1" si="6"/>
        <v>#REF!</v>
      </c>
      <c r="N16" s="840" t="str">
        <f t="shared" ca="1" si="6"/>
        <v>#REF!</v>
      </c>
      <c r="O16" s="12"/>
      <c r="P16" s="12"/>
      <c r="Q16" s="4"/>
      <c r="R16" s="4"/>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6">
        <v>1952.8</v>
      </c>
      <c r="J17" s="835">
        <f t="array" ref="J17">INDEX(Data,MATCH($C17,Line_Items,0),MATCH(LEFT(J$10,4),Fiscal_Periods,0))</f>
        <v>2956.663</v>
      </c>
      <c r="K17" s="835">
        <f t="array" ref="K17">INDEX(Data,MATCH($C17,Line_Items,0),MATCH(LEFT(K$10,4),Fiscal_Periods,0))</f>
        <v>4210</v>
      </c>
      <c r="L17" s="834">
        <f t="shared" ref="L17:N17" si="7">IFERROR($H17/I17-1,"N/A")</f>
        <v>-2.1730215587873825</v>
      </c>
      <c r="M17" s="540">
        <f t="shared" si="7"/>
        <v>-1.7747506225768714</v>
      </c>
      <c r="N17" s="540">
        <f t="shared" si="7"/>
        <v>-1.5441036817102138</v>
      </c>
      <c r="O17" s="12"/>
      <c r="P17" s="12"/>
      <c r="Q17" s="4"/>
      <c r="R17" s="4"/>
      <c r="S17" s="4"/>
      <c r="T17" s="4"/>
      <c r="U17" s="4"/>
      <c r="V17" s="4"/>
      <c r="W17" s="4"/>
      <c r="X17" s="4"/>
      <c r="Y17" s="4"/>
      <c r="Z17" s="4"/>
    </row>
    <row r="18" spans="1:26" ht="14.25" customHeight="1">
      <c r="A18" s="12"/>
      <c r="B18" s="12"/>
      <c r="C18" s="89" t="str">
        <f>'Segment Analysis'!C154</f>
        <v>EBIT Margin</v>
      </c>
      <c r="D18" s="12"/>
      <c r="E18" s="12"/>
      <c r="F18" s="12"/>
      <c r="G18" s="12"/>
      <c r="H18" s="841">
        <f>H17/$H$12</f>
        <v>-0.10521155515545128</v>
      </c>
      <c r="I18" s="838">
        <v>9.9000000000000005E-2</v>
      </c>
      <c r="J18" s="841">
        <f t="shared" ref="J18:K18" si="8">J17/$H$12</f>
        <v>0.13580054289664295</v>
      </c>
      <c r="K18" s="841">
        <f t="shared" si="8"/>
        <v>0.19336674000211282</v>
      </c>
      <c r="L18" s="839">
        <f t="shared" ref="L18:N18" si="9">$H18-I18</f>
        <v>-0.20421155515545128</v>
      </c>
      <c r="M18" s="840">
        <f t="shared" si="9"/>
        <v>-0.24101209805209423</v>
      </c>
      <c r="N18" s="840">
        <f t="shared" si="9"/>
        <v>-0.29857829515756407</v>
      </c>
      <c r="O18" s="12"/>
      <c r="P18" s="12"/>
      <c r="Q18" s="4"/>
      <c r="R18" s="4"/>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6">
        <v>1379.1</v>
      </c>
      <c r="J19" s="835">
        <f t="array" ref="J19">INDEX(Data,MATCH($C19,Line_Items,0),MATCH(LEFT(J$10,4),Fiscal_Periods,0))</f>
        <v>2418.5210000000006</v>
      </c>
      <c r="K19" s="835">
        <f t="array" ref="K19">INDEX(Data,MATCH($C19,Line_Items,0),MATCH(LEFT(K$10,4),Fiscal_Periods,0))</f>
        <v>3018</v>
      </c>
      <c r="L19" s="834" t="str">
        <f t="shared" ref="L19:N19" ca="1" si="10">IFERROR($H19/I19-1,"N/A")</f>
        <v>N/A</v>
      </c>
      <c r="M19" s="540" t="str">
        <f t="shared" ca="1" si="10"/>
        <v>N/A</v>
      </c>
      <c r="N19" s="540" t="str">
        <f t="shared" ca="1" si="10"/>
        <v>N/A</v>
      </c>
      <c r="O19" s="12"/>
      <c r="P19" s="12"/>
      <c r="Q19" s="4"/>
      <c r="R19" s="4"/>
      <c r="S19" s="4"/>
      <c r="T19" s="4"/>
      <c r="U19" s="4"/>
      <c r="V19" s="4"/>
      <c r="W19" s="4"/>
      <c r="X19" s="4"/>
      <c r="Y19" s="4"/>
      <c r="Z19" s="4"/>
    </row>
    <row r="20" spans="1:26" ht="14.25" customHeight="1">
      <c r="A20" s="12"/>
      <c r="B20" s="12"/>
      <c r="C20" s="89" t="s">
        <v>494</v>
      </c>
      <c r="D20" s="12"/>
      <c r="E20" s="12"/>
      <c r="F20" s="12"/>
      <c r="G20" s="12"/>
      <c r="H20" s="837" t="str">
        <f ca="1">H19/H12</f>
        <v/>
      </c>
      <c r="I20" s="838">
        <v>7.0000000000000007E-2</v>
      </c>
      <c r="J20" s="837">
        <f t="shared" ref="J20:K20" si="11">J19/J12</f>
        <v>0.20069444571222969</v>
      </c>
      <c r="K20" s="837">
        <f t="shared" si="11"/>
        <v>0.10946681175190424</v>
      </c>
      <c r="L20" s="839" t="str">
        <f t="shared" ref="L20:N20" ca="1" si="12">$H20-I20</f>
        <v/>
      </c>
      <c r="M20" s="840" t="str">
        <f t="shared" ca="1" si="12"/>
        <v>#REF!</v>
      </c>
      <c r="N20" s="840" t="str">
        <f t="shared" ca="1" si="12"/>
        <v>#REF!</v>
      </c>
      <c r="O20" s="12"/>
      <c r="P20" s="12"/>
      <c r="Q20" s="4"/>
      <c r="R20" s="4"/>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3">
        <v>2.15</v>
      </c>
      <c r="J21" s="842">
        <f t="array" ref="J21">INDEX(Data,MATCH($C21,Line_Items,0),MATCH(LEFT(J$10,4),Fiscal_Periods,0))</f>
        <v>3.2246946666666676</v>
      </c>
      <c r="K21" s="842">
        <f t="array" ref="K21">INDEX(Data,MATCH($C21,Line_Items,0),MATCH(LEFT(K$10,4),Fiscal_Periods,0))</f>
        <v>4.2687411598302685</v>
      </c>
      <c r="L21" s="834" t="str">
        <f t="shared" ref="L21:N21" ca="1" si="13">IFERROR($H21/I21-1,"N/A")</f>
        <v>N/A</v>
      </c>
      <c r="M21" s="540" t="str">
        <f t="shared" ca="1" si="13"/>
        <v>N/A</v>
      </c>
      <c r="N21" s="540" t="str">
        <f t="shared" ca="1" si="13"/>
        <v>N/A</v>
      </c>
      <c r="O21" s="12"/>
      <c r="P21" s="12"/>
      <c r="Q21" s="4"/>
      <c r="R21" s="4"/>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12"/>
      <c r="P22" s="12"/>
      <c r="Q22" s="4"/>
      <c r="R22" s="4"/>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12"/>
      <c r="P23" s="12"/>
      <c r="Q23" s="4"/>
      <c r="R23" s="4"/>
      <c r="S23" s="4"/>
      <c r="T23" s="4"/>
      <c r="U23" s="4"/>
      <c r="V23" s="4"/>
      <c r="W23" s="4"/>
      <c r="X23" s="4"/>
      <c r="Y23" s="4"/>
      <c r="Z23" s="4"/>
    </row>
    <row r="24" spans="1:26" ht="14.25" customHeight="1">
      <c r="A24" s="12"/>
      <c r="B24" s="211" t="s">
        <v>1</v>
      </c>
      <c r="C24" s="81" t="str">
        <f>Ticker&amp;" "&amp;H4&amp;RIGHT(H5,2)&amp;" Segment Expectations"</f>
        <v>NFLX 4Q26 Segment Expectations</v>
      </c>
      <c r="D24" s="81"/>
      <c r="E24" s="81"/>
      <c r="F24" s="81"/>
      <c r="G24" s="81"/>
      <c r="H24" s="82" t="str">
        <f t="shared" ref="H24:N24" si="14">H10</f>
        <v>OFe</v>
      </c>
      <c r="I24" s="82" t="str">
        <f t="shared" si="14"/>
        <v>Consensus</v>
      </c>
      <c r="J24" s="82" t="str">
        <f t="shared" si="14"/>
        <v>4Q25a</v>
      </c>
      <c r="K24" s="82" t="str">
        <f t="shared" si="14"/>
        <v>2Q26a</v>
      </c>
      <c r="L24" s="831" t="str">
        <f t="shared" si="14"/>
        <v>v. Consensus</v>
      </c>
      <c r="M24" s="82" t="str">
        <f t="shared" si="14"/>
        <v>v. 4Q25a</v>
      </c>
      <c r="N24" s="82" t="str">
        <f t="shared" si="14"/>
        <v>v. 2Q26a</v>
      </c>
      <c r="O24" s="12"/>
      <c r="P24" s="12"/>
      <c r="Q24" s="4"/>
      <c r="R24" s="4"/>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12"/>
      <c r="P25" s="12"/>
      <c r="Q25" s="4"/>
      <c r="R25" s="4"/>
      <c r="S25" s="4"/>
      <c r="T25" s="4"/>
      <c r="U25" s="4"/>
      <c r="V25" s="4"/>
      <c r="W25" s="4"/>
      <c r="X25" s="4"/>
      <c r="Y25" s="4"/>
      <c r="Z25" s="4"/>
    </row>
    <row r="26" spans="1:26" ht="14.25" customHeight="1">
      <c r="A26" s="12"/>
      <c r="B26" s="12"/>
      <c r="C26" s="12" t="str">
        <f>'Segment Analysis'!C8</f>
        <v>Home Improvement Retail Revenue</v>
      </c>
      <c r="D26" s="12"/>
      <c r="E26" s="12"/>
      <c r="F26" s="12"/>
      <c r="G26" s="12"/>
      <c r="H26" s="832" t="e">
        <f t="array" ref="H26">INDEX(Data,MATCH($C26,Line_Items,0),MATCH($H$6,Fiscal_Periods,0))</f>
        <v>#N/A</v>
      </c>
      <c r="I26" s="833">
        <v>6520.1</v>
      </c>
      <c r="J26" s="832" t="e">
        <f t="array" ref="J26">INDEX(Data,MATCH($C26,Line_Items,0),MATCH(LEFT(J$24,4),Fiscal_Periods,0))</f>
        <v>#N/A</v>
      </c>
      <c r="K26" s="832" t="e">
        <f t="array" ref="K26">INDEX(Data,MATCH($C26,Line_Items,0),MATCH(LEFT(K$24,4),Fiscal_Periods,0))</f>
        <v>#N/A</v>
      </c>
      <c r="L26" s="834" t="str">
        <f t="shared" ref="L26:N26" si="15">IFERROR($H26/I26-1,"N/A")</f>
        <v>N/A</v>
      </c>
      <c r="M26" s="540" t="str">
        <f t="shared" si="15"/>
        <v>N/A</v>
      </c>
      <c r="N26" s="540" t="str">
        <f t="shared" si="15"/>
        <v>N/A</v>
      </c>
      <c r="O26" s="12"/>
      <c r="P26" s="12"/>
      <c r="Q26" s="4"/>
      <c r="R26" s="4"/>
      <c r="S26" s="4"/>
      <c r="T26" s="4"/>
      <c r="U26" s="4"/>
      <c r="V26" s="4"/>
      <c r="W26" s="4"/>
      <c r="X26" s="4"/>
      <c r="Y26" s="4"/>
      <c r="Z26" s="4"/>
    </row>
    <row r="27" spans="1:26" ht="14.25" customHeight="1">
      <c r="A27" s="12"/>
      <c r="B27" s="12"/>
      <c r="C27" s="12" t="str">
        <f>'Segment Analysis'!C9</f>
        <v>Segment 2 Revenue</v>
      </c>
      <c r="D27" s="12"/>
      <c r="E27" s="12"/>
      <c r="F27" s="12"/>
      <c r="G27" s="12"/>
      <c r="H27" s="835" t="e">
        <f t="array" ref="H27">INDEX(Data,MATCH($C27,Line_Items,0),MATCH($H$6,Fiscal_Periods,0))</f>
        <v>#N/A</v>
      </c>
      <c r="I27" s="836">
        <v>11000.3</v>
      </c>
      <c r="J27" s="835" t="e">
        <f t="array" ref="J27">INDEX(Data,MATCH($C27,Line_Items,0),MATCH(LEFT(J$24,4),Fiscal_Periods,0))</f>
        <v>#N/A</v>
      </c>
      <c r="K27" s="835" t="e">
        <f t="array" ref="K27">INDEX(Data,MATCH($C27,Line_Items,0),MATCH(LEFT(K$24,4),Fiscal_Periods,0))</f>
        <v>#N/A</v>
      </c>
      <c r="L27" s="834" t="str">
        <f t="shared" ref="L27:N27" si="16">IFERROR($H27/I27-1,"N/A")</f>
        <v>N/A</v>
      </c>
      <c r="M27" s="540" t="str">
        <f t="shared" si="16"/>
        <v>N/A</v>
      </c>
      <c r="N27" s="540" t="str">
        <f t="shared" si="16"/>
        <v>N/A</v>
      </c>
      <c r="O27" s="12"/>
      <c r="P27" s="12"/>
      <c r="Q27" s="4"/>
      <c r="R27" s="4"/>
      <c r="S27" s="4"/>
      <c r="T27" s="4"/>
      <c r="U27" s="4"/>
      <c r="V27" s="4"/>
      <c r="W27" s="4"/>
      <c r="X27" s="4"/>
      <c r="Y27" s="4"/>
      <c r="Z27" s="4"/>
    </row>
    <row r="28" spans="1:26" ht="14.25" customHeight="1">
      <c r="A28" s="12"/>
      <c r="B28" s="12"/>
      <c r="C28" s="12" t="str">
        <f>'Segment Analysis'!C10</f>
        <v>Segment 3 Revenue</v>
      </c>
      <c r="D28" s="12"/>
      <c r="E28" s="12"/>
      <c r="F28" s="12"/>
      <c r="G28" s="12"/>
      <c r="H28" s="835" t="e">
        <f t="array" ref="H28">INDEX(Data,MATCH($C28,Line_Items,0),MATCH($H$6,Fiscal_Periods,0))</f>
        <v>#N/A</v>
      </c>
      <c r="I28" s="836">
        <v>75</v>
      </c>
      <c r="J28" s="835" t="e">
        <f t="array" ref="J28">INDEX(Data,MATCH($C28,Line_Items,0),MATCH(LEFT(J$24,4),Fiscal_Periods,0))</f>
        <v>#N/A</v>
      </c>
      <c r="K28" s="835" t="e">
        <f t="array" ref="K28">INDEX(Data,MATCH($C28,Line_Items,0),MATCH(LEFT(K$24,4),Fiscal_Periods,0))</f>
        <v>#N/A</v>
      </c>
      <c r="L28" s="834" t="str">
        <f t="shared" ref="L28:N28" si="17">IFERROR($H28/I28-1,"N/A")</f>
        <v>N/A</v>
      </c>
      <c r="M28" s="540" t="str">
        <f t="shared" si="17"/>
        <v>N/A</v>
      </c>
      <c r="N28" s="540" t="str">
        <f t="shared" si="17"/>
        <v>N/A</v>
      </c>
      <c r="O28" s="12"/>
      <c r="P28" s="12"/>
      <c r="Q28" s="4"/>
      <c r="R28" s="4"/>
      <c r="S28" s="4"/>
      <c r="T28" s="4"/>
      <c r="U28" s="4"/>
      <c r="V28" s="4"/>
      <c r="W28" s="4"/>
      <c r="X28" s="4"/>
      <c r="Y28" s="4"/>
      <c r="Z28" s="4"/>
    </row>
    <row r="29" spans="1:26" ht="14.25" customHeight="1">
      <c r="A29" s="12"/>
      <c r="B29" s="12"/>
      <c r="C29" s="12" t="str">
        <f>'Segment Analysis'!C11</f>
        <v>Segment 4 Revenue</v>
      </c>
      <c r="D29" s="12"/>
      <c r="E29" s="12"/>
      <c r="F29" s="12"/>
      <c r="G29" s="12"/>
      <c r="H29" s="835" t="e">
        <f t="array" ref="H29">INDEX(Data,MATCH($C29,Line_Items,0),MATCH($H$6,Fiscal_Periods,0))</f>
        <v>#N/A</v>
      </c>
      <c r="I29" s="836">
        <v>-200</v>
      </c>
      <c r="J29" s="835" t="e">
        <f t="array" ref="J29">INDEX(Data,MATCH($C29,Line_Items,0),MATCH(LEFT(J$24,4),Fiscal_Periods,0))</f>
        <v>#N/A</v>
      </c>
      <c r="K29" s="835" t="e">
        <f t="array" ref="K29">INDEX(Data,MATCH($C29,Line_Items,0),MATCH(LEFT(K$24,4),Fiscal_Periods,0))</f>
        <v>#N/A</v>
      </c>
      <c r="L29" s="834" t="str">
        <f t="shared" ref="L29:N29" si="18">IFERROR($H29/I29-1,"N/A")</f>
        <v>N/A</v>
      </c>
      <c r="M29" s="540" t="str">
        <f t="shared" si="18"/>
        <v>N/A</v>
      </c>
      <c r="N29" s="540" t="str">
        <f t="shared" si="18"/>
        <v>N/A</v>
      </c>
      <c r="O29" s="12"/>
      <c r="P29" s="12"/>
      <c r="Q29" s="4"/>
      <c r="R29" s="4"/>
      <c r="S29" s="4"/>
      <c r="T29" s="4"/>
      <c r="U29" s="4"/>
      <c r="V29" s="4"/>
      <c r="W29" s="4"/>
      <c r="X29" s="4"/>
      <c r="Y29" s="4"/>
      <c r="Z29" s="4"/>
    </row>
    <row r="30" spans="1:26" ht="14.25" customHeight="1">
      <c r="A30" s="12"/>
      <c r="B30" s="12"/>
      <c r="C30" s="535" t="str">
        <f>'Segment Analysis'!C12</f>
        <v>Segment 5 Revenue</v>
      </c>
      <c r="D30" s="535"/>
      <c r="E30" s="535"/>
      <c r="F30" s="535"/>
      <c r="G30" s="535"/>
      <c r="H30" s="844" t="e">
        <f t="array" ref="H30">INDEX(Data,MATCH($C30,Line_Items,0),MATCH($H$6,Fiscal_Periods,0))</f>
        <v>#N/A</v>
      </c>
      <c r="I30" s="845">
        <v>5000</v>
      </c>
      <c r="J30" s="844" t="e">
        <f t="array" ref="J30">INDEX(Data,MATCH($C30,Line_Items,0),MATCH(LEFT(J$24,4),Fiscal_Periods,0))</f>
        <v>#N/A</v>
      </c>
      <c r="K30" s="844" t="e">
        <f t="array" ref="K30">INDEX(Data,MATCH($C30,Line_Items,0),MATCH(LEFT(K$24,4),Fiscal_Periods,0))</f>
        <v>#N/A</v>
      </c>
      <c r="L30" s="846" t="str">
        <f t="shared" ref="L30:N30" si="19">IFERROR($H30/I30-1,"N/A")</f>
        <v>N/A</v>
      </c>
      <c r="M30" s="536" t="str">
        <f t="shared" si="19"/>
        <v>N/A</v>
      </c>
      <c r="N30" s="536" t="str">
        <f t="shared" si="19"/>
        <v>N/A</v>
      </c>
      <c r="O30" s="12"/>
      <c r="P30" s="12"/>
      <c r="Q30" s="4"/>
      <c r="R30" s="4"/>
      <c r="S30" s="4"/>
      <c r="T30" s="4"/>
      <c r="U30" s="4"/>
      <c r="V30" s="4"/>
      <c r="W30" s="4"/>
      <c r="X30" s="4"/>
      <c r="Y30" s="4"/>
      <c r="Z30" s="4"/>
    </row>
    <row r="31" spans="1:26" ht="14.25" hidden="1" customHeight="1" outlineLevel="1" collapsed="1">
      <c r="A31" s="12"/>
      <c r="B31" s="12"/>
      <c r="C31" s="535" t="str">
        <f>'Segment Analysis'!C13</f>
        <v>Segment 6 Revenue</v>
      </c>
      <c r="D31" s="535"/>
      <c r="E31" s="535"/>
      <c r="F31" s="535"/>
      <c r="G31" s="535"/>
      <c r="H31" s="847" t="e">
        <f t="array" ref="H31">INDEX(Data,MATCH($C31,Line_Items,0),MATCH($H$6,Fiscal_Periods,0))</f>
        <v>#N/A</v>
      </c>
      <c r="I31" s="848" t="e">
        <f t="array" ref="I31">INDEX(Data,MATCH($C31,Line_Items,0),MATCH($H$6,Fiscal_Periods,0))</f>
        <v>#N/A</v>
      </c>
      <c r="J31" s="847" t="e">
        <f t="array" ref="J31">INDEX(Data,MATCH($C31,Line_Items,0),MATCH(LEFT(J$24,4),Fiscal_Periods,0))</f>
        <v>#N/A</v>
      </c>
      <c r="K31" s="847" t="e">
        <f t="array" ref="K31">INDEX(Data,MATCH($C31,Line_Items,0),MATCH(LEFT(K$24,4),Fiscal_Periods,0))</f>
        <v>#N/A</v>
      </c>
      <c r="L31" s="846" t="str">
        <f t="shared" ref="L31:N31" si="20">IFERROR($H31/I31-1,"N/A")</f>
        <v>N/A</v>
      </c>
      <c r="M31" s="536" t="str">
        <f t="shared" si="20"/>
        <v>N/A</v>
      </c>
      <c r="N31" s="536" t="str">
        <f t="shared" si="20"/>
        <v>N/A</v>
      </c>
      <c r="O31" s="12"/>
      <c r="P31" s="12"/>
      <c r="Q31" s="4"/>
      <c r="R31" s="4"/>
      <c r="S31" s="4"/>
      <c r="T31" s="4"/>
      <c r="U31" s="4"/>
      <c r="V31" s="4"/>
      <c r="W31" s="4"/>
      <c r="X31" s="4"/>
      <c r="Y31" s="4"/>
      <c r="Z31" s="4"/>
    </row>
    <row r="32" spans="1:26" ht="14.25" customHeight="1">
      <c r="A32" s="12"/>
      <c r="B32" s="12"/>
      <c r="C32" s="12" t="e">
        <f>'Segment Analysis'!#REF!</f>
        <v>#REF!</v>
      </c>
      <c r="D32" s="12"/>
      <c r="E32" s="12"/>
      <c r="F32" s="12"/>
      <c r="G32" s="12"/>
      <c r="H32" s="832" t="e">
        <f t="array" ref="H32">INDEX(Data,MATCH($C32,Line_Items,0),MATCH($H$6,Fiscal_Periods,0))</f>
        <v>#REF!</v>
      </c>
      <c r="I32" s="833">
        <v>820</v>
      </c>
      <c r="J32" s="832" t="e">
        <f t="array" ref="J32">INDEX(Data,MATCH($C32,Line_Items,0),MATCH(LEFT(J$24,4),Fiscal_Periods,0))</f>
        <v>#REF!</v>
      </c>
      <c r="K32" s="832" t="e">
        <f t="array" ref="K32">INDEX(Data,MATCH($C32,Line_Items,0),MATCH(LEFT(K$24,4),Fiscal_Periods,0))</f>
        <v>#REF!</v>
      </c>
      <c r="L32" s="834" t="str">
        <f t="shared" ref="L32:N32" si="21">IFERROR($H32/I32-1,"N/A")</f>
        <v>N/A</v>
      </c>
      <c r="M32" s="540" t="str">
        <f t="shared" si="21"/>
        <v>N/A</v>
      </c>
      <c r="N32" s="540" t="str">
        <f t="shared" si="21"/>
        <v>N/A</v>
      </c>
      <c r="O32" s="12"/>
      <c r="P32" s="12"/>
      <c r="Q32" s="4"/>
      <c r="R32" s="4"/>
      <c r="S32" s="4"/>
      <c r="T32" s="4"/>
      <c r="U32" s="4"/>
      <c r="V32" s="4"/>
      <c r="W32" s="4"/>
      <c r="X32" s="4"/>
      <c r="Y32" s="4"/>
      <c r="Z32" s="4"/>
    </row>
    <row r="33" spans="1:26" ht="14.25" customHeight="1">
      <c r="A33" s="12"/>
      <c r="B33" s="12"/>
      <c r="C33" s="12" t="e">
        <f>'Segment Analysis'!#REF!</f>
        <v>#REF!</v>
      </c>
      <c r="D33" s="12"/>
      <c r="E33" s="12"/>
      <c r="F33" s="12"/>
      <c r="G33" s="12"/>
      <c r="H33" s="835" t="e">
        <f t="array" ref="H33">INDEX(Data,MATCH($C33,Line_Items,0),MATCH($H$6,Fiscal_Periods,0))</f>
        <v>#REF!</v>
      </c>
      <c r="I33" s="836">
        <v>1400</v>
      </c>
      <c r="J33" s="835" t="e">
        <f t="array" ref="J33">INDEX(Data,MATCH($C33,Line_Items,0),MATCH(LEFT(J$24,4),Fiscal_Periods,0))</f>
        <v>#REF!</v>
      </c>
      <c r="K33" s="835" t="e">
        <f t="array" ref="K33">INDEX(Data,MATCH($C33,Line_Items,0),MATCH(LEFT(K$24,4),Fiscal_Periods,0))</f>
        <v>#REF!</v>
      </c>
      <c r="L33" s="834" t="str">
        <f t="shared" ref="L33:N33" si="22">IFERROR($H33/I33-1,"N/A")</f>
        <v>N/A</v>
      </c>
      <c r="M33" s="540" t="str">
        <f t="shared" si="22"/>
        <v>N/A</v>
      </c>
      <c r="N33" s="540" t="str">
        <f t="shared" si="22"/>
        <v>N/A</v>
      </c>
      <c r="O33" s="12"/>
      <c r="P33" s="12"/>
      <c r="Q33" s="4"/>
      <c r="R33" s="4"/>
      <c r="S33" s="4"/>
      <c r="T33" s="4"/>
      <c r="U33" s="4"/>
      <c r="V33" s="4"/>
      <c r="W33" s="4"/>
      <c r="X33" s="4"/>
      <c r="Y33" s="4"/>
      <c r="Z33" s="4"/>
    </row>
    <row r="34" spans="1:26" ht="14.25" customHeight="1">
      <c r="A34" s="12"/>
      <c r="B34" s="12"/>
      <c r="C34" s="12" t="e">
        <f>'Segment Analysis'!#REF!</f>
        <v>#REF!</v>
      </c>
      <c r="D34" s="12"/>
      <c r="E34" s="12"/>
      <c r="F34" s="12"/>
      <c r="G34" s="12"/>
      <c r="H34" s="835" t="e">
        <f t="array" ref="H34">INDEX(Data,MATCH($C34,Line_Items,0),MATCH($H$6,Fiscal_Periods,0))</f>
        <v>#REF!</v>
      </c>
      <c r="I34" s="836">
        <v>10</v>
      </c>
      <c r="J34" s="835" t="e">
        <f t="array" ref="J34">INDEX(Data,MATCH($C34,Line_Items,0),MATCH(LEFT(J$24,4),Fiscal_Periods,0))</f>
        <v>#REF!</v>
      </c>
      <c r="K34" s="835" t="e">
        <f t="array" ref="K34">INDEX(Data,MATCH($C34,Line_Items,0),MATCH(LEFT(K$24,4),Fiscal_Periods,0))</f>
        <v>#REF!</v>
      </c>
      <c r="L34" s="834" t="str">
        <f t="shared" ref="L34:N34" si="23">IFERROR($H34/I34-1,"N/A")</f>
        <v>N/A</v>
      </c>
      <c r="M34" s="540" t="str">
        <f t="shared" si="23"/>
        <v>N/A</v>
      </c>
      <c r="N34" s="540" t="str">
        <f t="shared" si="23"/>
        <v>N/A</v>
      </c>
      <c r="O34" s="12"/>
      <c r="P34" s="12"/>
      <c r="Q34" s="4"/>
      <c r="R34" s="4"/>
      <c r="S34" s="4"/>
      <c r="T34" s="4"/>
      <c r="U34" s="4"/>
      <c r="V34" s="4"/>
      <c r="W34" s="4"/>
      <c r="X34" s="4"/>
      <c r="Y34" s="4"/>
      <c r="Z34" s="4"/>
    </row>
    <row r="35" spans="1:26" ht="14.25" customHeight="1">
      <c r="A35" s="12"/>
      <c r="B35" s="12"/>
      <c r="C35" s="12" t="e">
        <f>'Segment Analysis'!#REF!</f>
        <v>#REF!</v>
      </c>
      <c r="D35" s="12"/>
      <c r="E35" s="12"/>
      <c r="F35" s="12"/>
      <c r="G35" s="12"/>
      <c r="H35" s="835" t="e">
        <f t="array" ref="H35">INDEX(Data,MATCH($C35,Line_Items,0),MATCH($H$6,Fiscal_Periods,0))</f>
        <v>#REF!</v>
      </c>
      <c r="I35" s="836">
        <v>-23</v>
      </c>
      <c r="J35" s="835" t="e">
        <f t="array" ref="J35">INDEX(Data,MATCH($C35,Line_Items,0),MATCH(LEFT(J$24,4),Fiscal_Periods,0))</f>
        <v>#REF!</v>
      </c>
      <c r="K35" s="835" t="e">
        <f t="array" ref="K35">INDEX(Data,MATCH($C35,Line_Items,0),MATCH(LEFT(K$24,4),Fiscal_Periods,0))</f>
        <v>#REF!</v>
      </c>
      <c r="L35" s="834" t="str">
        <f t="shared" ref="L35:N35" si="24">IFERROR($H35/I35-1,"N/A")</f>
        <v>N/A</v>
      </c>
      <c r="M35" s="540" t="str">
        <f t="shared" si="24"/>
        <v>N/A</v>
      </c>
      <c r="N35" s="540" t="str">
        <f t="shared" si="24"/>
        <v>N/A</v>
      </c>
      <c r="O35" s="12"/>
      <c r="P35" s="12"/>
      <c r="Q35" s="4"/>
      <c r="R35" s="4"/>
      <c r="S35" s="4"/>
      <c r="T35" s="4"/>
      <c r="U35" s="4"/>
      <c r="V35" s="4"/>
      <c r="W35" s="4"/>
      <c r="X35" s="4"/>
      <c r="Y35" s="4"/>
      <c r="Z35" s="4"/>
    </row>
    <row r="36" spans="1:26" ht="14.25" customHeight="1">
      <c r="A36" s="12"/>
      <c r="B36" s="12"/>
      <c r="C36" s="12" t="e">
        <f>'Segment Analysis'!#REF!</f>
        <v>#REF!</v>
      </c>
      <c r="D36" s="12"/>
      <c r="E36" s="12"/>
      <c r="F36" s="12"/>
      <c r="G36" s="12"/>
      <c r="H36" s="835" t="e">
        <f t="array" ref="H36">INDEX(Data,MATCH($C36,Line_Items,0),MATCH($H$6,Fiscal_Periods,0))</f>
        <v>#REF!</v>
      </c>
      <c r="I36" s="836">
        <v>650</v>
      </c>
      <c r="J36" s="835" t="e">
        <f t="array" ref="J36">INDEX(Data,MATCH($C36,Line_Items,0),MATCH(LEFT(J$24,4),Fiscal_Periods,0))</f>
        <v>#REF!</v>
      </c>
      <c r="K36" s="835" t="e">
        <f t="array" ref="K36">INDEX(Data,MATCH($C36,Line_Items,0),MATCH(LEFT(K$24,4),Fiscal_Periods,0))</f>
        <v>#REF!</v>
      </c>
      <c r="L36" s="834" t="str">
        <f t="shared" ref="L36:N36" si="25">IFERROR($H36/I36-1,"N/A")</f>
        <v>N/A</v>
      </c>
      <c r="M36" s="540" t="str">
        <f t="shared" si="25"/>
        <v>N/A</v>
      </c>
      <c r="N36" s="540" t="str">
        <f t="shared" si="25"/>
        <v>N/A</v>
      </c>
      <c r="O36" s="12"/>
      <c r="P36" s="12"/>
      <c r="Q36" s="4"/>
      <c r="R36" s="4"/>
      <c r="S36" s="4"/>
      <c r="T36" s="4"/>
      <c r="U36" s="4"/>
      <c r="V36" s="4"/>
      <c r="W36" s="4"/>
      <c r="X36" s="4"/>
      <c r="Y36" s="4"/>
      <c r="Z36" s="4"/>
    </row>
    <row r="37" spans="1:26" ht="14.25" customHeight="1">
      <c r="A37" s="12"/>
      <c r="B37" s="12"/>
      <c r="C37" s="12" t="e">
        <f>'Segment Analysis'!#REF!</f>
        <v>#REF!</v>
      </c>
      <c r="D37" s="12"/>
      <c r="E37" s="12"/>
      <c r="F37" s="12"/>
      <c r="G37" s="12"/>
      <c r="H37" s="835" t="e">
        <f t="array" ref="H37">INDEX(Data,MATCH($C37,Line_Items,0),MATCH($H$6,Fiscal_Periods,0))</f>
        <v>#REF!</v>
      </c>
      <c r="I37" s="836">
        <v>300</v>
      </c>
      <c r="J37" s="835" t="e">
        <f t="array" ref="J37">INDEX(Data,MATCH($C37,Line_Items,0),MATCH(LEFT(J$24,4),Fiscal_Periods,0))</f>
        <v>#REF!</v>
      </c>
      <c r="K37" s="835" t="e">
        <f t="array" ref="K37">INDEX(Data,MATCH($C37,Line_Items,0),MATCH(LEFT(K$24,4),Fiscal_Periods,0))</f>
        <v>#REF!</v>
      </c>
      <c r="L37" s="834" t="str">
        <f t="shared" ref="L37:N37" si="26">IFERROR($H37/I37-1,"N/A")</f>
        <v>N/A</v>
      </c>
      <c r="M37" s="540" t="str">
        <f t="shared" si="26"/>
        <v>N/A</v>
      </c>
      <c r="N37" s="540" t="str">
        <f t="shared" si="26"/>
        <v>N/A</v>
      </c>
      <c r="O37" s="12"/>
      <c r="P37" s="12"/>
      <c r="Q37" s="4"/>
      <c r="R37" s="4"/>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12"/>
      <c r="P38" s="12"/>
      <c r="Q38" s="4"/>
      <c r="R38" s="4"/>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12"/>
      <c r="P39" s="12"/>
      <c r="Q39" s="4"/>
      <c r="R39" s="4"/>
      <c r="S39" s="4"/>
      <c r="T39" s="4"/>
      <c r="U39" s="4"/>
      <c r="V39" s="4"/>
      <c r="W39" s="4"/>
      <c r="X39" s="4"/>
      <c r="Y39" s="4"/>
      <c r="Z39" s="4"/>
    </row>
    <row r="40" spans="1:26" ht="14.25" customHeight="1">
      <c r="A40" s="12"/>
      <c r="B40" s="211" t="s">
        <v>1</v>
      </c>
      <c r="C40" s="81" t="str">
        <f>Ticker&amp;" "&amp;H4&amp;RIGHT(H5,2)&amp;" Cash Flow Expectations"</f>
        <v>NFLX 4Q26 Cash Flow Expectations</v>
      </c>
      <c r="D40" s="81"/>
      <c r="E40" s="81"/>
      <c r="F40" s="81"/>
      <c r="G40" s="81"/>
      <c r="H40" s="82" t="str">
        <f t="shared" ref="H40:N40" si="27">H10</f>
        <v>OFe</v>
      </c>
      <c r="I40" s="82" t="str">
        <f t="shared" si="27"/>
        <v>Consensus</v>
      </c>
      <c r="J40" s="82" t="str">
        <f t="shared" si="27"/>
        <v>4Q25a</v>
      </c>
      <c r="K40" s="82" t="str">
        <f t="shared" si="27"/>
        <v>2Q26a</v>
      </c>
      <c r="L40" s="831" t="str">
        <f t="shared" si="27"/>
        <v>v. Consensus</v>
      </c>
      <c r="M40" s="82" t="str">
        <f t="shared" si="27"/>
        <v>v. 4Q25a</v>
      </c>
      <c r="N40" s="82" t="str">
        <f t="shared" si="27"/>
        <v>v. 2Q26a</v>
      </c>
      <c r="O40" s="12"/>
      <c r="P40" s="12"/>
      <c r="Q40" s="4"/>
      <c r="R40" s="4"/>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12"/>
      <c r="P41" s="12"/>
      <c r="Q41" s="4"/>
      <c r="R41" s="4"/>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3">
        <v>50</v>
      </c>
      <c r="J42" s="832">
        <f t="array" ref="J42">INDEX(Data,MATCH($C42,Line_Items,0),MATCH(LEFT(J$40,4),Fiscal_Periods,0))</f>
        <v>0</v>
      </c>
      <c r="K42" s="832">
        <f t="array" ref="K42">INDEX(Data,MATCH($C42,Line_Items,0),MATCH(LEFT(K$40,4),Fiscal_Periods,0))</f>
        <v>0</v>
      </c>
      <c r="L42" s="834" t="str">
        <f t="shared" ref="L42:N42" ca="1" si="28">IFERROR($H42/I42-1,"N/A")</f>
        <v>N/A</v>
      </c>
      <c r="M42" s="540" t="str">
        <f t="shared" ca="1" si="28"/>
        <v>N/A</v>
      </c>
      <c r="N42" s="540" t="str">
        <f t="shared" ca="1" si="28"/>
        <v>N/A</v>
      </c>
      <c r="O42" s="12"/>
      <c r="P42" s="12"/>
      <c r="Q42" s="4"/>
      <c r="R42" s="4"/>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6">
        <v>-668</v>
      </c>
      <c r="J43" s="835">
        <f t="array" ref="J43">INDEX(Data,MATCH($C43,Line_Items,0),MATCH(LEFT(J$40,4),Fiscal_Periods,0))</f>
        <v>0</v>
      </c>
      <c r="K43" s="835">
        <f t="array" ref="K43">INDEX(Data,MATCH($C43,Line_Items,0),MATCH(LEFT(K$40,4),Fiscal_Periods,0))</f>
        <v>0</v>
      </c>
      <c r="L43" s="834">
        <f t="shared" ref="L43:N43" si="29">IFERROR($H43/I43-1,"N/A")</f>
        <v>-0.44591961077844311</v>
      </c>
      <c r="M43" s="540" t="str">
        <f t="shared" si="29"/>
        <v>N/A</v>
      </c>
      <c r="N43" s="540" t="str">
        <f t="shared" si="29"/>
        <v>N/A</v>
      </c>
      <c r="O43" s="12"/>
      <c r="P43" s="12"/>
      <c r="Q43" s="4"/>
      <c r="R43" s="4"/>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6">
        <v>1412.6</v>
      </c>
      <c r="J44" s="835">
        <f t="array" ref="J44">INDEX(Data,MATCH($C44,Line_Items,0),MATCH(LEFT(J$40,4),Fiscal_Periods,0))</f>
        <v>1573.8829999999998</v>
      </c>
      <c r="K44" s="835">
        <f t="array" ref="K44">INDEX(Data,MATCH($C44,Line_Items,0),MATCH(LEFT(K$40,4),Fiscal_Periods,0))</f>
        <v>15218.319</v>
      </c>
      <c r="L44" s="834" t="str">
        <f t="shared" ref="L44:N44" ca="1" si="30">IFERROR($H44/I44-1,"N/A")</f>
        <v>N/A</v>
      </c>
      <c r="M44" s="540" t="str">
        <f t="shared" ca="1" si="30"/>
        <v>N/A</v>
      </c>
      <c r="N44" s="540" t="str">
        <f t="shared" ca="1" si="30"/>
        <v>N/A</v>
      </c>
      <c r="O44" s="12"/>
      <c r="P44" s="12"/>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ySplit="2" topLeftCell="A3" activePane="bottomLeft" state="frozen"/>
      <selection pane="bottomLeft" activeCell="B4" sqref="B4"/>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7"/>
      <c r="B1" s="7"/>
      <c r="C1" s="8" t="str">
        <f ca="1">Company_Name&amp;" - "&amp;MID(CELL("filename",A1),FIND("]",CELL("filename",A1))+1,255)&amp;": "&amp;Case_Scenario&amp;" Case"</f>
        <v>NETFLIX INC - Post-Earnings: Base Case</v>
      </c>
      <c r="D1" s="7"/>
      <c r="E1" s="7"/>
      <c r="F1" s="7"/>
      <c r="G1" s="7"/>
      <c r="H1" s="7"/>
      <c r="I1" s="7"/>
      <c r="J1" s="7"/>
      <c r="K1" s="7"/>
      <c r="L1" s="7"/>
      <c r="M1" s="7"/>
      <c r="N1" s="7"/>
      <c r="O1" s="7"/>
      <c r="P1" s="7"/>
      <c r="Q1" s="7"/>
      <c r="R1" s="7"/>
      <c r="S1" s="7"/>
      <c r="T1" s="7"/>
      <c r="U1" s="7"/>
      <c r="V1" s="7"/>
      <c r="W1" s="7"/>
      <c r="X1" s="7"/>
      <c r="Y1" s="7"/>
      <c r="Z1" s="7"/>
    </row>
    <row r="2" spans="1:26" ht="15" customHeight="1">
      <c r="A2" s="4"/>
      <c r="B2" s="4"/>
      <c r="C2" s="10"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12"/>
      <c r="B3" s="12"/>
      <c r="C3" s="12"/>
      <c r="D3" s="12"/>
      <c r="E3" s="12"/>
      <c r="F3" s="12"/>
      <c r="G3" s="12"/>
      <c r="H3" s="12"/>
      <c r="I3" s="12"/>
      <c r="J3" s="12"/>
      <c r="K3" s="12"/>
      <c r="L3" s="12"/>
      <c r="M3" s="12"/>
      <c r="N3" s="12"/>
      <c r="O3" s="12"/>
      <c r="P3" s="12"/>
      <c r="Q3" s="12"/>
      <c r="R3" s="12"/>
      <c r="S3" s="4"/>
      <c r="T3" s="4"/>
      <c r="U3" s="4"/>
      <c r="V3" s="4"/>
      <c r="W3" s="4"/>
      <c r="X3" s="4"/>
      <c r="Y3" s="4"/>
      <c r="Z3" s="4"/>
    </row>
    <row r="4" spans="1:26" ht="14.25" customHeight="1">
      <c r="A4" s="12"/>
      <c r="B4" s="12"/>
      <c r="C4" s="12" t="s">
        <v>959</v>
      </c>
      <c r="D4" s="12"/>
      <c r="E4" s="12"/>
      <c r="F4" s="12"/>
      <c r="G4" s="12"/>
      <c r="H4" s="46" t="s">
        <v>960</v>
      </c>
      <c r="I4" s="12"/>
      <c r="J4" s="849" t="s">
        <v>909</v>
      </c>
      <c r="K4" s="12"/>
      <c r="L4" s="12"/>
      <c r="M4" s="12"/>
      <c r="N4" s="12"/>
      <c r="O4" s="12"/>
      <c r="P4" s="12"/>
      <c r="Q4" s="12"/>
      <c r="R4" s="12"/>
      <c r="S4" s="4"/>
      <c r="T4" s="4"/>
      <c r="U4" s="4"/>
      <c r="V4" s="4"/>
      <c r="W4" s="4"/>
      <c r="X4" s="4"/>
      <c r="Y4" s="4"/>
      <c r="Z4" s="4"/>
    </row>
    <row r="5" spans="1:26" ht="14.25" customHeight="1">
      <c r="A5" s="12"/>
      <c r="B5" s="12"/>
      <c r="C5" s="12" t="s">
        <v>961</v>
      </c>
      <c r="D5" s="12"/>
      <c r="E5" s="12"/>
      <c r="F5" s="12"/>
      <c r="G5" s="12"/>
      <c r="H5" s="829">
        <f>YEAR(Next_FYE)</f>
        <v>2026</v>
      </c>
      <c r="I5" s="12"/>
      <c r="J5" s="12"/>
      <c r="K5" s="12"/>
      <c r="L5" s="12"/>
      <c r="M5" s="12"/>
      <c r="N5" s="12"/>
      <c r="O5" s="12"/>
      <c r="P5" s="12"/>
      <c r="Q5" s="12"/>
      <c r="R5" s="12"/>
      <c r="S5" s="4"/>
      <c r="T5" s="4"/>
      <c r="U5" s="4"/>
      <c r="V5" s="4"/>
      <c r="W5" s="4"/>
      <c r="X5" s="4"/>
      <c r="Y5" s="4"/>
      <c r="Z5" s="4"/>
    </row>
    <row r="6" spans="1:26" ht="14.25" customHeight="1">
      <c r="A6" s="12"/>
      <c r="B6" s="12"/>
      <c r="C6" s="12" t="s">
        <v>962</v>
      </c>
      <c r="D6" s="12"/>
      <c r="E6" s="12"/>
      <c r="F6" s="12"/>
      <c r="G6" s="12"/>
      <c r="H6" s="830" t="str">
        <f>H4&amp;RIGHT(H5,2)&amp;"e"</f>
        <v>4Q26e</v>
      </c>
      <c r="I6" s="12"/>
      <c r="J6" s="12"/>
      <c r="K6" s="12"/>
      <c r="L6" s="12"/>
      <c r="M6" s="12"/>
      <c r="N6" s="12"/>
      <c r="O6" s="12"/>
      <c r="P6" s="12"/>
      <c r="Q6" s="12"/>
      <c r="R6" s="12"/>
      <c r="S6" s="4"/>
      <c r="T6" s="4"/>
      <c r="U6" s="4"/>
      <c r="V6" s="4"/>
      <c r="W6" s="4"/>
      <c r="X6" s="4"/>
      <c r="Y6" s="4"/>
      <c r="Z6" s="4"/>
    </row>
    <row r="7" spans="1:26" ht="14.25" customHeight="1">
      <c r="A7" s="12"/>
      <c r="B7" s="12"/>
      <c r="C7" s="12" t="s">
        <v>963</v>
      </c>
      <c r="D7" s="12"/>
      <c r="E7" s="12"/>
      <c r="F7" s="12"/>
      <c r="G7" s="12"/>
      <c r="H7" s="829">
        <f>YEAR(Last_FYE)</f>
        <v>2025</v>
      </c>
      <c r="I7" s="12"/>
      <c r="J7" s="12"/>
      <c r="K7" s="12"/>
      <c r="L7" s="12"/>
      <c r="M7" s="12"/>
      <c r="N7" s="12"/>
      <c r="O7" s="12"/>
      <c r="P7" s="12"/>
      <c r="Q7" s="12"/>
      <c r="R7" s="12"/>
      <c r="S7" s="4"/>
      <c r="T7" s="4"/>
      <c r="U7" s="4"/>
      <c r="V7" s="4"/>
      <c r="W7" s="4"/>
      <c r="X7" s="4"/>
      <c r="Y7" s="4"/>
      <c r="Z7" s="4"/>
    </row>
    <row r="8" spans="1:26" ht="14.25" customHeight="1">
      <c r="A8" s="12"/>
      <c r="B8" s="12"/>
      <c r="C8" s="12" t="s">
        <v>964</v>
      </c>
      <c r="D8" s="12"/>
      <c r="E8" s="12"/>
      <c r="F8" s="12"/>
      <c r="G8" s="12"/>
      <c r="H8" s="34" t="s">
        <v>6</v>
      </c>
      <c r="I8" s="12"/>
      <c r="J8" s="12"/>
      <c r="K8" s="12"/>
      <c r="L8" s="12"/>
      <c r="M8" s="12"/>
      <c r="N8" s="12"/>
      <c r="O8" s="12"/>
      <c r="P8" s="12"/>
      <c r="Q8" s="12"/>
      <c r="R8" s="12"/>
      <c r="S8" s="4"/>
      <c r="T8" s="4"/>
      <c r="U8" s="4"/>
      <c r="V8" s="4"/>
      <c r="W8" s="4"/>
      <c r="X8" s="4"/>
      <c r="Y8" s="4"/>
      <c r="Z8" s="4"/>
    </row>
    <row r="9" spans="1:26" ht="14.25" customHeight="1">
      <c r="A9" s="12"/>
      <c r="B9" s="12"/>
      <c r="C9" s="12"/>
      <c r="D9" s="12"/>
      <c r="E9" s="12"/>
      <c r="F9" s="12"/>
      <c r="G9" s="12"/>
      <c r="H9" s="12"/>
      <c r="I9" s="12"/>
      <c r="J9" s="12"/>
      <c r="K9" s="12"/>
      <c r="L9" s="12"/>
      <c r="M9" s="12"/>
      <c r="N9" s="12"/>
      <c r="O9" s="12"/>
      <c r="P9" s="12"/>
      <c r="Q9" s="12"/>
      <c r="R9" s="12"/>
      <c r="S9" s="4"/>
      <c r="T9" s="4"/>
      <c r="U9" s="4"/>
      <c r="V9" s="4"/>
      <c r="W9" s="4"/>
      <c r="X9" s="4"/>
      <c r="Y9" s="4"/>
      <c r="Z9" s="4"/>
    </row>
    <row r="10" spans="1:26" ht="14.25" customHeight="1">
      <c r="A10" s="12"/>
      <c r="B10" s="211" t="s">
        <v>1</v>
      </c>
      <c r="C10" s="81" t="str">
        <f>Ticker&amp;" "&amp;H4&amp;RIGHT(H5,2)&amp;" Operating Results"</f>
        <v>NFLX 4Q26 Operating Results</v>
      </c>
      <c r="D10" s="81"/>
      <c r="E10" s="81"/>
      <c r="F10" s="81"/>
      <c r="G10" s="81"/>
      <c r="H10" s="82" t="str">
        <f>H4&amp;RIGHT(H5,2)&amp;"a"</f>
        <v>4Q26a</v>
      </c>
      <c r="I10" s="82" t="s">
        <v>965</v>
      </c>
      <c r="J10" s="82" t="s">
        <v>966</v>
      </c>
      <c r="K10" s="82" t="str">
        <f>H4&amp;RIGHT(H7,2)&amp;"a"</f>
        <v>4Q25a</v>
      </c>
      <c r="L10" s="82" t="str">
        <f>Last_FQR&amp;RIGHT(H5,2)&amp;"a"</f>
        <v>2Q26a</v>
      </c>
      <c r="M10" s="831" t="str">
        <f t="shared" ref="M10:P10" si="0">"v. "&amp;I10</f>
        <v>v. OFe</v>
      </c>
      <c r="N10" s="82" t="str">
        <f t="shared" si="0"/>
        <v>v. Consensus</v>
      </c>
      <c r="O10" s="82" t="str">
        <f t="shared" si="0"/>
        <v>v. 4Q25a</v>
      </c>
      <c r="P10" s="82" t="str">
        <f t="shared" si="0"/>
        <v>v. 2Q26a</v>
      </c>
      <c r="Q10" s="149"/>
      <c r="R10" s="149"/>
      <c r="S10" s="4"/>
      <c r="T10" s="4"/>
      <c r="U10" s="4"/>
      <c r="V10" s="4"/>
      <c r="W10" s="4"/>
      <c r="X10" s="4"/>
      <c r="Y10" s="4"/>
      <c r="Z10" s="4"/>
    </row>
    <row r="11" spans="1:26" ht="4.5" customHeight="1">
      <c r="A11" s="12"/>
      <c r="B11" s="211"/>
      <c r="C11" s="40"/>
      <c r="D11" s="40"/>
      <c r="E11" s="40"/>
      <c r="F11" s="40"/>
      <c r="G11" s="40"/>
      <c r="H11" s="40"/>
      <c r="I11" s="149"/>
      <c r="J11" s="149"/>
      <c r="K11" s="149"/>
      <c r="L11" s="149"/>
      <c r="M11" s="149"/>
      <c r="N11" s="149"/>
      <c r="O11" s="149"/>
      <c r="P11" s="149"/>
      <c r="Q11" s="149"/>
      <c r="R11" s="149"/>
      <c r="S11" s="4"/>
      <c r="T11" s="4"/>
      <c r="U11" s="4"/>
      <c r="V11" s="4"/>
      <c r="W11" s="4"/>
      <c r="X11" s="4"/>
      <c r="Y11" s="4"/>
      <c r="Z11" s="4"/>
    </row>
    <row r="12" spans="1:26" ht="14.25" customHeight="1">
      <c r="A12" s="12"/>
      <c r="B12" s="12"/>
      <c r="C12" s="12" t="str">
        <f>Model!C28</f>
        <v>Revenue</v>
      </c>
      <c r="D12" s="12"/>
      <c r="E12" s="12"/>
      <c r="F12" s="12"/>
      <c r="G12" s="12"/>
      <c r="H12" s="832">
        <f t="array" ref="H12">INDEX(Data,MATCH($C12,Line_Items,0),MATCH($H$6,Fiscal_Periods,0))</f>
        <v>21772.1</v>
      </c>
      <c r="I12" s="832">
        <f t="array" ref="I12">INDEX(Data,MATCH($C12,Line_Items,0),MATCH($H$6,Fiscal_Periods,0))</f>
        <v>21772.1</v>
      </c>
      <c r="J12" s="833">
        <v>19670.3</v>
      </c>
      <c r="K12" s="832">
        <f t="array" ref="K12">INDEX(Data,MATCH($C12,Line_Items,0),MATCH(LEFT(K$10,4),Fiscal_Periods,0))</f>
        <v>12050.762000000001</v>
      </c>
      <c r="L12" s="832">
        <f t="array" ref="L12">INDEX(Data,MATCH($C12,Line_Items,0),MATCH(LEFT(L$10,4),Fiscal_Periods,0))</f>
        <v>27570</v>
      </c>
      <c r="M12" s="834">
        <f t="shared" ref="M12:N12" si="1">IFERROR($H12/I12-1,"N/A")</f>
        <v>0</v>
      </c>
      <c r="N12" s="540">
        <f t="shared" si="1"/>
        <v>0.10685144608877351</v>
      </c>
      <c r="O12" s="540">
        <f t="shared" ref="O12:P12" si="2">IFERROR($I12/K12-1,"N/A")</f>
        <v>0.80669902865893439</v>
      </c>
      <c r="P12" s="540">
        <f t="shared" si="2"/>
        <v>-0.21029742473703306</v>
      </c>
      <c r="Q12" s="12"/>
      <c r="R12" s="12"/>
      <c r="S12" s="4"/>
      <c r="T12" s="4"/>
      <c r="U12" s="4"/>
      <c r="V12" s="4"/>
      <c r="W12" s="4"/>
      <c r="X12" s="4"/>
      <c r="Y12" s="4"/>
      <c r="Z12" s="4"/>
    </row>
    <row r="13" spans="1:26" ht="14.25" customHeight="1">
      <c r="A13" s="12"/>
      <c r="B13" s="12"/>
      <c r="C13" s="12" t="str">
        <f>Model!C30</f>
        <v>Gross Profit</v>
      </c>
      <c r="D13" s="12"/>
      <c r="E13" s="12"/>
      <c r="F13" s="12"/>
      <c r="G13" s="12"/>
      <c r="H13" s="835">
        <f t="array" ref="H13">INDEX(Data,MATCH($C13,Line_Items,0),MATCH($H$6,Fiscal_Periods,0))</f>
        <v>2830.3729999999996</v>
      </c>
      <c r="I13" s="835">
        <f t="array" ref="I13">INDEX(Data,MATCH($C13,Line_Items,0),MATCH($H$6,Fiscal_Periods,0))</f>
        <v>2830.3729999999996</v>
      </c>
      <c r="J13" s="836">
        <v>3968.1</v>
      </c>
      <c r="K13" s="835">
        <f t="array" ref="K13">INDEX(Data,MATCH($C13,Line_Items,0),MATCH(LEFT(K$10,4),Fiscal_Periods,0))</f>
        <v>5528.1410000000005</v>
      </c>
      <c r="L13" s="835">
        <f t="array" ref="L13">INDEX(Data,MATCH($C13,Line_Items,0),MATCH(LEFT(L$10,4),Fiscal_Periods,0))</f>
        <v>9312</v>
      </c>
      <c r="M13" s="834">
        <f t="shared" ref="M13:P13" si="3">IFERROR($H13/I13-1,"N/A")</f>
        <v>0</v>
      </c>
      <c r="N13" s="540">
        <f t="shared" si="3"/>
        <v>-0.28671832867115254</v>
      </c>
      <c r="O13" s="540">
        <f t="shared" si="3"/>
        <v>-0.48800636597366109</v>
      </c>
      <c r="P13" s="540">
        <f t="shared" si="3"/>
        <v>-0.69605100945017184</v>
      </c>
      <c r="Q13" s="12"/>
      <c r="R13" s="12"/>
      <c r="S13" s="4"/>
      <c r="T13" s="4"/>
      <c r="U13" s="4"/>
      <c r="V13" s="4"/>
      <c r="W13" s="4"/>
      <c r="X13" s="4"/>
      <c r="Y13" s="4"/>
      <c r="Z13" s="4"/>
    </row>
    <row r="14" spans="1:26" ht="14.25" customHeight="1">
      <c r="A14" s="12"/>
      <c r="B14" s="12"/>
      <c r="C14" s="89" t="str">
        <f>Model!C66</f>
        <v>Gross Margin</v>
      </c>
      <c r="D14" s="12"/>
      <c r="E14" s="12"/>
      <c r="F14" s="12"/>
      <c r="G14" s="12"/>
      <c r="H14" s="837">
        <f t="array" ref="H14">INDEX(Data,MATCH($C14,Line_Items,0),MATCH($H$6,Fiscal_Periods,0))</f>
        <v>0.13</v>
      </c>
      <c r="I14" s="837">
        <f t="array" ref="I14">INDEX(Data,MATCH($C14,Line_Items,0),MATCH($H$6,Fiscal_Periods,0))</f>
        <v>0.13</v>
      </c>
      <c r="J14" s="838">
        <v>0.20200000000000001</v>
      </c>
      <c r="K14" s="837">
        <f t="array" ref="K14">INDEX(Data,MATCH($C14,Line_Items,0),MATCH(LEFT(K$10,4),Fiscal_Periods,0))</f>
        <v>0.4587378789822586</v>
      </c>
      <c r="L14" s="837">
        <f t="array" ref="L14">INDEX(Data,MATCH($C14,Line_Items,0),MATCH(LEFT(L$10,4),Fiscal_Periods,0))</f>
        <v>0.33775843307943415</v>
      </c>
      <c r="M14" s="839">
        <f t="shared" ref="M14:P14" si="4">$H14-I14</f>
        <v>0</v>
      </c>
      <c r="N14" s="840">
        <f t="shared" si="4"/>
        <v>-7.2000000000000008E-2</v>
      </c>
      <c r="O14" s="840">
        <f t="shared" si="4"/>
        <v>-0.32873787898225859</v>
      </c>
      <c r="P14" s="840">
        <f t="shared" si="4"/>
        <v>-0.20775843307943415</v>
      </c>
      <c r="Q14" s="12"/>
      <c r="R14" s="12"/>
      <c r="S14" s="4"/>
      <c r="T14" s="4"/>
      <c r="U14" s="4"/>
      <c r="V14" s="4"/>
      <c r="W14" s="4"/>
      <c r="X14" s="4"/>
      <c r="Y14" s="4"/>
      <c r="Z14" s="4"/>
    </row>
    <row r="15" spans="1:26" ht="14.25" customHeight="1">
      <c r="A15" s="12"/>
      <c r="B15" s="12"/>
      <c r="C15" s="12" t="str">
        <f>Model!C61</f>
        <v>EBITDA</v>
      </c>
      <c r="D15" s="12"/>
      <c r="E15" s="12"/>
      <c r="F15" s="12"/>
      <c r="G15" s="12"/>
      <c r="H15" s="835" t="str">
        <f ca="1">INDEX(Data,MATCH($C15,Line_Items,0),MATCH($H$6,Fiscal_Periods,0))</f>
        <v/>
      </c>
      <c r="I15" s="835" t="str">
        <f ca="1">INDEX(Data,MATCH($C15,Line_Items,0),MATCH($H$6,Fiscal_Periods,0))</f>
        <v/>
      </c>
      <c r="J15" s="836">
        <v>2224.4</v>
      </c>
      <c r="K15" s="835">
        <f t="array" ref="K15">INDEX(Data,MATCH($C15,Line_Items,0),MATCH(LEFT(K$10,4),Fiscal_Periods,0))</f>
        <v>3042.6460000000006</v>
      </c>
      <c r="L15" s="835">
        <f t="array" ref="L15">INDEX(Data,MATCH($C15,Line_Items,0),MATCH(LEFT(L$10,4),Fiscal_Periods,0))</f>
        <v>4619</v>
      </c>
      <c r="M15" s="834" t="str">
        <f t="shared" ref="M15:P15" ca="1" si="5">IFERROR($H15/I15-1,"N/A")</f>
        <v>N/A</v>
      </c>
      <c r="N15" s="540" t="str">
        <f t="shared" ca="1" si="5"/>
        <v>N/A</v>
      </c>
      <c r="O15" s="540" t="str">
        <f t="shared" ca="1" si="5"/>
        <v>N/A</v>
      </c>
      <c r="P15" s="540" t="str">
        <f t="shared" ca="1" si="5"/>
        <v>N/A</v>
      </c>
      <c r="Q15" s="12"/>
      <c r="R15" s="12"/>
      <c r="S15" s="4"/>
      <c r="T15" s="4"/>
      <c r="U15" s="4"/>
      <c r="V15" s="4"/>
      <c r="W15" s="4"/>
      <c r="X15" s="4"/>
      <c r="Y15" s="4"/>
      <c r="Z15" s="4"/>
    </row>
    <row r="16" spans="1:26" ht="14.25" customHeight="1">
      <c r="A16" s="12"/>
      <c r="B16" s="12"/>
      <c r="C16" s="89" t="str">
        <f>'Segment Analysis'!C146</f>
        <v>EBITDA Margin</v>
      </c>
      <c r="D16" s="12"/>
      <c r="E16" s="12"/>
      <c r="F16" s="12"/>
      <c r="G16" s="12"/>
      <c r="H16" s="841" t="str">
        <f t="shared" ref="H16:I16" ca="1" si="6">H15/$H$12</f>
        <v/>
      </c>
      <c r="I16" s="841" t="str">
        <f t="shared" ca="1" si="6"/>
        <v>#REF!</v>
      </c>
      <c r="J16" s="838">
        <v>0.113</v>
      </c>
      <c r="K16" s="841">
        <f t="shared" ref="K16:L16" si="7">K15/$H$12</f>
        <v>0.13974977149654838</v>
      </c>
      <c r="L16" s="841">
        <f t="shared" si="7"/>
        <v>0.21215224989780501</v>
      </c>
      <c r="M16" s="839" t="str">
        <f t="shared" ref="M16:P16" ca="1" si="8">$H16-I16</f>
        <v/>
      </c>
      <c r="N16" s="840" t="str">
        <f t="shared" ca="1" si="8"/>
        <v>#REF!</v>
      </c>
      <c r="O16" s="840" t="str">
        <f t="shared" ca="1" si="8"/>
        <v>#REF!</v>
      </c>
      <c r="P16" s="840" t="str">
        <f t="shared" ca="1" si="8"/>
        <v>#REF!</v>
      </c>
      <c r="Q16" s="12"/>
      <c r="R16" s="12"/>
      <c r="S16" s="4"/>
      <c r="T16" s="4"/>
      <c r="U16" s="4"/>
      <c r="V16" s="4"/>
      <c r="W16" s="4"/>
      <c r="X16" s="4"/>
      <c r="Y16" s="4"/>
      <c r="Z16" s="4"/>
    </row>
    <row r="17" spans="1:26" ht="14.25" customHeight="1">
      <c r="A17" s="12"/>
      <c r="B17" s="12"/>
      <c r="C17" s="12" t="str">
        <f>Model!C36</f>
        <v>EBIT</v>
      </c>
      <c r="D17" s="12"/>
      <c r="E17" s="12"/>
      <c r="F17" s="12"/>
      <c r="G17" s="12"/>
      <c r="H17" s="835">
        <f t="array" ref="H17">INDEX(Data,MATCH($C17,Line_Items,0),MATCH($H$6,Fiscal_Periods,0))</f>
        <v>-2290.6765000000005</v>
      </c>
      <c r="I17" s="835">
        <f t="array" ref="I17">INDEX(Data,MATCH($C17,Line_Items,0),MATCH($H$6,Fiscal_Periods,0))</f>
        <v>-2290.6765000000005</v>
      </c>
      <c r="J17" s="836">
        <v>1952.8</v>
      </c>
      <c r="K17" s="835">
        <f t="array" ref="K17">INDEX(Data,MATCH($C17,Line_Items,0),MATCH(LEFT(K$10,4),Fiscal_Periods,0))</f>
        <v>2956.663</v>
      </c>
      <c r="L17" s="835">
        <f t="array" ref="L17">INDEX(Data,MATCH($C17,Line_Items,0),MATCH(LEFT(L$10,4),Fiscal_Periods,0))</f>
        <v>4210</v>
      </c>
      <c r="M17" s="834">
        <f t="shared" ref="M17:P17" si="9">IFERROR($H17/I17-1,"N/A")</f>
        <v>0</v>
      </c>
      <c r="N17" s="540">
        <f t="shared" si="9"/>
        <v>-2.1730215587873825</v>
      </c>
      <c r="O17" s="540">
        <f t="shared" si="9"/>
        <v>-1.7747506225768714</v>
      </c>
      <c r="P17" s="540">
        <f t="shared" si="9"/>
        <v>-1.5441036817102138</v>
      </c>
      <c r="Q17" s="12"/>
      <c r="R17" s="12"/>
      <c r="S17" s="4"/>
      <c r="T17" s="4"/>
      <c r="U17" s="4"/>
      <c r="V17" s="4"/>
      <c r="W17" s="4"/>
      <c r="X17" s="4"/>
      <c r="Y17" s="4"/>
      <c r="Z17" s="4"/>
    </row>
    <row r="18" spans="1:26" ht="14.25" customHeight="1">
      <c r="A18" s="12"/>
      <c r="B18" s="12"/>
      <c r="C18" s="89" t="str">
        <f>'Segment Analysis'!C154</f>
        <v>EBIT Margin</v>
      </c>
      <c r="D18" s="12"/>
      <c r="E18" s="12"/>
      <c r="F18" s="12"/>
      <c r="G18" s="12"/>
      <c r="H18" s="841">
        <f t="shared" ref="H18:I18" si="10">H17/$H$12</f>
        <v>-0.10521155515545128</v>
      </c>
      <c r="I18" s="841">
        <f t="shared" si="10"/>
        <v>-0.10521155515545128</v>
      </c>
      <c r="J18" s="838">
        <v>9.9000000000000005E-2</v>
      </c>
      <c r="K18" s="841">
        <f t="shared" ref="K18:L18" si="11">K17/$H$12</f>
        <v>0.13580054289664295</v>
      </c>
      <c r="L18" s="841">
        <f t="shared" si="11"/>
        <v>0.19336674000211282</v>
      </c>
      <c r="M18" s="839">
        <f t="shared" ref="M18:P18" si="12">$H18-I18</f>
        <v>0</v>
      </c>
      <c r="N18" s="840">
        <f t="shared" si="12"/>
        <v>-0.20421155515545128</v>
      </c>
      <c r="O18" s="840">
        <f t="shared" si="12"/>
        <v>-0.24101209805209423</v>
      </c>
      <c r="P18" s="840">
        <f t="shared" si="12"/>
        <v>-0.29857829515756407</v>
      </c>
      <c r="Q18" s="12"/>
      <c r="R18" s="12"/>
      <c r="S18" s="4"/>
      <c r="T18" s="4"/>
      <c r="U18" s="4"/>
      <c r="V18" s="4"/>
      <c r="W18" s="4"/>
      <c r="X18" s="4"/>
      <c r="Y18" s="4"/>
      <c r="Z18" s="4"/>
    </row>
    <row r="19" spans="1:26" ht="14.25" customHeight="1">
      <c r="A19" s="12"/>
      <c r="B19" s="12"/>
      <c r="C19" s="12" t="str">
        <f>Model!C45</f>
        <v>Net Income (Loss)</v>
      </c>
      <c r="D19" s="12"/>
      <c r="E19" s="12"/>
      <c r="F19" s="12"/>
      <c r="G19" s="12"/>
      <c r="H19" s="835" t="str">
        <f ca="1">INDEX(Data,MATCH($C19,Line_Items,0),MATCH($H$6,Fiscal_Periods,0))</f>
        <v/>
      </c>
      <c r="I19" s="835" t="str">
        <f ca="1">INDEX(Data,MATCH($C19,Line_Items,0),MATCH($H$6,Fiscal_Periods,0))</f>
        <v/>
      </c>
      <c r="J19" s="836">
        <v>1379.1</v>
      </c>
      <c r="K19" s="835">
        <f t="array" ref="K19">INDEX(Data,MATCH($C19,Line_Items,0),MATCH(LEFT(K$10,4),Fiscal_Periods,0))</f>
        <v>2418.5210000000006</v>
      </c>
      <c r="L19" s="835">
        <f t="array" ref="L19">INDEX(Data,MATCH($C19,Line_Items,0),MATCH(LEFT(L$10,4),Fiscal_Periods,0))</f>
        <v>3018</v>
      </c>
      <c r="M19" s="834" t="str">
        <f t="shared" ref="M19:P19" ca="1" si="13">IFERROR($H19/I19-1,"N/A")</f>
        <v>N/A</v>
      </c>
      <c r="N19" s="540" t="str">
        <f t="shared" ca="1" si="13"/>
        <v>N/A</v>
      </c>
      <c r="O19" s="540" t="str">
        <f t="shared" ca="1" si="13"/>
        <v>N/A</v>
      </c>
      <c r="P19" s="540" t="str">
        <f t="shared" ca="1" si="13"/>
        <v>N/A</v>
      </c>
      <c r="Q19" s="12"/>
      <c r="R19" s="12"/>
      <c r="S19" s="4"/>
      <c r="T19" s="4"/>
      <c r="U19" s="4"/>
      <c r="V19" s="4"/>
      <c r="W19" s="4"/>
      <c r="X19" s="4"/>
      <c r="Y19" s="4"/>
      <c r="Z19" s="4"/>
    </row>
    <row r="20" spans="1:26" ht="14.25" customHeight="1">
      <c r="A20" s="12"/>
      <c r="B20" s="12"/>
      <c r="C20" s="89" t="s">
        <v>494</v>
      </c>
      <c r="D20" s="12"/>
      <c r="E20" s="12"/>
      <c r="F20" s="12"/>
      <c r="G20" s="12"/>
      <c r="H20" s="837" t="str">
        <f t="shared" ref="H20:I20" ca="1" si="14">H19/H12</f>
        <v/>
      </c>
      <c r="I20" s="837" t="str">
        <f t="shared" ca="1" si="14"/>
        <v>#REF!</v>
      </c>
      <c r="J20" s="838">
        <v>7.0000000000000007E-2</v>
      </c>
      <c r="K20" s="837">
        <f t="shared" ref="K20:L20" si="15">K19/K12</f>
        <v>0.20069444571222969</v>
      </c>
      <c r="L20" s="837">
        <f t="shared" si="15"/>
        <v>0.10946681175190424</v>
      </c>
      <c r="M20" s="839" t="str">
        <f t="shared" ref="M20:P20" ca="1" si="16">$H20-I20</f>
        <v/>
      </c>
      <c r="N20" s="840" t="str">
        <f t="shared" ca="1" si="16"/>
        <v>#REF!</v>
      </c>
      <c r="O20" s="840" t="str">
        <f t="shared" ca="1" si="16"/>
        <v>#REF!</v>
      </c>
      <c r="P20" s="840" t="str">
        <f t="shared" ca="1" si="16"/>
        <v>#REF!</v>
      </c>
      <c r="Q20" s="12"/>
      <c r="R20" s="12"/>
      <c r="S20" s="4"/>
      <c r="T20" s="4"/>
      <c r="U20" s="4"/>
      <c r="V20" s="4"/>
      <c r="W20" s="4"/>
      <c r="X20" s="4"/>
      <c r="Y20" s="4"/>
      <c r="Z20" s="4"/>
    </row>
    <row r="21" spans="1:26" ht="14.25" customHeight="1">
      <c r="A21" s="12"/>
      <c r="B21" s="12"/>
      <c r="C21" s="12" t="str">
        <f>Model!C57</f>
        <v>Adj. EPS (Diluted)</v>
      </c>
      <c r="D21" s="12"/>
      <c r="E21" s="12"/>
      <c r="F21" s="12"/>
      <c r="G21" s="12"/>
      <c r="H21" s="842" t="str">
        <f ca="1">INDEX(Data,MATCH($C21,Line_Items,0),MATCH($H$6,Fiscal_Periods,0))</f>
        <v/>
      </c>
      <c r="I21" s="842" t="str">
        <f ca="1">INDEX(Data,MATCH($C21,Line_Items,0),MATCH($H$6,Fiscal_Periods,0))</f>
        <v/>
      </c>
      <c r="J21" s="843">
        <v>2.15</v>
      </c>
      <c r="K21" s="842">
        <f t="array" ref="K21">INDEX(Data,MATCH($C21,Line_Items,0),MATCH(LEFT(K$10,4),Fiscal_Periods,0))</f>
        <v>3.2246946666666676</v>
      </c>
      <c r="L21" s="842">
        <f t="array" ref="L21">INDEX(Data,MATCH($C21,Line_Items,0),MATCH(LEFT(L$10,4),Fiscal_Periods,0))</f>
        <v>4.2687411598302685</v>
      </c>
      <c r="M21" s="834" t="str">
        <f t="shared" ref="M21:P21" ca="1" si="17">IFERROR($H21/I21-1,"N/A")</f>
        <v>N/A</v>
      </c>
      <c r="N21" s="540" t="str">
        <f t="shared" ca="1" si="17"/>
        <v>N/A</v>
      </c>
      <c r="O21" s="540" t="str">
        <f t="shared" ca="1" si="17"/>
        <v>N/A</v>
      </c>
      <c r="P21" s="540" t="str">
        <f t="shared" ca="1" si="17"/>
        <v>N/A</v>
      </c>
      <c r="Q21" s="12"/>
      <c r="R21" s="12"/>
      <c r="S21" s="4"/>
      <c r="T21" s="4"/>
      <c r="U21" s="4"/>
      <c r="V21" s="4"/>
      <c r="W21" s="4"/>
      <c r="X21" s="4"/>
      <c r="Y21" s="4"/>
      <c r="Z21" s="4"/>
    </row>
    <row r="22" spans="1:26" ht="14.25" customHeight="1">
      <c r="A22" s="12"/>
      <c r="B22" s="12"/>
      <c r="C22" s="12"/>
      <c r="D22" s="12"/>
      <c r="E22" s="12"/>
      <c r="F22" s="12"/>
      <c r="G22" s="12"/>
      <c r="H22" s="69"/>
      <c r="I22" s="69"/>
      <c r="J22" s="69"/>
      <c r="K22" s="69"/>
      <c r="L22" s="69"/>
      <c r="M22" s="69"/>
      <c r="N22" s="69"/>
      <c r="O22" s="69"/>
      <c r="P22" s="69"/>
      <c r="Q22" s="12"/>
      <c r="R22" s="12"/>
      <c r="S22" s="4"/>
      <c r="T22" s="4"/>
      <c r="U22" s="4"/>
      <c r="V22" s="4"/>
      <c r="W22" s="4"/>
      <c r="X22" s="4"/>
      <c r="Y22" s="4"/>
      <c r="Z22" s="4"/>
    </row>
    <row r="23" spans="1:26" ht="14.25" customHeight="1">
      <c r="A23" s="12"/>
      <c r="B23" s="12"/>
      <c r="C23" s="12"/>
      <c r="D23" s="12"/>
      <c r="E23" s="12"/>
      <c r="F23" s="12"/>
      <c r="G23" s="12"/>
      <c r="H23" s="69"/>
      <c r="I23" s="69"/>
      <c r="J23" s="69"/>
      <c r="K23" s="69"/>
      <c r="L23" s="69"/>
      <c r="M23" s="69"/>
      <c r="N23" s="69"/>
      <c r="O23" s="69"/>
      <c r="P23" s="69"/>
      <c r="Q23" s="12"/>
      <c r="R23" s="12"/>
      <c r="S23" s="4"/>
      <c r="T23" s="4"/>
      <c r="U23" s="4"/>
      <c r="V23" s="4"/>
      <c r="W23" s="4"/>
      <c r="X23" s="4"/>
      <c r="Y23" s="4"/>
      <c r="Z23" s="4"/>
    </row>
    <row r="24" spans="1:26" ht="14.25" customHeight="1">
      <c r="A24" s="12"/>
      <c r="B24" s="211" t="s">
        <v>1</v>
      </c>
      <c r="C24" s="81" t="str">
        <f>Ticker&amp;" "&amp;H4&amp;RIGHT(H5,2)&amp;" Segment Results"</f>
        <v>NFLX 4Q26 Segment Results</v>
      </c>
      <c r="D24" s="81"/>
      <c r="E24" s="81"/>
      <c r="F24" s="81"/>
      <c r="G24" s="81"/>
      <c r="H24" s="82" t="str">
        <f t="shared" ref="H24:P24" si="18">H10</f>
        <v>4Q26a</v>
      </c>
      <c r="I24" s="82" t="str">
        <f t="shared" si="18"/>
        <v>OFe</v>
      </c>
      <c r="J24" s="82" t="str">
        <f t="shared" si="18"/>
        <v>Consensus</v>
      </c>
      <c r="K24" s="82" t="str">
        <f t="shared" si="18"/>
        <v>4Q25a</v>
      </c>
      <c r="L24" s="82" t="str">
        <f t="shared" si="18"/>
        <v>2Q26a</v>
      </c>
      <c r="M24" s="831" t="str">
        <f t="shared" si="18"/>
        <v>v. OFe</v>
      </c>
      <c r="N24" s="82" t="str">
        <f t="shared" si="18"/>
        <v>v. Consensus</v>
      </c>
      <c r="O24" s="82" t="str">
        <f t="shared" si="18"/>
        <v>v. 4Q25a</v>
      </c>
      <c r="P24" s="82" t="str">
        <f t="shared" si="18"/>
        <v>v. 2Q26a</v>
      </c>
      <c r="Q24" s="12"/>
      <c r="R24" s="12"/>
      <c r="S24" s="4"/>
      <c r="T24" s="4"/>
      <c r="U24" s="4"/>
      <c r="V24" s="4"/>
      <c r="W24" s="4"/>
      <c r="X24" s="4"/>
      <c r="Y24" s="4"/>
      <c r="Z24" s="4"/>
    </row>
    <row r="25" spans="1:26" ht="4.5" customHeight="1">
      <c r="A25" s="12"/>
      <c r="B25" s="211"/>
      <c r="C25" s="12"/>
      <c r="D25" s="12"/>
      <c r="E25" s="12"/>
      <c r="F25" s="12"/>
      <c r="G25" s="12"/>
      <c r="H25" s="69"/>
      <c r="I25" s="69"/>
      <c r="J25" s="69"/>
      <c r="K25" s="69"/>
      <c r="L25" s="69"/>
      <c r="M25" s="69"/>
      <c r="N25" s="69"/>
      <c r="O25" s="69"/>
      <c r="P25" s="69"/>
      <c r="Q25" s="12"/>
      <c r="R25" s="12"/>
      <c r="S25" s="4"/>
      <c r="T25" s="4"/>
      <c r="U25" s="4"/>
      <c r="V25" s="4"/>
      <c r="W25" s="4"/>
      <c r="X25" s="4"/>
      <c r="Y25" s="4"/>
      <c r="Z25" s="4"/>
    </row>
    <row r="26" spans="1:26" ht="14.25" customHeight="1">
      <c r="A26" s="12"/>
      <c r="B26" s="12"/>
      <c r="C26" s="12" t="str">
        <f>'Segment Analysis'!C8</f>
        <v>Home Improvement Retail Revenue</v>
      </c>
      <c r="D26" s="12"/>
      <c r="E26" s="12"/>
      <c r="F26" s="12"/>
      <c r="G26" s="12"/>
      <c r="H26" s="832" t="e">
        <f t="array" ref="H26">INDEX(Data,MATCH($C26,Line_Items,0),MATCH($H$6,Fiscal_Periods,0))</f>
        <v>#N/A</v>
      </c>
      <c r="I26" s="832" t="e">
        <f t="array" ref="I26">INDEX(Data,MATCH($C26,Line_Items,0),MATCH($H$6,Fiscal_Periods,0))</f>
        <v>#N/A</v>
      </c>
      <c r="J26" s="833">
        <v>6520.1</v>
      </c>
      <c r="K26" s="832" t="e">
        <f t="array" ref="K26">INDEX(Data,MATCH($C26,Line_Items,0),MATCH(LEFT(K$24,4),Fiscal_Periods,0))</f>
        <v>#N/A</v>
      </c>
      <c r="L26" s="832" t="e">
        <f t="array" ref="L26">INDEX(Data,MATCH($C26,Line_Items,0),MATCH(LEFT(L$24,4),Fiscal_Periods,0))</f>
        <v>#N/A</v>
      </c>
      <c r="M26" s="834" t="str">
        <f t="shared" ref="M26:N26" si="19">IFERROR($H26/I26-1,"N/A")</f>
        <v>N/A</v>
      </c>
      <c r="N26" s="540" t="str">
        <f t="shared" si="19"/>
        <v>N/A</v>
      </c>
      <c r="O26" s="540" t="str">
        <f t="shared" ref="O26:P26" si="20">IFERROR($I26/K26-1,"N/A")</f>
        <v>N/A</v>
      </c>
      <c r="P26" s="540" t="str">
        <f t="shared" si="20"/>
        <v>N/A</v>
      </c>
      <c r="Q26" s="12"/>
      <c r="R26" s="12"/>
      <c r="S26" s="4"/>
      <c r="T26" s="4"/>
      <c r="U26" s="4"/>
      <c r="V26" s="4"/>
      <c r="W26" s="4"/>
      <c r="X26" s="4"/>
      <c r="Y26" s="4"/>
      <c r="Z26" s="4"/>
    </row>
    <row r="27" spans="1:26" ht="14.25" customHeight="1">
      <c r="A27" s="12"/>
      <c r="B27" s="12"/>
      <c r="C27" s="12" t="str">
        <f>'Segment Analysis'!C9</f>
        <v>Segment 2 Revenue</v>
      </c>
      <c r="D27" s="12"/>
      <c r="E27" s="12"/>
      <c r="F27" s="12"/>
      <c r="G27" s="12"/>
      <c r="H27" s="835" t="e">
        <f t="array" ref="H27">INDEX(Data,MATCH($C27,Line_Items,0),MATCH($H$6,Fiscal_Periods,0))</f>
        <v>#N/A</v>
      </c>
      <c r="I27" s="835" t="e">
        <f t="array" ref="I27">INDEX(Data,MATCH($C27,Line_Items,0),MATCH($H$6,Fiscal_Periods,0))</f>
        <v>#N/A</v>
      </c>
      <c r="J27" s="836">
        <v>11000.3</v>
      </c>
      <c r="K27" s="835" t="e">
        <f t="array" ref="K27">INDEX(Data,MATCH($C27,Line_Items,0),MATCH(LEFT(K$24,4),Fiscal_Periods,0))</f>
        <v>#N/A</v>
      </c>
      <c r="L27" s="835" t="e">
        <f t="array" ref="L27">INDEX(Data,MATCH($C27,Line_Items,0),MATCH(LEFT(L$24,4),Fiscal_Periods,0))</f>
        <v>#N/A</v>
      </c>
      <c r="M27" s="834" t="str">
        <f t="shared" ref="M27:N27" si="21">IFERROR($H27/I27-1,"N/A")</f>
        <v>N/A</v>
      </c>
      <c r="N27" s="540" t="str">
        <f t="shared" si="21"/>
        <v>N/A</v>
      </c>
      <c r="O27" s="540" t="str">
        <f t="shared" ref="O27:P27" si="22">IFERROR($I27/K27-1,"N/A")</f>
        <v>N/A</v>
      </c>
      <c r="P27" s="540" t="str">
        <f t="shared" si="22"/>
        <v>N/A</v>
      </c>
      <c r="Q27" s="12"/>
      <c r="R27" s="12"/>
      <c r="S27" s="4"/>
      <c r="T27" s="4"/>
      <c r="U27" s="4"/>
      <c r="V27" s="4"/>
      <c r="W27" s="4"/>
      <c r="X27" s="4"/>
      <c r="Y27" s="4"/>
      <c r="Z27" s="4"/>
    </row>
    <row r="28" spans="1:26" ht="14.25" customHeight="1">
      <c r="A28" s="12"/>
      <c r="B28" s="12"/>
      <c r="C28" s="12" t="str">
        <f>'Segment Analysis'!C10</f>
        <v>Segment 3 Revenue</v>
      </c>
      <c r="D28" s="12"/>
      <c r="E28" s="12"/>
      <c r="F28" s="12"/>
      <c r="G28" s="12"/>
      <c r="H28" s="835" t="e">
        <f t="array" ref="H28">INDEX(Data,MATCH($C28,Line_Items,0),MATCH($H$6,Fiscal_Periods,0))</f>
        <v>#N/A</v>
      </c>
      <c r="I28" s="835" t="e">
        <f t="array" ref="I28">INDEX(Data,MATCH($C28,Line_Items,0),MATCH($H$6,Fiscal_Periods,0))</f>
        <v>#N/A</v>
      </c>
      <c r="J28" s="836">
        <v>75</v>
      </c>
      <c r="K28" s="835" t="e">
        <f t="array" ref="K28">INDEX(Data,MATCH($C28,Line_Items,0),MATCH(LEFT(K$24,4),Fiscal_Periods,0))</f>
        <v>#N/A</v>
      </c>
      <c r="L28" s="835" t="e">
        <f t="array" ref="L28">INDEX(Data,MATCH($C28,Line_Items,0),MATCH(LEFT(L$24,4),Fiscal_Periods,0))</f>
        <v>#N/A</v>
      </c>
      <c r="M28" s="834" t="str">
        <f t="shared" ref="M28:N28" si="23">IFERROR($H28/I28-1,"N/A")</f>
        <v>N/A</v>
      </c>
      <c r="N28" s="540" t="str">
        <f t="shared" si="23"/>
        <v>N/A</v>
      </c>
      <c r="O28" s="540" t="str">
        <f t="shared" ref="O28:P28" si="24">IFERROR($I28/K28-1,"N/A")</f>
        <v>N/A</v>
      </c>
      <c r="P28" s="540" t="str">
        <f t="shared" si="24"/>
        <v>N/A</v>
      </c>
      <c r="Q28" s="12"/>
      <c r="R28" s="12"/>
      <c r="S28" s="4"/>
      <c r="T28" s="4"/>
      <c r="U28" s="4"/>
      <c r="V28" s="4"/>
      <c r="W28" s="4"/>
      <c r="X28" s="4"/>
      <c r="Y28" s="4"/>
      <c r="Z28" s="4"/>
    </row>
    <row r="29" spans="1:26" ht="14.25" customHeight="1">
      <c r="A29" s="12"/>
      <c r="B29" s="12"/>
      <c r="C29" s="12" t="str">
        <f>'Segment Analysis'!C11</f>
        <v>Segment 4 Revenue</v>
      </c>
      <c r="D29" s="12"/>
      <c r="E29" s="12"/>
      <c r="F29" s="12"/>
      <c r="G29" s="12"/>
      <c r="H29" s="835" t="e">
        <f t="array" ref="H29">INDEX(Data,MATCH($C29,Line_Items,0),MATCH($H$6,Fiscal_Periods,0))</f>
        <v>#N/A</v>
      </c>
      <c r="I29" s="835" t="e">
        <f t="array" ref="I29">INDEX(Data,MATCH($C29,Line_Items,0),MATCH($H$6,Fiscal_Periods,0))</f>
        <v>#N/A</v>
      </c>
      <c r="J29" s="836">
        <v>-200</v>
      </c>
      <c r="K29" s="835" t="e">
        <f t="array" ref="K29">INDEX(Data,MATCH($C29,Line_Items,0),MATCH(LEFT(K$24,4),Fiscal_Periods,0))</f>
        <v>#N/A</v>
      </c>
      <c r="L29" s="835" t="e">
        <f t="array" ref="L29">INDEX(Data,MATCH($C29,Line_Items,0),MATCH(LEFT(L$24,4),Fiscal_Periods,0))</f>
        <v>#N/A</v>
      </c>
      <c r="M29" s="834" t="str">
        <f t="shared" ref="M29:N29" si="25">IFERROR($H29/I29-1,"N/A")</f>
        <v>N/A</v>
      </c>
      <c r="N29" s="540" t="str">
        <f t="shared" si="25"/>
        <v>N/A</v>
      </c>
      <c r="O29" s="540" t="str">
        <f t="shared" ref="O29:P29" si="26">IFERROR($I29/K29-1,"N/A")</f>
        <v>N/A</v>
      </c>
      <c r="P29" s="540" t="str">
        <f t="shared" si="26"/>
        <v>N/A</v>
      </c>
      <c r="Q29" s="12"/>
      <c r="R29" s="12"/>
      <c r="S29" s="4"/>
      <c r="T29" s="4"/>
      <c r="U29" s="4"/>
      <c r="V29" s="4"/>
      <c r="W29" s="4"/>
      <c r="X29" s="4"/>
      <c r="Y29" s="4"/>
      <c r="Z29" s="4"/>
    </row>
    <row r="30" spans="1:26" ht="14.25" customHeight="1">
      <c r="A30" s="12"/>
      <c r="B30" s="12"/>
      <c r="C30" s="535" t="str">
        <f>'Segment Analysis'!C12</f>
        <v>Segment 5 Revenue</v>
      </c>
      <c r="D30" s="535"/>
      <c r="E30" s="535"/>
      <c r="F30" s="535"/>
      <c r="G30" s="535"/>
      <c r="H30" s="844" t="e">
        <f t="array" ref="H30">INDEX(Data,MATCH($C30,Line_Items,0),MATCH($H$6,Fiscal_Periods,0))</f>
        <v>#N/A</v>
      </c>
      <c r="I30" s="844" t="e">
        <f t="array" ref="I30">INDEX(Data,MATCH($C30,Line_Items,0),MATCH($H$6,Fiscal_Periods,0))</f>
        <v>#N/A</v>
      </c>
      <c r="J30" s="845">
        <v>5000</v>
      </c>
      <c r="K30" s="844" t="e">
        <f t="array" ref="K30">INDEX(Data,MATCH($C30,Line_Items,0),MATCH(LEFT(K$24,4),Fiscal_Periods,0))</f>
        <v>#N/A</v>
      </c>
      <c r="L30" s="844" t="e">
        <f t="array" ref="L30">INDEX(Data,MATCH($C30,Line_Items,0),MATCH(LEFT(L$24,4),Fiscal_Periods,0))</f>
        <v>#N/A</v>
      </c>
      <c r="M30" s="846" t="str">
        <f t="shared" ref="M30:N30" si="27">IFERROR($H30/I30-1,"N/A")</f>
        <v>N/A</v>
      </c>
      <c r="N30" s="536" t="str">
        <f t="shared" si="27"/>
        <v>N/A</v>
      </c>
      <c r="O30" s="536" t="str">
        <f t="shared" ref="O30:P30" si="28">IFERROR($I30/K30-1,"N/A")</f>
        <v>N/A</v>
      </c>
      <c r="P30" s="536" t="str">
        <f t="shared" si="28"/>
        <v>N/A</v>
      </c>
      <c r="Q30" s="12"/>
      <c r="R30" s="12"/>
      <c r="S30" s="4"/>
      <c r="T30" s="4"/>
      <c r="U30" s="4"/>
      <c r="V30" s="4"/>
      <c r="W30" s="4"/>
      <c r="X30" s="4"/>
      <c r="Y30" s="4"/>
      <c r="Z30" s="4"/>
    </row>
    <row r="31" spans="1:26" ht="14.25" hidden="1" customHeight="1" outlineLevel="1" collapsed="1">
      <c r="A31" s="12"/>
      <c r="B31" s="12"/>
      <c r="C31" s="535" t="str">
        <f>'Segment Analysis'!C13</f>
        <v>Segment 6 Revenue</v>
      </c>
      <c r="D31" s="535"/>
      <c r="E31" s="535"/>
      <c r="F31" s="535"/>
      <c r="G31" s="535"/>
      <c r="H31" s="847" t="e">
        <f t="array" ref="H31">INDEX(Data,MATCH($C31,Line_Items,0),MATCH($H$6,Fiscal_Periods,0))</f>
        <v>#N/A</v>
      </c>
      <c r="I31" s="847" t="e">
        <f t="array" ref="I31">INDEX(Data,MATCH($C31,Line_Items,0),MATCH($H$6,Fiscal_Periods,0))</f>
        <v>#N/A</v>
      </c>
      <c r="J31" s="848" t="e">
        <f t="array" ref="J31">INDEX(Data,MATCH($C31,Line_Items,0),MATCH($H$6,Fiscal_Periods,0))</f>
        <v>#N/A</v>
      </c>
      <c r="K31" s="847" t="e">
        <f t="array" ref="K31">INDEX(Data,MATCH($C31,Line_Items,0),MATCH(LEFT(K$24,4),Fiscal_Periods,0))</f>
        <v>#N/A</v>
      </c>
      <c r="L31" s="847" t="e">
        <f t="array" ref="L31">INDEX(Data,MATCH($C31,Line_Items,0),MATCH(LEFT(L$24,4),Fiscal_Periods,0))</f>
        <v>#N/A</v>
      </c>
      <c r="M31" s="850" t="str">
        <f t="shared" ref="M31:N31" si="29">IFERROR($H31/I31-1,"N/A")</f>
        <v>N/A</v>
      </c>
      <c r="N31" s="851" t="str">
        <f t="shared" si="29"/>
        <v>N/A</v>
      </c>
      <c r="O31" s="851" t="str">
        <f t="shared" ref="O31:P31" si="30">IFERROR($I31/K31-1,"N/A")</f>
        <v>N/A</v>
      </c>
      <c r="P31" s="851" t="str">
        <f t="shared" si="30"/>
        <v>N/A</v>
      </c>
      <c r="Q31" s="12"/>
      <c r="R31" s="12"/>
      <c r="S31" s="4"/>
      <c r="T31" s="4"/>
      <c r="U31" s="4"/>
      <c r="V31" s="4"/>
      <c r="W31" s="4"/>
      <c r="X31" s="4"/>
      <c r="Y31" s="4"/>
      <c r="Z31" s="4"/>
    </row>
    <row r="32" spans="1:26" ht="14.25" customHeight="1">
      <c r="A32" s="12"/>
      <c r="B32" s="12"/>
      <c r="C32" s="12" t="e">
        <f>'Segment Analysis'!#REF!</f>
        <v>#REF!</v>
      </c>
      <c r="D32" s="12"/>
      <c r="E32" s="12"/>
      <c r="F32" s="12"/>
      <c r="G32" s="12"/>
      <c r="H32" s="832" t="e">
        <f t="array" ref="H32">INDEX(Data,MATCH($C32,Line_Items,0),MATCH($H$6,Fiscal_Periods,0))</f>
        <v>#REF!</v>
      </c>
      <c r="I32" s="832" t="e">
        <f t="array" ref="I32">INDEX(Data,MATCH($C32,Line_Items,0),MATCH($H$6,Fiscal_Periods,0))</f>
        <v>#REF!</v>
      </c>
      <c r="J32" s="833">
        <v>820</v>
      </c>
      <c r="K32" s="832" t="e">
        <f t="array" ref="K32">INDEX(Data,MATCH($C32,Line_Items,0),MATCH(LEFT(K$24,4),Fiscal_Periods,0))</f>
        <v>#REF!</v>
      </c>
      <c r="L32" s="832" t="e">
        <f t="array" ref="L32">INDEX(Data,MATCH($C32,Line_Items,0),MATCH(LEFT(L$24,4),Fiscal_Periods,0))</f>
        <v>#REF!</v>
      </c>
      <c r="M32" s="834" t="str">
        <f t="shared" ref="M32:N32" si="31">IFERROR($H32/I32-1,"N/A")</f>
        <v>N/A</v>
      </c>
      <c r="N32" s="540" t="str">
        <f t="shared" si="31"/>
        <v>N/A</v>
      </c>
      <c r="O32" s="540" t="str">
        <f t="shared" ref="O32:P32" si="32">IFERROR($I32/K32-1,"N/A")</f>
        <v>N/A</v>
      </c>
      <c r="P32" s="540" t="str">
        <f t="shared" si="32"/>
        <v>N/A</v>
      </c>
      <c r="Q32" s="12"/>
      <c r="R32" s="12"/>
      <c r="S32" s="4"/>
      <c r="T32" s="4"/>
      <c r="U32" s="4"/>
      <c r="V32" s="4"/>
      <c r="W32" s="4"/>
      <c r="X32" s="4"/>
      <c r="Y32" s="4"/>
      <c r="Z32" s="4"/>
    </row>
    <row r="33" spans="1:26" ht="14.25" customHeight="1">
      <c r="A33" s="12"/>
      <c r="B33" s="12"/>
      <c r="C33" s="12" t="e">
        <f>'Segment Analysis'!#REF!</f>
        <v>#REF!</v>
      </c>
      <c r="D33" s="12"/>
      <c r="E33" s="12"/>
      <c r="F33" s="12"/>
      <c r="G33" s="12"/>
      <c r="H33" s="835" t="e">
        <f t="array" ref="H33">INDEX(Data,MATCH($C33,Line_Items,0),MATCH($H$6,Fiscal_Periods,0))</f>
        <v>#REF!</v>
      </c>
      <c r="I33" s="835" t="e">
        <f t="array" ref="I33">INDEX(Data,MATCH($C33,Line_Items,0),MATCH($H$6,Fiscal_Periods,0))</f>
        <v>#REF!</v>
      </c>
      <c r="J33" s="836">
        <v>1400</v>
      </c>
      <c r="K33" s="835" t="e">
        <f t="array" ref="K33">INDEX(Data,MATCH($C33,Line_Items,0),MATCH(LEFT(K$24,4),Fiscal_Periods,0))</f>
        <v>#REF!</v>
      </c>
      <c r="L33" s="835" t="e">
        <f t="array" ref="L33">INDEX(Data,MATCH($C33,Line_Items,0),MATCH(LEFT(L$24,4),Fiscal_Periods,0))</f>
        <v>#REF!</v>
      </c>
      <c r="M33" s="834" t="str">
        <f t="shared" ref="M33:N33" si="33">IFERROR($H33/I33-1,"N/A")</f>
        <v>N/A</v>
      </c>
      <c r="N33" s="540" t="str">
        <f t="shared" si="33"/>
        <v>N/A</v>
      </c>
      <c r="O33" s="540" t="str">
        <f t="shared" ref="O33:P33" si="34">IFERROR($I33/K33-1,"N/A")</f>
        <v>N/A</v>
      </c>
      <c r="P33" s="540" t="str">
        <f t="shared" si="34"/>
        <v>N/A</v>
      </c>
      <c r="Q33" s="12"/>
      <c r="R33" s="12"/>
      <c r="S33" s="4"/>
      <c r="T33" s="4"/>
      <c r="U33" s="4"/>
      <c r="V33" s="4"/>
      <c r="W33" s="4"/>
      <c r="X33" s="4"/>
      <c r="Y33" s="4"/>
      <c r="Z33" s="4"/>
    </row>
    <row r="34" spans="1:26" ht="14.25" customHeight="1">
      <c r="A34" s="12"/>
      <c r="B34" s="12"/>
      <c r="C34" s="12" t="e">
        <f>'Segment Analysis'!#REF!</f>
        <v>#REF!</v>
      </c>
      <c r="D34" s="12"/>
      <c r="E34" s="12"/>
      <c r="F34" s="12"/>
      <c r="G34" s="12"/>
      <c r="H34" s="835" t="e">
        <f t="array" ref="H34">INDEX(Data,MATCH($C34,Line_Items,0),MATCH($H$6,Fiscal_Periods,0))</f>
        <v>#REF!</v>
      </c>
      <c r="I34" s="835" t="e">
        <f t="array" ref="I34">INDEX(Data,MATCH($C34,Line_Items,0),MATCH($H$6,Fiscal_Periods,0))</f>
        <v>#REF!</v>
      </c>
      <c r="J34" s="836">
        <v>10</v>
      </c>
      <c r="K34" s="835" t="e">
        <f t="array" ref="K34">INDEX(Data,MATCH($C34,Line_Items,0),MATCH(LEFT(K$24,4),Fiscal_Periods,0))</f>
        <v>#REF!</v>
      </c>
      <c r="L34" s="835" t="e">
        <f t="array" ref="L34">INDEX(Data,MATCH($C34,Line_Items,0),MATCH(LEFT(L$24,4),Fiscal_Periods,0))</f>
        <v>#REF!</v>
      </c>
      <c r="M34" s="834" t="str">
        <f t="shared" ref="M34:N34" si="35">IFERROR($H34/I34-1,"N/A")</f>
        <v>N/A</v>
      </c>
      <c r="N34" s="540" t="str">
        <f t="shared" si="35"/>
        <v>N/A</v>
      </c>
      <c r="O34" s="540" t="str">
        <f t="shared" ref="O34:P34" si="36">IFERROR($I34/K34-1,"N/A")</f>
        <v>N/A</v>
      </c>
      <c r="P34" s="540" t="str">
        <f t="shared" si="36"/>
        <v>N/A</v>
      </c>
      <c r="Q34" s="12"/>
      <c r="R34" s="12"/>
      <c r="S34" s="4"/>
      <c r="T34" s="4"/>
      <c r="U34" s="4"/>
      <c r="V34" s="4"/>
      <c r="W34" s="4"/>
      <c r="X34" s="4"/>
      <c r="Y34" s="4"/>
      <c r="Z34" s="4"/>
    </row>
    <row r="35" spans="1:26" ht="14.25" customHeight="1">
      <c r="A35" s="12"/>
      <c r="B35" s="12"/>
      <c r="C35" s="12" t="e">
        <f>'Segment Analysis'!#REF!</f>
        <v>#REF!</v>
      </c>
      <c r="D35" s="12"/>
      <c r="E35" s="12"/>
      <c r="F35" s="12"/>
      <c r="G35" s="12"/>
      <c r="H35" s="835" t="e">
        <f t="array" ref="H35">INDEX(Data,MATCH($C35,Line_Items,0),MATCH($H$6,Fiscal_Periods,0))</f>
        <v>#REF!</v>
      </c>
      <c r="I35" s="835" t="e">
        <f t="array" ref="I35">INDEX(Data,MATCH($C35,Line_Items,0),MATCH($H$6,Fiscal_Periods,0))</f>
        <v>#REF!</v>
      </c>
      <c r="J35" s="836">
        <v>-23</v>
      </c>
      <c r="K35" s="835" t="e">
        <f t="array" ref="K35">INDEX(Data,MATCH($C35,Line_Items,0),MATCH(LEFT(K$24,4),Fiscal_Periods,0))</f>
        <v>#REF!</v>
      </c>
      <c r="L35" s="835" t="e">
        <f t="array" ref="L35">INDEX(Data,MATCH($C35,Line_Items,0),MATCH(LEFT(L$24,4),Fiscal_Periods,0))</f>
        <v>#REF!</v>
      </c>
      <c r="M35" s="834" t="str">
        <f t="shared" ref="M35:N35" si="37">IFERROR($H35/I35-1,"N/A")</f>
        <v>N/A</v>
      </c>
      <c r="N35" s="540" t="str">
        <f t="shared" si="37"/>
        <v>N/A</v>
      </c>
      <c r="O35" s="540" t="str">
        <f t="shared" ref="O35:P35" si="38">IFERROR($I35/K35-1,"N/A")</f>
        <v>N/A</v>
      </c>
      <c r="P35" s="540" t="str">
        <f t="shared" si="38"/>
        <v>N/A</v>
      </c>
      <c r="Q35" s="12"/>
      <c r="R35" s="12"/>
      <c r="S35" s="4"/>
      <c r="T35" s="4"/>
      <c r="U35" s="4"/>
      <c r="V35" s="4"/>
      <c r="W35" s="4"/>
      <c r="X35" s="4"/>
      <c r="Y35" s="4"/>
      <c r="Z35" s="4"/>
    </row>
    <row r="36" spans="1:26" ht="14.25" customHeight="1">
      <c r="A36" s="12"/>
      <c r="B36" s="12"/>
      <c r="C36" s="12" t="e">
        <f>'Segment Analysis'!#REF!</f>
        <v>#REF!</v>
      </c>
      <c r="D36" s="12"/>
      <c r="E36" s="12"/>
      <c r="F36" s="12"/>
      <c r="G36" s="12"/>
      <c r="H36" s="835" t="e">
        <f t="array" ref="H36">INDEX(Data,MATCH($C36,Line_Items,0),MATCH($H$6,Fiscal_Periods,0))</f>
        <v>#REF!</v>
      </c>
      <c r="I36" s="835" t="e">
        <f t="array" ref="I36">INDEX(Data,MATCH($C36,Line_Items,0),MATCH($H$6,Fiscal_Periods,0))</f>
        <v>#REF!</v>
      </c>
      <c r="J36" s="836">
        <v>650</v>
      </c>
      <c r="K36" s="835" t="e">
        <f t="array" ref="K36">INDEX(Data,MATCH($C36,Line_Items,0),MATCH(LEFT(K$24,4),Fiscal_Periods,0))</f>
        <v>#REF!</v>
      </c>
      <c r="L36" s="835" t="e">
        <f t="array" ref="L36">INDEX(Data,MATCH($C36,Line_Items,0),MATCH(LEFT(L$24,4),Fiscal_Periods,0))</f>
        <v>#REF!</v>
      </c>
      <c r="M36" s="834" t="str">
        <f t="shared" ref="M36:N36" si="39">IFERROR($H36/I36-1,"N/A")</f>
        <v>N/A</v>
      </c>
      <c r="N36" s="540" t="str">
        <f t="shared" si="39"/>
        <v>N/A</v>
      </c>
      <c r="O36" s="540" t="str">
        <f t="shared" ref="O36:P36" si="40">IFERROR($I36/K36-1,"N/A")</f>
        <v>N/A</v>
      </c>
      <c r="P36" s="540" t="str">
        <f t="shared" si="40"/>
        <v>N/A</v>
      </c>
      <c r="Q36" s="12"/>
      <c r="R36" s="12"/>
      <c r="S36" s="4"/>
      <c r="T36" s="4"/>
      <c r="U36" s="4"/>
      <c r="V36" s="4"/>
      <c r="W36" s="4"/>
      <c r="X36" s="4"/>
      <c r="Y36" s="4"/>
      <c r="Z36" s="4"/>
    </row>
    <row r="37" spans="1:26" ht="14.25" customHeight="1">
      <c r="A37" s="12"/>
      <c r="B37" s="12"/>
      <c r="C37" s="12" t="e">
        <f>'Segment Analysis'!#REF!</f>
        <v>#REF!</v>
      </c>
      <c r="D37" s="12"/>
      <c r="E37" s="12"/>
      <c r="F37" s="12"/>
      <c r="G37" s="12"/>
      <c r="H37" s="835" t="e">
        <f t="array" ref="H37">INDEX(Data,MATCH($C37,Line_Items,0),MATCH($H$6,Fiscal_Periods,0))</f>
        <v>#REF!</v>
      </c>
      <c r="I37" s="835" t="e">
        <f t="array" ref="I37">INDEX(Data,MATCH($C37,Line_Items,0),MATCH($H$6,Fiscal_Periods,0))</f>
        <v>#REF!</v>
      </c>
      <c r="J37" s="836">
        <v>300</v>
      </c>
      <c r="K37" s="835" t="e">
        <f t="array" ref="K37">INDEX(Data,MATCH($C37,Line_Items,0),MATCH(LEFT(K$24,4),Fiscal_Periods,0))</f>
        <v>#REF!</v>
      </c>
      <c r="L37" s="835" t="e">
        <f t="array" ref="L37">INDEX(Data,MATCH($C37,Line_Items,0),MATCH(LEFT(L$24,4),Fiscal_Periods,0))</f>
        <v>#REF!</v>
      </c>
      <c r="M37" s="834" t="str">
        <f t="shared" ref="M37:N37" si="41">IFERROR($H37/I37-1,"N/A")</f>
        <v>N/A</v>
      </c>
      <c r="N37" s="540" t="str">
        <f t="shared" si="41"/>
        <v>N/A</v>
      </c>
      <c r="O37" s="540" t="str">
        <f t="shared" ref="O37:P37" si="42">IFERROR($I37/K37-1,"N/A")</f>
        <v>N/A</v>
      </c>
      <c r="P37" s="540" t="str">
        <f t="shared" si="42"/>
        <v>N/A</v>
      </c>
      <c r="Q37" s="12"/>
      <c r="R37" s="12"/>
      <c r="S37" s="4"/>
      <c r="T37" s="4"/>
      <c r="U37" s="4"/>
      <c r="V37" s="4"/>
      <c r="W37" s="4"/>
      <c r="X37" s="4"/>
      <c r="Y37" s="4"/>
      <c r="Z37" s="4"/>
    </row>
    <row r="38" spans="1:26" ht="14.25" customHeight="1">
      <c r="A38" s="12"/>
      <c r="B38" s="12"/>
      <c r="C38" s="12"/>
      <c r="D38" s="12"/>
      <c r="E38" s="12"/>
      <c r="F38" s="12"/>
      <c r="G38" s="12"/>
      <c r="H38" s="69"/>
      <c r="I38" s="69"/>
      <c r="J38" s="69"/>
      <c r="K38" s="69"/>
      <c r="L38" s="69"/>
      <c r="M38" s="69"/>
      <c r="N38" s="69"/>
      <c r="O38" s="69"/>
      <c r="P38" s="69"/>
      <c r="Q38" s="12"/>
      <c r="R38" s="12"/>
      <c r="S38" s="4"/>
      <c r="T38" s="4"/>
      <c r="U38" s="4"/>
      <c r="V38" s="4"/>
      <c r="W38" s="4"/>
      <c r="X38" s="4"/>
      <c r="Y38" s="4"/>
      <c r="Z38" s="4"/>
    </row>
    <row r="39" spans="1:26" ht="14.25" customHeight="1">
      <c r="A39" s="12"/>
      <c r="B39" s="12"/>
      <c r="C39" s="12"/>
      <c r="D39" s="12"/>
      <c r="E39" s="12"/>
      <c r="F39" s="12"/>
      <c r="G39" s="12"/>
      <c r="H39" s="69"/>
      <c r="I39" s="69"/>
      <c r="J39" s="69"/>
      <c r="K39" s="69"/>
      <c r="L39" s="69"/>
      <c r="M39" s="69"/>
      <c r="N39" s="69"/>
      <c r="O39" s="69"/>
      <c r="P39" s="69"/>
      <c r="Q39" s="12"/>
      <c r="R39" s="12"/>
      <c r="S39" s="4"/>
      <c r="T39" s="4"/>
      <c r="U39" s="4"/>
      <c r="V39" s="4"/>
      <c r="W39" s="4"/>
      <c r="X39" s="4"/>
      <c r="Y39" s="4"/>
      <c r="Z39" s="4"/>
    </row>
    <row r="40" spans="1:26" ht="14.25" customHeight="1">
      <c r="A40" s="12"/>
      <c r="B40" s="211" t="s">
        <v>1</v>
      </c>
      <c r="C40" s="81" t="str">
        <f>Ticker&amp;" "&amp;H4&amp;RIGHT(H5,2)&amp;" Cash Flow Results"</f>
        <v>NFLX 4Q26 Cash Flow Results</v>
      </c>
      <c r="D40" s="81"/>
      <c r="E40" s="81"/>
      <c r="F40" s="81"/>
      <c r="G40" s="81"/>
      <c r="H40" s="82" t="str">
        <f t="shared" ref="H40:P40" si="43">H10</f>
        <v>4Q26a</v>
      </c>
      <c r="I40" s="82" t="str">
        <f t="shared" si="43"/>
        <v>OFe</v>
      </c>
      <c r="J40" s="82" t="str">
        <f t="shared" si="43"/>
        <v>Consensus</v>
      </c>
      <c r="K40" s="82" t="str">
        <f t="shared" si="43"/>
        <v>4Q25a</v>
      </c>
      <c r="L40" s="82" t="str">
        <f t="shared" si="43"/>
        <v>2Q26a</v>
      </c>
      <c r="M40" s="831" t="str">
        <f t="shared" si="43"/>
        <v>v. OFe</v>
      </c>
      <c r="N40" s="82" t="str">
        <f t="shared" si="43"/>
        <v>v. Consensus</v>
      </c>
      <c r="O40" s="82" t="str">
        <f t="shared" si="43"/>
        <v>v. 4Q25a</v>
      </c>
      <c r="P40" s="82" t="str">
        <f t="shared" si="43"/>
        <v>v. 2Q26a</v>
      </c>
      <c r="Q40" s="12"/>
      <c r="R40" s="12"/>
      <c r="S40" s="4"/>
      <c r="T40" s="4"/>
      <c r="U40" s="4"/>
      <c r="V40" s="4"/>
      <c r="W40" s="4"/>
      <c r="X40" s="4"/>
      <c r="Y40" s="4"/>
      <c r="Z40" s="4"/>
    </row>
    <row r="41" spans="1:26" ht="4.5" customHeight="1">
      <c r="A41" s="12"/>
      <c r="B41" s="12"/>
      <c r="C41" s="12"/>
      <c r="D41" s="12"/>
      <c r="E41" s="12"/>
      <c r="F41" s="12"/>
      <c r="G41" s="12"/>
      <c r="H41" s="69"/>
      <c r="I41" s="69"/>
      <c r="J41" s="69"/>
      <c r="K41" s="69"/>
      <c r="L41" s="69"/>
      <c r="M41" s="69"/>
      <c r="N41" s="69"/>
      <c r="O41" s="69"/>
      <c r="P41" s="69"/>
      <c r="Q41" s="12"/>
      <c r="R41" s="12"/>
      <c r="S41" s="4"/>
      <c r="T41" s="4"/>
      <c r="U41" s="4"/>
      <c r="V41" s="4"/>
      <c r="W41" s="4"/>
      <c r="X41" s="4"/>
      <c r="Y41" s="4"/>
      <c r="Z41" s="4"/>
    </row>
    <row r="42" spans="1:26" ht="14.25" customHeight="1">
      <c r="A42" s="12"/>
      <c r="B42" s="12"/>
      <c r="C42" s="12" t="str">
        <f>Model!C80</f>
        <v>Net Cash From Operating Activities</v>
      </c>
      <c r="D42" s="12"/>
      <c r="E42" s="12"/>
      <c r="F42" s="12"/>
      <c r="G42" s="12"/>
      <c r="H42" s="832" t="str">
        <f ca="1">INDEX(Data,MATCH($C42,Line_Items,0),MATCH($H$6,Fiscal_Periods,0))</f>
        <v/>
      </c>
      <c r="I42" s="832" t="str">
        <f ca="1">INDEX(Data,MATCH($C42,Line_Items,0),MATCH($H$6,Fiscal_Periods,0))</f>
        <v/>
      </c>
      <c r="J42" s="833">
        <v>50</v>
      </c>
      <c r="K42" s="832">
        <f t="array" ref="K42">INDEX(Data,MATCH($C42,Line_Items,0),MATCH(LEFT(K$40,4),Fiscal_Periods,0))</f>
        <v>0</v>
      </c>
      <c r="L42" s="832">
        <f t="array" ref="L42">INDEX(Data,MATCH($C42,Line_Items,0),MATCH(LEFT(L$40,4),Fiscal_Periods,0))</f>
        <v>0</v>
      </c>
      <c r="M42" s="834" t="str">
        <f t="shared" ref="M42:N42" ca="1" si="44">IFERROR($H42/I42-1,"N/A")</f>
        <v>N/A</v>
      </c>
      <c r="N42" s="540" t="str">
        <f t="shared" ca="1" si="44"/>
        <v>N/A</v>
      </c>
      <c r="O42" s="540" t="str">
        <f t="shared" ref="O42:P42" ca="1" si="45">IFERROR($I42/K42-1,"N/A")</f>
        <v>N/A</v>
      </c>
      <c r="P42" s="540" t="str">
        <f t="shared" ca="1" si="45"/>
        <v>N/A</v>
      </c>
      <c r="Q42" s="12"/>
      <c r="R42" s="12"/>
      <c r="S42" s="4"/>
      <c r="T42" s="4"/>
      <c r="U42" s="4"/>
      <c r="V42" s="4"/>
      <c r="W42" s="4"/>
      <c r="X42" s="4"/>
      <c r="Y42" s="4"/>
      <c r="Z42" s="4"/>
    </row>
    <row r="43" spans="1:26" ht="14.25" customHeight="1">
      <c r="A43" s="12"/>
      <c r="B43" s="12"/>
      <c r="C43" s="12" t="str">
        <f>Model!C82</f>
        <v>Capital Expenditures</v>
      </c>
      <c r="D43" s="12"/>
      <c r="E43" s="12"/>
      <c r="F43" s="12"/>
      <c r="G43" s="12"/>
      <c r="H43" s="835">
        <f t="array" ref="H43">INDEX(Data,MATCH($C43,Line_Items,0),MATCH($H$6,Fiscal_Periods,0))</f>
        <v>-370.12569999999999</v>
      </c>
      <c r="I43" s="835">
        <f t="array" ref="I43">INDEX(Data,MATCH($C43,Line_Items,0),MATCH($H$6,Fiscal_Periods,0))</f>
        <v>-370.12569999999999</v>
      </c>
      <c r="J43" s="836">
        <v>-668</v>
      </c>
      <c r="K43" s="835">
        <f t="array" ref="K43">INDEX(Data,MATCH($C43,Line_Items,0),MATCH(LEFT(K$40,4),Fiscal_Periods,0))</f>
        <v>0</v>
      </c>
      <c r="L43" s="835">
        <f t="array" ref="L43">INDEX(Data,MATCH($C43,Line_Items,0),MATCH(LEFT(L$40,4),Fiscal_Periods,0))</f>
        <v>0</v>
      </c>
      <c r="M43" s="834">
        <f t="shared" ref="M43:N43" si="46">IFERROR($H43/I43-1,"N/A")</f>
        <v>0</v>
      </c>
      <c r="N43" s="540">
        <f t="shared" si="46"/>
        <v>-0.44591961077844311</v>
      </c>
      <c r="O43" s="540" t="str">
        <f t="shared" ref="O43:P43" si="47">IFERROR($I43/K43-1,"N/A")</f>
        <v>N/A</v>
      </c>
      <c r="P43" s="540" t="str">
        <f t="shared" si="47"/>
        <v>N/A</v>
      </c>
      <c r="Q43" s="12"/>
      <c r="R43" s="12"/>
      <c r="S43" s="4"/>
      <c r="T43" s="4"/>
      <c r="U43" s="4"/>
      <c r="V43" s="4"/>
      <c r="W43" s="4"/>
      <c r="X43" s="4"/>
      <c r="Y43" s="4"/>
      <c r="Z43" s="4"/>
    </row>
    <row r="44" spans="1:26" ht="14.25" customHeight="1">
      <c r="A44" s="12"/>
      <c r="B44" s="12"/>
      <c r="C44" s="12" t="str">
        <f>Model!C112</f>
        <v>Free Cash Flow (FCF)</v>
      </c>
      <c r="D44" s="12"/>
      <c r="E44" s="12"/>
      <c r="F44" s="12"/>
      <c r="G44" s="12"/>
      <c r="H44" s="835" t="str">
        <f ca="1">INDEX(Data,MATCH($C44,Line_Items,0),MATCH($H$6,Fiscal_Periods,0))</f>
        <v/>
      </c>
      <c r="I44" s="835" t="str">
        <f ca="1">INDEX(Data,MATCH($C44,Line_Items,0),MATCH($H$6,Fiscal_Periods,0))</f>
        <v/>
      </c>
      <c r="J44" s="836">
        <v>1412.6</v>
      </c>
      <c r="K44" s="835">
        <f t="array" ref="K44">INDEX(Data,MATCH($C44,Line_Items,0),MATCH(LEFT(K$40,4),Fiscal_Periods,0))</f>
        <v>1573.8829999999998</v>
      </c>
      <c r="L44" s="835">
        <f t="array" ref="L44">INDEX(Data,MATCH($C44,Line_Items,0),MATCH(LEFT(L$40,4),Fiscal_Periods,0))</f>
        <v>15218.319</v>
      </c>
      <c r="M44" s="834" t="str">
        <f t="shared" ref="M44:N44" ca="1" si="48">IFERROR($H44/I44-1,"N/A")</f>
        <v>N/A</v>
      </c>
      <c r="N44" s="540" t="str">
        <f t="shared" ca="1" si="48"/>
        <v>N/A</v>
      </c>
      <c r="O44" s="540" t="str">
        <f t="shared" ref="O44:P44" ca="1" si="49">IFERROR($I44/K44-1,"N/A")</f>
        <v>N/A</v>
      </c>
      <c r="P44" s="540" t="str">
        <f t="shared" ca="1" si="49"/>
        <v>N/A</v>
      </c>
      <c r="Q44" s="12"/>
      <c r="R44" s="12"/>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464"/>
  <sheetViews>
    <sheetView workbookViewId="0">
      <pane ySplit="1" topLeftCell="A2" activePane="bottomLeft" state="frozen"/>
      <selection pane="bottomLeft"/>
    </sheetView>
  </sheetViews>
  <sheetFormatPr baseColWidth="10" defaultColWidth="8.83203125" defaultRowHeight="1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852" customFormat="1">
      <c r="A1" s="852" t="s">
        <v>967</v>
      </c>
      <c r="B1" s="852" t="s">
        <v>968</v>
      </c>
      <c r="C1" s="852" t="s">
        <v>969</v>
      </c>
      <c r="D1" s="852" t="s">
        <v>970</v>
      </c>
      <c r="E1" s="852" t="s">
        <v>971</v>
      </c>
      <c r="F1" s="852" t="s">
        <v>972</v>
      </c>
      <c r="G1" s="852" t="s">
        <v>973</v>
      </c>
      <c r="H1" s="852" t="s">
        <v>974</v>
      </c>
      <c r="I1" s="852" t="s">
        <v>975</v>
      </c>
      <c r="J1" s="852" t="s">
        <v>976</v>
      </c>
      <c r="K1" s="852" t="s">
        <v>977</v>
      </c>
      <c r="L1" s="852" t="s">
        <v>978</v>
      </c>
      <c r="M1" s="852" t="s">
        <v>979</v>
      </c>
      <c r="N1" s="852" t="s">
        <v>980</v>
      </c>
      <c r="O1" s="852" t="s">
        <v>981</v>
      </c>
      <c r="P1" s="852" t="s">
        <v>982</v>
      </c>
      <c r="Q1" s="852" t="s">
        <v>983</v>
      </c>
    </row>
    <row r="2" spans="1:17">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c r="A15" t="s">
        <v>42</v>
      </c>
      <c r="B15" t="s">
        <v>1017</v>
      </c>
      <c r="C15" t="s">
        <v>269</v>
      </c>
      <c r="D15" t="s">
        <v>985</v>
      </c>
      <c r="E15">
        <v>-4803.625</v>
      </c>
      <c r="F15" t="s">
        <v>1018</v>
      </c>
      <c r="G15" t="s">
        <v>1019</v>
      </c>
      <c r="H15" t="s">
        <v>988</v>
      </c>
      <c r="I15" t="s">
        <v>1020</v>
      </c>
      <c r="J15" t="s">
        <v>987</v>
      </c>
      <c r="K15" t="b">
        <v>1</v>
      </c>
      <c r="L15" t="b">
        <v>0</v>
      </c>
      <c r="M15" t="s">
        <v>987</v>
      </c>
      <c r="N15" t="s">
        <v>1021</v>
      </c>
      <c r="O15" t="s">
        <v>990</v>
      </c>
      <c r="P15" t="s">
        <v>1022</v>
      </c>
      <c r="Q15" t="s">
        <v>1023</v>
      </c>
    </row>
    <row r="16" spans="1:17">
      <c r="A16" t="s">
        <v>42</v>
      </c>
      <c r="B16" t="s">
        <v>1024</v>
      </c>
      <c r="C16" t="s">
        <v>269</v>
      </c>
      <c r="D16" t="s">
        <v>994</v>
      </c>
      <c r="E16">
        <v>-4673.47</v>
      </c>
      <c r="F16" t="s">
        <v>1018</v>
      </c>
      <c r="G16" t="s">
        <v>1025</v>
      </c>
      <c r="H16" t="s">
        <v>988</v>
      </c>
      <c r="I16" t="s">
        <v>1026</v>
      </c>
      <c r="J16" t="s">
        <v>987</v>
      </c>
      <c r="K16" t="b">
        <v>1</v>
      </c>
      <c r="L16" t="b">
        <v>0</v>
      </c>
      <c r="M16" t="s">
        <v>987</v>
      </c>
      <c r="N16" t="s">
        <v>1021</v>
      </c>
      <c r="O16" t="s">
        <v>990</v>
      </c>
      <c r="P16" t="s">
        <v>1022</v>
      </c>
      <c r="Q16" t="s">
        <v>1023</v>
      </c>
    </row>
    <row r="17" spans="1:17">
      <c r="A17" t="s">
        <v>42</v>
      </c>
      <c r="B17" t="s">
        <v>1027</v>
      </c>
      <c r="C17" t="s">
        <v>269</v>
      </c>
      <c r="D17" t="s">
        <v>996</v>
      </c>
      <c r="E17">
        <v>-4930.7879999999996</v>
      </c>
      <c r="F17" t="s">
        <v>1018</v>
      </c>
      <c r="G17" t="s">
        <v>1028</v>
      </c>
      <c r="H17" t="s">
        <v>988</v>
      </c>
      <c r="I17" t="s">
        <v>1029</v>
      </c>
      <c r="J17" t="s">
        <v>987</v>
      </c>
      <c r="K17" t="b">
        <v>1</v>
      </c>
      <c r="L17" t="b">
        <v>0</v>
      </c>
      <c r="M17" t="s">
        <v>987</v>
      </c>
      <c r="N17" t="s">
        <v>1021</v>
      </c>
      <c r="O17" t="s">
        <v>990</v>
      </c>
      <c r="P17" t="s">
        <v>1022</v>
      </c>
      <c r="Q17" t="s">
        <v>1023</v>
      </c>
    </row>
    <row r="18" spans="1:17">
      <c r="A18" t="s">
        <v>42</v>
      </c>
      <c r="B18" t="s">
        <v>1030</v>
      </c>
      <c r="C18" t="s">
        <v>269</v>
      </c>
      <c r="D18" t="s">
        <v>998</v>
      </c>
      <c r="E18">
        <v>-5307.4849999999997</v>
      </c>
      <c r="F18" t="s">
        <v>1018</v>
      </c>
      <c r="G18" t="s">
        <v>1031</v>
      </c>
      <c r="H18" t="s">
        <v>988</v>
      </c>
      <c r="I18" t="s">
        <v>987</v>
      </c>
      <c r="J18" t="s">
        <v>987</v>
      </c>
      <c r="K18" t="b">
        <v>1</v>
      </c>
      <c r="L18" t="b">
        <v>1</v>
      </c>
      <c r="M18" t="s">
        <v>1032</v>
      </c>
      <c r="N18" t="s">
        <v>1021</v>
      </c>
      <c r="O18" t="s">
        <v>990</v>
      </c>
      <c r="P18" t="s">
        <v>1022</v>
      </c>
      <c r="Q18" t="s">
        <v>1033</v>
      </c>
    </row>
    <row r="19" spans="1:17">
      <c r="A19" t="s">
        <v>42</v>
      </c>
      <c r="B19" t="s">
        <v>1034</v>
      </c>
      <c r="C19" t="s">
        <v>269</v>
      </c>
      <c r="D19" t="s">
        <v>1000</v>
      </c>
      <c r="E19">
        <v>-4977.0730000000003</v>
      </c>
      <c r="F19" t="s">
        <v>1018</v>
      </c>
      <c r="G19" t="s">
        <v>1035</v>
      </c>
      <c r="H19" t="s">
        <v>988</v>
      </c>
      <c r="I19" t="s">
        <v>1036</v>
      </c>
      <c r="J19" t="s">
        <v>987</v>
      </c>
      <c r="K19" t="b">
        <v>1</v>
      </c>
      <c r="L19" t="b">
        <v>0</v>
      </c>
      <c r="M19" t="s">
        <v>987</v>
      </c>
      <c r="N19" t="s">
        <v>1021</v>
      </c>
      <c r="O19" t="s">
        <v>990</v>
      </c>
      <c r="P19" t="s">
        <v>1022</v>
      </c>
      <c r="Q19" t="s">
        <v>1023</v>
      </c>
    </row>
    <row r="20" spans="1:17">
      <c r="A20" t="s">
        <v>42</v>
      </c>
      <c r="B20" t="s">
        <v>1037</v>
      </c>
      <c r="C20" t="s">
        <v>269</v>
      </c>
      <c r="D20" t="s">
        <v>1002</v>
      </c>
      <c r="E20">
        <v>-5174.143</v>
      </c>
      <c r="F20" t="s">
        <v>1018</v>
      </c>
      <c r="G20" t="s">
        <v>1038</v>
      </c>
      <c r="H20" t="s">
        <v>988</v>
      </c>
      <c r="I20" t="s">
        <v>1039</v>
      </c>
      <c r="J20" t="s">
        <v>987</v>
      </c>
      <c r="K20" t="b">
        <v>1</v>
      </c>
      <c r="L20" t="b">
        <v>0</v>
      </c>
      <c r="M20" t="s">
        <v>987</v>
      </c>
      <c r="N20" t="s">
        <v>1021</v>
      </c>
      <c r="O20" t="s">
        <v>990</v>
      </c>
      <c r="P20" t="s">
        <v>1022</v>
      </c>
      <c r="Q20" t="s">
        <v>1023</v>
      </c>
    </row>
    <row r="21" spans="1:17">
      <c r="A21" t="s">
        <v>42</v>
      </c>
      <c r="B21" t="s">
        <v>1040</v>
      </c>
      <c r="C21" t="s">
        <v>269</v>
      </c>
      <c r="D21" t="s">
        <v>1004</v>
      </c>
      <c r="E21">
        <v>-5119.884</v>
      </c>
      <c r="F21" t="s">
        <v>1018</v>
      </c>
      <c r="G21" t="s">
        <v>1041</v>
      </c>
      <c r="H21" t="s">
        <v>988</v>
      </c>
      <c r="I21" t="s">
        <v>1042</v>
      </c>
      <c r="J21" t="s">
        <v>987</v>
      </c>
      <c r="K21" t="b">
        <v>1</v>
      </c>
      <c r="L21" t="b">
        <v>0</v>
      </c>
      <c r="M21" t="s">
        <v>987</v>
      </c>
      <c r="N21" t="s">
        <v>1021</v>
      </c>
      <c r="O21" t="s">
        <v>990</v>
      </c>
      <c r="P21" t="s">
        <v>1022</v>
      </c>
      <c r="Q21" t="s">
        <v>1023</v>
      </c>
    </row>
    <row r="22" spans="1:17">
      <c r="A22" t="s">
        <v>42</v>
      </c>
      <c r="B22" t="s">
        <v>1043</v>
      </c>
      <c r="C22" t="s">
        <v>269</v>
      </c>
      <c r="D22" t="s">
        <v>1006</v>
      </c>
      <c r="E22">
        <v>-5767.3639999999996</v>
      </c>
      <c r="F22" t="s">
        <v>1018</v>
      </c>
      <c r="G22" t="s">
        <v>1044</v>
      </c>
      <c r="H22" t="s">
        <v>988</v>
      </c>
      <c r="I22" t="s">
        <v>987</v>
      </c>
      <c r="J22" t="s">
        <v>987</v>
      </c>
      <c r="K22" t="b">
        <v>1</v>
      </c>
      <c r="L22" t="b">
        <v>0</v>
      </c>
      <c r="M22" t="s">
        <v>987</v>
      </c>
      <c r="N22" t="s">
        <v>1021</v>
      </c>
      <c r="O22" t="s">
        <v>990</v>
      </c>
      <c r="P22" t="s">
        <v>1022</v>
      </c>
      <c r="Q22" t="s">
        <v>1045</v>
      </c>
    </row>
    <row r="23" spans="1:17">
      <c r="A23" t="s">
        <v>42</v>
      </c>
      <c r="B23" t="s">
        <v>1046</v>
      </c>
      <c r="C23" t="s">
        <v>269</v>
      </c>
      <c r="D23" t="s">
        <v>1008</v>
      </c>
      <c r="E23">
        <v>-5263.1469999999999</v>
      </c>
      <c r="F23" t="s">
        <v>1018</v>
      </c>
      <c r="G23" t="s">
        <v>1047</v>
      </c>
      <c r="H23" t="s">
        <v>988</v>
      </c>
      <c r="I23" t="s">
        <v>1048</v>
      </c>
      <c r="J23" t="s">
        <v>987</v>
      </c>
      <c r="K23" t="b">
        <v>1</v>
      </c>
      <c r="L23" t="b">
        <v>0</v>
      </c>
      <c r="M23" t="s">
        <v>987</v>
      </c>
      <c r="N23" t="s">
        <v>1021</v>
      </c>
      <c r="O23" t="s">
        <v>990</v>
      </c>
      <c r="P23" t="s">
        <v>1022</v>
      </c>
      <c r="Q23" t="s">
        <v>1023</v>
      </c>
    </row>
    <row r="24" spans="1:17">
      <c r="A24" t="s">
        <v>42</v>
      </c>
      <c r="B24" t="s">
        <v>1049</v>
      </c>
      <c r="C24" t="s">
        <v>269</v>
      </c>
      <c r="D24" t="s">
        <v>1010</v>
      </c>
      <c r="E24">
        <v>-5325.3109999999997</v>
      </c>
      <c r="F24" t="s">
        <v>1018</v>
      </c>
      <c r="G24" t="s">
        <v>1050</v>
      </c>
      <c r="H24" t="s">
        <v>988</v>
      </c>
      <c r="I24" t="s">
        <v>1039</v>
      </c>
      <c r="J24" t="s">
        <v>987</v>
      </c>
      <c r="K24" t="b">
        <v>1</v>
      </c>
      <c r="L24" t="b">
        <v>0</v>
      </c>
      <c r="M24" t="s">
        <v>987</v>
      </c>
      <c r="N24" t="s">
        <v>1021</v>
      </c>
      <c r="O24" t="s">
        <v>990</v>
      </c>
      <c r="P24" t="s">
        <v>1022</v>
      </c>
      <c r="Q24" t="s">
        <v>1023</v>
      </c>
    </row>
    <row r="25" spans="1:17">
      <c r="A25" t="s">
        <v>42</v>
      </c>
      <c r="B25" t="s">
        <v>1051</v>
      </c>
      <c r="C25" t="s">
        <v>269</v>
      </c>
      <c r="D25" t="s">
        <v>1012</v>
      </c>
      <c r="E25">
        <v>-6164.25</v>
      </c>
      <c r="F25" t="s">
        <v>1018</v>
      </c>
      <c r="G25" t="s">
        <v>1052</v>
      </c>
      <c r="H25" t="s">
        <v>988</v>
      </c>
      <c r="I25" t="s">
        <v>1042</v>
      </c>
      <c r="J25" t="s">
        <v>987</v>
      </c>
      <c r="K25" t="b">
        <v>1</v>
      </c>
      <c r="L25" t="b">
        <v>0</v>
      </c>
      <c r="M25" t="s">
        <v>987</v>
      </c>
      <c r="N25" t="s">
        <v>1021</v>
      </c>
      <c r="O25" t="s">
        <v>990</v>
      </c>
      <c r="P25" t="s">
        <v>1022</v>
      </c>
      <c r="Q25" t="s">
        <v>1023</v>
      </c>
    </row>
    <row r="26" spans="1:17">
      <c r="A26" t="s">
        <v>42</v>
      </c>
      <c r="B26" t="s">
        <v>1053</v>
      </c>
      <c r="C26" t="s">
        <v>269</v>
      </c>
      <c r="D26" t="s">
        <v>1014</v>
      </c>
      <c r="E26">
        <v>-6522.6210000000001</v>
      </c>
      <c r="F26" t="s">
        <v>1018</v>
      </c>
      <c r="G26" t="s">
        <v>1054</v>
      </c>
      <c r="H26" t="s">
        <v>988</v>
      </c>
      <c r="I26" t="s">
        <v>987</v>
      </c>
      <c r="J26" t="s">
        <v>987</v>
      </c>
      <c r="K26" t="b">
        <v>1</v>
      </c>
      <c r="L26" t="b">
        <v>0</v>
      </c>
      <c r="M26" t="s">
        <v>987</v>
      </c>
      <c r="N26" t="s">
        <v>1021</v>
      </c>
      <c r="O26" t="s">
        <v>990</v>
      </c>
      <c r="P26" t="s">
        <v>1022</v>
      </c>
      <c r="Q26" t="s">
        <v>1055</v>
      </c>
    </row>
    <row r="27" spans="1:17">
      <c r="A27" t="s">
        <v>42</v>
      </c>
      <c r="B27" t="s">
        <v>1056</v>
      </c>
      <c r="C27" t="s">
        <v>269</v>
      </c>
      <c r="D27" t="s">
        <v>1016</v>
      </c>
      <c r="E27">
        <v>-5888.2380000000003</v>
      </c>
      <c r="F27" t="s">
        <v>1018</v>
      </c>
      <c r="G27" t="s">
        <v>1057</v>
      </c>
      <c r="H27" t="s">
        <v>988</v>
      </c>
      <c r="I27" t="s">
        <v>1048</v>
      </c>
      <c r="J27" t="s">
        <v>987</v>
      </c>
      <c r="K27" t="b">
        <v>1</v>
      </c>
      <c r="L27" t="b">
        <v>0</v>
      </c>
      <c r="M27" t="s">
        <v>987</v>
      </c>
      <c r="N27" t="s">
        <v>1021</v>
      </c>
      <c r="O27" t="s">
        <v>990</v>
      </c>
      <c r="P27" t="s">
        <v>1022</v>
      </c>
      <c r="Q27" t="s">
        <v>1023</v>
      </c>
    </row>
    <row r="28" spans="1:17">
      <c r="A28" t="s">
        <v>42</v>
      </c>
      <c r="B28" t="s">
        <v>1058</v>
      </c>
      <c r="C28" t="s">
        <v>271</v>
      </c>
      <c r="D28" t="s">
        <v>985</v>
      </c>
      <c r="E28">
        <v>-400.92399999999998</v>
      </c>
      <c r="F28" t="s">
        <v>1018</v>
      </c>
      <c r="G28" t="s">
        <v>1059</v>
      </c>
      <c r="H28" t="s">
        <v>988</v>
      </c>
      <c r="I28" t="s">
        <v>1020</v>
      </c>
      <c r="J28" t="s">
        <v>987</v>
      </c>
      <c r="K28" t="b">
        <v>1</v>
      </c>
      <c r="L28" t="b">
        <v>0</v>
      </c>
      <c r="M28" t="s">
        <v>987</v>
      </c>
      <c r="N28" t="s">
        <v>1021</v>
      </c>
      <c r="O28" t="s">
        <v>990</v>
      </c>
      <c r="P28" t="s">
        <v>1022</v>
      </c>
      <c r="Q28" t="s">
        <v>987</v>
      </c>
    </row>
    <row r="29" spans="1:17">
      <c r="A29" t="s">
        <v>42</v>
      </c>
      <c r="B29" t="s">
        <v>1060</v>
      </c>
      <c r="C29" t="s">
        <v>271</v>
      </c>
      <c r="D29" t="s">
        <v>994</v>
      </c>
      <c r="E29">
        <v>-401.49700000000001</v>
      </c>
      <c r="F29" t="s">
        <v>1018</v>
      </c>
      <c r="G29" t="s">
        <v>1061</v>
      </c>
      <c r="H29" t="s">
        <v>988</v>
      </c>
      <c r="I29" t="s">
        <v>1026</v>
      </c>
      <c r="J29" t="s">
        <v>987</v>
      </c>
      <c r="K29" t="b">
        <v>1</v>
      </c>
      <c r="L29" t="b">
        <v>0</v>
      </c>
      <c r="M29" t="s">
        <v>987</v>
      </c>
      <c r="N29" t="s">
        <v>1021</v>
      </c>
      <c r="O29" t="s">
        <v>990</v>
      </c>
      <c r="P29" t="s">
        <v>1022</v>
      </c>
      <c r="Q29" t="s">
        <v>987</v>
      </c>
    </row>
    <row r="30" spans="1:17">
      <c r="A30" t="s">
        <v>42</v>
      </c>
      <c r="B30" t="s">
        <v>1062</v>
      </c>
      <c r="C30" t="s">
        <v>271</v>
      </c>
      <c r="D30" t="s">
        <v>996</v>
      </c>
      <c r="E30">
        <v>-478.59100000000001</v>
      </c>
      <c r="F30" t="s">
        <v>1018</v>
      </c>
      <c r="G30" t="s">
        <v>1063</v>
      </c>
      <c r="H30" t="s">
        <v>988</v>
      </c>
      <c r="I30" t="s">
        <v>1029</v>
      </c>
      <c r="J30" t="s">
        <v>987</v>
      </c>
      <c r="K30" t="b">
        <v>1</v>
      </c>
      <c r="L30" t="b">
        <v>0</v>
      </c>
      <c r="M30" t="s">
        <v>987</v>
      </c>
      <c r="N30" t="s">
        <v>1021</v>
      </c>
      <c r="O30" t="s">
        <v>990</v>
      </c>
      <c r="P30" t="s">
        <v>1022</v>
      </c>
      <c r="Q30" t="s">
        <v>987</v>
      </c>
    </row>
    <row r="31" spans="1:17">
      <c r="A31" t="s">
        <v>42</v>
      </c>
      <c r="B31" t="s">
        <v>1064</v>
      </c>
      <c r="C31" t="s">
        <v>271</v>
      </c>
      <c r="D31" t="s">
        <v>998</v>
      </c>
      <c r="E31">
        <v>-4265</v>
      </c>
      <c r="F31" t="s">
        <v>1065</v>
      </c>
      <c r="G31" t="s">
        <v>1066</v>
      </c>
      <c r="H31" t="s">
        <v>988</v>
      </c>
      <c r="I31" t="s">
        <v>987</v>
      </c>
      <c r="J31" t="s">
        <v>987</v>
      </c>
      <c r="K31" t="b">
        <v>0</v>
      </c>
      <c r="L31" t="b">
        <v>1</v>
      </c>
      <c r="M31" t="s">
        <v>1067</v>
      </c>
      <c r="N31" t="s">
        <v>989</v>
      </c>
      <c r="O31" t="s">
        <v>1068</v>
      </c>
      <c r="P31" t="s">
        <v>1069</v>
      </c>
      <c r="Q31" t="s">
        <v>1070</v>
      </c>
    </row>
    <row r="32" spans="1:17">
      <c r="A32" t="s">
        <v>42</v>
      </c>
      <c r="B32" t="s">
        <v>1071</v>
      </c>
      <c r="C32" t="s">
        <v>271</v>
      </c>
      <c r="D32" t="s">
        <v>1000</v>
      </c>
      <c r="E32">
        <v>-654.34</v>
      </c>
      <c r="F32" t="s">
        <v>1018</v>
      </c>
      <c r="G32" t="s">
        <v>1072</v>
      </c>
      <c r="H32" t="s">
        <v>988</v>
      </c>
      <c r="I32" t="s">
        <v>1036</v>
      </c>
      <c r="J32" t="s">
        <v>987</v>
      </c>
      <c r="K32" t="b">
        <v>1</v>
      </c>
      <c r="L32" t="b">
        <v>0</v>
      </c>
      <c r="M32" t="s">
        <v>987</v>
      </c>
      <c r="N32" t="s">
        <v>1021</v>
      </c>
      <c r="O32" t="s">
        <v>990</v>
      </c>
      <c r="P32" t="s">
        <v>1022</v>
      </c>
      <c r="Q32" t="s">
        <v>987</v>
      </c>
    </row>
    <row r="33" spans="1:17">
      <c r="A33" t="s">
        <v>42</v>
      </c>
      <c r="B33" t="s">
        <v>1073</v>
      </c>
      <c r="C33" t="s">
        <v>271</v>
      </c>
      <c r="D33" t="s">
        <v>1002</v>
      </c>
      <c r="E33">
        <v>-644.08399999999995</v>
      </c>
      <c r="F33" t="s">
        <v>1018</v>
      </c>
      <c r="G33" t="s">
        <v>1074</v>
      </c>
      <c r="H33" t="s">
        <v>988</v>
      </c>
      <c r="I33" t="s">
        <v>1039</v>
      </c>
      <c r="J33" t="s">
        <v>987</v>
      </c>
      <c r="K33" t="b">
        <v>1</v>
      </c>
      <c r="L33" t="b">
        <v>0</v>
      </c>
      <c r="M33" t="s">
        <v>987</v>
      </c>
      <c r="N33" t="s">
        <v>1021</v>
      </c>
      <c r="O33" t="s">
        <v>990</v>
      </c>
      <c r="P33" t="s">
        <v>1022</v>
      </c>
      <c r="Q33" t="s">
        <v>987</v>
      </c>
    </row>
    <row r="34" spans="1:17">
      <c r="A34" t="s">
        <v>42</v>
      </c>
      <c r="B34" t="s">
        <v>1075</v>
      </c>
      <c r="C34" t="s">
        <v>271</v>
      </c>
      <c r="D34" t="s">
        <v>1004</v>
      </c>
      <c r="E34">
        <v>-642.92600000000004</v>
      </c>
      <c r="F34" t="s">
        <v>1018</v>
      </c>
      <c r="G34" t="s">
        <v>1076</v>
      </c>
      <c r="H34" t="s">
        <v>988</v>
      </c>
      <c r="I34" t="s">
        <v>1042</v>
      </c>
      <c r="J34" t="s">
        <v>987</v>
      </c>
      <c r="K34" t="b">
        <v>1</v>
      </c>
      <c r="L34" t="b">
        <v>0</v>
      </c>
      <c r="M34" t="s">
        <v>987</v>
      </c>
      <c r="N34" t="s">
        <v>1021</v>
      </c>
      <c r="O34" t="s">
        <v>990</v>
      </c>
      <c r="P34" t="s">
        <v>1022</v>
      </c>
      <c r="Q34" t="s">
        <v>987</v>
      </c>
    </row>
    <row r="35" spans="1:17">
      <c r="A35" t="s">
        <v>42</v>
      </c>
      <c r="B35" t="s">
        <v>1077</v>
      </c>
      <c r="C35" t="s">
        <v>271</v>
      </c>
      <c r="D35" t="s">
        <v>1006</v>
      </c>
      <c r="E35">
        <v>-976.20399999999995</v>
      </c>
      <c r="F35" t="s">
        <v>1018</v>
      </c>
      <c r="G35" t="s">
        <v>1078</v>
      </c>
      <c r="H35" t="s">
        <v>988</v>
      </c>
      <c r="I35" t="s">
        <v>987</v>
      </c>
      <c r="J35" t="s">
        <v>987</v>
      </c>
      <c r="K35" t="b">
        <v>1</v>
      </c>
      <c r="L35" t="b">
        <v>0</v>
      </c>
      <c r="M35" t="s">
        <v>987</v>
      </c>
      <c r="N35" t="s">
        <v>1021</v>
      </c>
      <c r="O35" t="s">
        <v>990</v>
      </c>
      <c r="P35" t="s">
        <v>1022</v>
      </c>
      <c r="Q35" t="s">
        <v>1079</v>
      </c>
    </row>
    <row r="36" spans="1:17">
      <c r="A36" t="s">
        <v>42</v>
      </c>
      <c r="B36" t="s">
        <v>1080</v>
      </c>
      <c r="C36" t="s">
        <v>271</v>
      </c>
      <c r="D36" t="s">
        <v>1008</v>
      </c>
      <c r="E36">
        <v>-688.37</v>
      </c>
      <c r="F36" t="s">
        <v>1018</v>
      </c>
      <c r="G36" t="s">
        <v>1081</v>
      </c>
      <c r="H36" t="s">
        <v>988</v>
      </c>
      <c r="I36" t="s">
        <v>1048</v>
      </c>
      <c r="J36" t="s">
        <v>987</v>
      </c>
      <c r="K36" t="b">
        <v>1</v>
      </c>
      <c r="L36" t="b">
        <v>0</v>
      </c>
      <c r="M36" t="s">
        <v>987</v>
      </c>
      <c r="N36" t="s">
        <v>1021</v>
      </c>
      <c r="O36" t="s">
        <v>990</v>
      </c>
      <c r="P36" t="s">
        <v>1022</v>
      </c>
      <c r="Q36" t="s">
        <v>987</v>
      </c>
    </row>
    <row r="37" spans="1:17">
      <c r="A37" t="s">
        <v>42</v>
      </c>
      <c r="B37" t="s">
        <v>1082</v>
      </c>
      <c r="C37" t="s">
        <v>271</v>
      </c>
      <c r="D37" t="s">
        <v>1010</v>
      </c>
      <c r="E37">
        <v>-713.26499999999999</v>
      </c>
      <c r="F37" t="s">
        <v>1018</v>
      </c>
      <c r="G37" t="s">
        <v>1083</v>
      </c>
      <c r="H37" t="s">
        <v>988</v>
      </c>
      <c r="I37" t="s">
        <v>1039</v>
      </c>
      <c r="J37" t="s">
        <v>987</v>
      </c>
      <c r="K37" t="b">
        <v>1</v>
      </c>
      <c r="L37" t="b">
        <v>0</v>
      </c>
      <c r="M37" t="s">
        <v>987</v>
      </c>
      <c r="N37" t="s">
        <v>1021</v>
      </c>
      <c r="O37" t="s">
        <v>990</v>
      </c>
      <c r="P37" t="s">
        <v>1022</v>
      </c>
      <c r="Q37" t="s">
        <v>987</v>
      </c>
    </row>
    <row r="38" spans="1:17">
      <c r="A38" t="s">
        <v>42</v>
      </c>
      <c r="B38" t="s">
        <v>1084</v>
      </c>
      <c r="C38" t="s">
        <v>271</v>
      </c>
      <c r="D38" t="s">
        <v>1012</v>
      </c>
      <c r="E38">
        <v>-786.29499999999996</v>
      </c>
      <c r="F38" t="s">
        <v>1018</v>
      </c>
      <c r="G38" t="s">
        <v>1085</v>
      </c>
      <c r="H38" t="s">
        <v>988</v>
      </c>
      <c r="I38" t="s">
        <v>1042</v>
      </c>
      <c r="J38" t="s">
        <v>987</v>
      </c>
      <c r="K38" t="b">
        <v>1</v>
      </c>
      <c r="L38" t="b">
        <v>0</v>
      </c>
      <c r="M38" t="s">
        <v>987</v>
      </c>
      <c r="N38" t="s">
        <v>1021</v>
      </c>
      <c r="O38" t="s">
        <v>990</v>
      </c>
      <c r="P38" t="s">
        <v>1022</v>
      </c>
      <c r="Q38" t="s">
        <v>987</v>
      </c>
    </row>
    <row r="39" spans="1:17">
      <c r="A39" t="s">
        <v>42</v>
      </c>
      <c r="B39" t="s">
        <v>1086</v>
      </c>
      <c r="C39" t="s">
        <v>271</v>
      </c>
      <c r="D39" t="s">
        <v>1014</v>
      </c>
      <c r="E39">
        <v>-1113.376</v>
      </c>
      <c r="F39" t="s">
        <v>1018</v>
      </c>
      <c r="G39" t="s">
        <v>1087</v>
      </c>
      <c r="H39" t="s">
        <v>988</v>
      </c>
      <c r="I39" t="s">
        <v>987</v>
      </c>
      <c r="J39" t="s">
        <v>987</v>
      </c>
      <c r="K39" t="b">
        <v>1</v>
      </c>
      <c r="L39" t="b">
        <v>0</v>
      </c>
      <c r="M39" t="s">
        <v>987</v>
      </c>
      <c r="N39" t="s">
        <v>1021</v>
      </c>
      <c r="O39" t="s">
        <v>990</v>
      </c>
      <c r="P39" t="s">
        <v>1022</v>
      </c>
      <c r="Q39" t="s">
        <v>1088</v>
      </c>
    </row>
    <row r="40" spans="1:17">
      <c r="A40" t="s">
        <v>42</v>
      </c>
      <c r="B40" t="s">
        <v>1089</v>
      </c>
      <c r="C40" t="s">
        <v>271</v>
      </c>
      <c r="D40" t="s">
        <v>1016</v>
      </c>
      <c r="E40">
        <v>-842.21699999999998</v>
      </c>
      <c r="F40" t="s">
        <v>1018</v>
      </c>
      <c r="G40" t="s">
        <v>1090</v>
      </c>
      <c r="H40" t="s">
        <v>988</v>
      </c>
      <c r="I40" t="s">
        <v>1048</v>
      </c>
      <c r="J40" t="s">
        <v>987</v>
      </c>
      <c r="K40" t="b">
        <v>1</v>
      </c>
      <c r="L40" t="b">
        <v>0</v>
      </c>
      <c r="M40" t="s">
        <v>987</v>
      </c>
      <c r="N40" t="s">
        <v>1021</v>
      </c>
      <c r="O40" t="s">
        <v>990</v>
      </c>
      <c r="P40" t="s">
        <v>1022</v>
      </c>
      <c r="Q40" t="s">
        <v>987</v>
      </c>
    </row>
    <row r="41" spans="1:17">
      <c r="A41" t="s">
        <v>42</v>
      </c>
      <c r="B41" t="s">
        <v>1091</v>
      </c>
      <c r="C41" t="s">
        <v>272</v>
      </c>
      <c r="D41" t="s">
        <v>985</v>
      </c>
      <c r="E41">
        <v>-687.27499999999998</v>
      </c>
      <c r="F41" t="s">
        <v>1018</v>
      </c>
      <c r="G41" t="s">
        <v>1092</v>
      </c>
      <c r="H41" t="s">
        <v>988</v>
      </c>
      <c r="I41" t="s">
        <v>1020</v>
      </c>
      <c r="J41" t="s">
        <v>987</v>
      </c>
      <c r="K41" t="b">
        <v>1</v>
      </c>
      <c r="L41" t="b">
        <v>0</v>
      </c>
      <c r="M41" t="s">
        <v>987</v>
      </c>
      <c r="N41" t="s">
        <v>1021</v>
      </c>
      <c r="O41" t="s">
        <v>990</v>
      </c>
      <c r="P41" t="s">
        <v>1022</v>
      </c>
      <c r="Q41" t="s">
        <v>987</v>
      </c>
    </row>
    <row r="42" spans="1:17">
      <c r="A42" t="s">
        <v>42</v>
      </c>
      <c r="B42" t="s">
        <v>1093</v>
      </c>
      <c r="C42" t="s">
        <v>272</v>
      </c>
      <c r="D42" t="s">
        <v>994</v>
      </c>
      <c r="E42">
        <v>-657.98299999999995</v>
      </c>
      <c r="F42" t="s">
        <v>1018</v>
      </c>
      <c r="G42" t="s">
        <v>1094</v>
      </c>
      <c r="H42" t="s">
        <v>988</v>
      </c>
      <c r="I42" t="s">
        <v>1026</v>
      </c>
      <c r="J42" t="s">
        <v>987</v>
      </c>
      <c r="K42" t="b">
        <v>1</v>
      </c>
      <c r="L42" t="b">
        <v>0</v>
      </c>
      <c r="M42" t="s">
        <v>987</v>
      </c>
      <c r="N42" t="s">
        <v>1021</v>
      </c>
      <c r="O42" t="s">
        <v>990</v>
      </c>
      <c r="P42" t="s">
        <v>1022</v>
      </c>
      <c r="Q42" t="s">
        <v>987</v>
      </c>
    </row>
    <row r="43" spans="1:17">
      <c r="A43" t="s">
        <v>42</v>
      </c>
      <c r="B43" t="s">
        <v>1095</v>
      </c>
      <c r="C43" t="s">
        <v>272</v>
      </c>
      <c r="D43" t="s">
        <v>996</v>
      </c>
      <c r="E43">
        <v>-657.15899999999999</v>
      </c>
      <c r="F43" t="s">
        <v>1018</v>
      </c>
      <c r="G43" t="s">
        <v>1096</v>
      </c>
      <c r="H43" t="s">
        <v>988</v>
      </c>
      <c r="I43" t="s">
        <v>1029</v>
      </c>
      <c r="J43" t="s">
        <v>987</v>
      </c>
      <c r="K43" t="b">
        <v>1</v>
      </c>
      <c r="L43" t="b">
        <v>0</v>
      </c>
      <c r="M43" t="s">
        <v>987</v>
      </c>
      <c r="N43" t="s">
        <v>1021</v>
      </c>
      <c r="O43" t="s">
        <v>990</v>
      </c>
      <c r="P43" t="s">
        <v>1022</v>
      </c>
      <c r="Q43" t="s">
        <v>987</v>
      </c>
    </row>
    <row r="44" spans="1:17">
      <c r="A44" t="s">
        <v>42</v>
      </c>
      <c r="B44" t="s">
        <v>1097</v>
      </c>
      <c r="C44" t="s">
        <v>272</v>
      </c>
      <c r="D44" t="s">
        <v>998</v>
      </c>
      <c r="E44">
        <v>-673.34100000000001</v>
      </c>
      <c r="F44" t="s">
        <v>1018</v>
      </c>
      <c r="G44" t="s">
        <v>1098</v>
      </c>
      <c r="H44" t="s">
        <v>988</v>
      </c>
      <c r="I44" t="s">
        <v>987</v>
      </c>
      <c r="J44" t="s">
        <v>987</v>
      </c>
      <c r="K44" t="b">
        <v>1</v>
      </c>
      <c r="L44" t="b">
        <v>0</v>
      </c>
      <c r="M44" t="s">
        <v>987</v>
      </c>
      <c r="N44" t="s">
        <v>1021</v>
      </c>
      <c r="O44" t="s">
        <v>990</v>
      </c>
      <c r="P44" t="s">
        <v>1022</v>
      </c>
      <c r="Q44" t="s">
        <v>1099</v>
      </c>
    </row>
    <row r="45" spans="1:17">
      <c r="A45" t="s">
        <v>42</v>
      </c>
      <c r="B45" t="s">
        <v>1100</v>
      </c>
      <c r="C45" t="s">
        <v>272</v>
      </c>
      <c r="D45" t="s">
        <v>1000</v>
      </c>
      <c r="E45">
        <v>-702.47299999999996</v>
      </c>
      <c r="F45" t="s">
        <v>1018</v>
      </c>
      <c r="G45" t="s">
        <v>1101</v>
      </c>
      <c r="H45" t="s">
        <v>988</v>
      </c>
      <c r="I45" t="s">
        <v>1036</v>
      </c>
      <c r="J45" t="s">
        <v>987</v>
      </c>
      <c r="K45" t="b">
        <v>1</v>
      </c>
      <c r="L45" t="b">
        <v>0</v>
      </c>
      <c r="M45" t="s">
        <v>987</v>
      </c>
      <c r="N45" t="s">
        <v>1021</v>
      </c>
      <c r="O45" t="s">
        <v>990</v>
      </c>
      <c r="P45" t="s">
        <v>1022</v>
      </c>
      <c r="Q45" t="s">
        <v>987</v>
      </c>
    </row>
    <row r="46" spans="1:17">
      <c r="A46" t="s">
        <v>42</v>
      </c>
      <c r="B46" t="s">
        <v>1102</v>
      </c>
      <c r="C46" t="s">
        <v>272</v>
      </c>
      <c r="D46" t="s">
        <v>1002</v>
      </c>
      <c r="E46">
        <v>-711.25400000000002</v>
      </c>
      <c r="F46" t="s">
        <v>1018</v>
      </c>
      <c r="G46" t="s">
        <v>1103</v>
      </c>
      <c r="H46" t="s">
        <v>988</v>
      </c>
      <c r="I46" t="s">
        <v>1039</v>
      </c>
      <c r="J46" t="s">
        <v>987</v>
      </c>
      <c r="K46" t="b">
        <v>1</v>
      </c>
      <c r="L46" t="b">
        <v>0</v>
      </c>
      <c r="M46" t="s">
        <v>987</v>
      </c>
      <c r="N46" t="s">
        <v>1021</v>
      </c>
      <c r="O46" t="s">
        <v>990</v>
      </c>
      <c r="P46" t="s">
        <v>1022</v>
      </c>
      <c r="Q46" t="s">
        <v>987</v>
      </c>
    </row>
    <row r="47" spans="1:17">
      <c r="A47" t="s">
        <v>42</v>
      </c>
      <c r="B47" t="s">
        <v>1104</v>
      </c>
      <c r="C47" t="s">
        <v>272</v>
      </c>
      <c r="D47" t="s">
        <v>1004</v>
      </c>
      <c r="E47">
        <v>-735.06299999999999</v>
      </c>
      <c r="F47" t="s">
        <v>1018</v>
      </c>
      <c r="G47" t="s">
        <v>1105</v>
      </c>
      <c r="H47" t="s">
        <v>988</v>
      </c>
      <c r="I47" t="s">
        <v>1042</v>
      </c>
      <c r="J47" t="s">
        <v>987</v>
      </c>
      <c r="K47" t="b">
        <v>1</v>
      </c>
      <c r="L47" t="b">
        <v>0</v>
      </c>
      <c r="M47" t="s">
        <v>987</v>
      </c>
      <c r="N47" t="s">
        <v>1021</v>
      </c>
      <c r="O47" t="s">
        <v>990</v>
      </c>
      <c r="P47" t="s">
        <v>1022</v>
      </c>
      <c r="Q47" t="s">
        <v>987</v>
      </c>
    </row>
    <row r="48" spans="1:17">
      <c r="A48" t="s">
        <v>42</v>
      </c>
      <c r="B48" t="s">
        <v>1106</v>
      </c>
      <c r="C48" t="s">
        <v>272</v>
      </c>
      <c r="D48" t="s">
        <v>1006</v>
      </c>
      <c r="E48">
        <v>-776.505</v>
      </c>
      <c r="F48" t="s">
        <v>1018</v>
      </c>
      <c r="G48" t="s">
        <v>1107</v>
      </c>
      <c r="H48" t="s">
        <v>988</v>
      </c>
      <c r="I48" t="s">
        <v>987</v>
      </c>
      <c r="J48" t="s">
        <v>987</v>
      </c>
      <c r="K48" t="b">
        <v>1</v>
      </c>
      <c r="L48" t="b">
        <v>0</v>
      </c>
      <c r="M48" t="s">
        <v>987</v>
      </c>
      <c r="N48" t="s">
        <v>1021</v>
      </c>
      <c r="O48" t="s">
        <v>990</v>
      </c>
      <c r="P48" t="s">
        <v>1022</v>
      </c>
      <c r="Q48" t="s">
        <v>1108</v>
      </c>
    </row>
    <row r="49" spans="1:17">
      <c r="A49" t="s">
        <v>42</v>
      </c>
      <c r="B49" t="s">
        <v>1109</v>
      </c>
      <c r="C49" t="s">
        <v>272</v>
      </c>
      <c r="D49" t="s">
        <v>1008</v>
      </c>
      <c r="E49">
        <v>-822.82299999999998</v>
      </c>
      <c r="F49" t="s">
        <v>1018</v>
      </c>
      <c r="G49" t="s">
        <v>1110</v>
      </c>
      <c r="H49" t="s">
        <v>988</v>
      </c>
      <c r="I49" t="s">
        <v>1048</v>
      </c>
      <c r="J49" t="s">
        <v>987</v>
      </c>
      <c r="K49" t="b">
        <v>1</v>
      </c>
      <c r="L49" t="b">
        <v>0</v>
      </c>
      <c r="M49" t="s">
        <v>987</v>
      </c>
      <c r="N49" t="s">
        <v>1021</v>
      </c>
      <c r="O49" t="s">
        <v>990</v>
      </c>
      <c r="P49" t="s">
        <v>1022</v>
      </c>
      <c r="Q49" t="s">
        <v>987</v>
      </c>
    </row>
    <row r="50" spans="1:17">
      <c r="A50" t="s">
        <v>42</v>
      </c>
      <c r="B50" t="s">
        <v>1111</v>
      </c>
      <c r="C50" t="s">
        <v>272</v>
      </c>
      <c r="D50" t="s">
        <v>1010</v>
      </c>
      <c r="E50">
        <v>-824.68299999999999</v>
      </c>
      <c r="F50" t="s">
        <v>1018</v>
      </c>
      <c r="G50" t="s">
        <v>1112</v>
      </c>
      <c r="H50" t="s">
        <v>988</v>
      </c>
      <c r="I50" t="s">
        <v>1039</v>
      </c>
      <c r="J50" t="s">
        <v>987</v>
      </c>
      <c r="K50" t="b">
        <v>1</v>
      </c>
      <c r="L50" t="b">
        <v>0</v>
      </c>
      <c r="M50" t="s">
        <v>987</v>
      </c>
      <c r="N50" t="s">
        <v>1021</v>
      </c>
      <c r="O50" t="s">
        <v>990</v>
      </c>
      <c r="P50" t="s">
        <v>1022</v>
      </c>
      <c r="Q50" t="s">
        <v>987</v>
      </c>
    </row>
    <row r="51" spans="1:17">
      <c r="A51" t="s">
        <v>42</v>
      </c>
      <c r="B51" t="s">
        <v>1113</v>
      </c>
      <c r="C51" t="s">
        <v>272</v>
      </c>
      <c r="D51" t="s">
        <v>1012</v>
      </c>
      <c r="E51">
        <v>-853.58399999999995</v>
      </c>
      <c r="F51" t="s">
        <v>1018</v>
      </c>
      <c r="G51" t="s">
        <v>1114</v>
      </c>
      <c r="H51" t="s">
        <v>988</v>
      </c>
      <c r="I51" t="s">
        <v>1042</v>
      </c>
      <c r="J51" t="s">
        <v>987</v>
      </c>
      <c r="K51" t="b">
        <v>1</v>
      </c>
      <c r="L51" t="b">
        <v>0</v>
      </c>
      <c r="M51" t="s">
        <v>987</v>
      </c>
      <c r="N51" t="s">
        <v>1021</v>
      </c>
      <c r="O51" t="s">
        <v>990</v>
      </c>
      <c r="P51" t="s">
        <v>1022</v>
      </c>
      <c r="Q51" t="s">
        <v>987</v>
      </c>
    </row>
    <row r="52" spans="1:17">
      <c r="A52" t="s">
        <v>42</v>
      </c>
      <c r="B52" t="s">
        <v>1115</v>
      </c>
      <c r="C52" t="s">
        <v>272</v>
      </c>
      <c r="D52" t="s">
        <v>1014</v>
      </c>
      <c r="E52">
        <v>-890.3</v>
      </c>
      <c r="F52" t="s">
        <v>1018</v>
      </c>
      <c r="G52" t="s">
        <v>1116</v>
      </c>
      <c r="H52" t="s">
        <v>988</v>
      </c>
      <c r="I52" t="s">
        <v>987</v>
      </c>
      <c r="J52" t="s">
        <v>987</v>
      </c>
      <c r="K52" t="b">
        <v>1</v>
      </c>
      <c r="L52" t="b">
        <v>0</v>
      </c>
      <c r="M52" t="s">
        <v>987</v>
      </c>
      <c r="N52" t="s">
        <v>1021</v>
      </c>
      <c r="O52" t="s">
        <v>990</v>
      </c>
      <c r="P52" t="s">
        <v>1022</v>
      </c>
      <c r="Q52" t="s">
        <v>1117</v>
      </c>
    </row>
    <row r="53" spans="1:17">
      <c r="A53" t="s">
        <v>42</v>
      </c>
      <c r="B53" t="s">
        <v>1118</v>
      </c>
      <c r="C53" t="s">
        <v>272</v>
      </c>
      <c r="D53" t="s">
        <v>1016</v>
      </c>
      <c r="E53">
        <v>-959.69600000000003</v>
      </c>
      <c r="F53" t="s">
        <v>1018</v>
      </c>
      <c r="G53" t="s">
        <v>1119</v>
      </c>
      <c r="H53" t="s">
        <v>988</v>
      </c>
      <c r="I53" t="s">
        <v>1048</v>
      </c>
      <c r="J53" t="s">
        <v>987</v>
      </c>
      <c r="K53" t="b">
        <v>1</v>
      </c>
      <c r="L53" t="b">
        <v>0</v>
      </c>
      <c r="M53" t="s">
        <v>987</v>
      </c>
      <c r="N53" t="s">
        <v>1021</v>
      </c>
      <c r="O53" t="s">
        <v>990</v>
      </c>
      <c r="P53" t="s">
        <v>1022</v>
      </c>
      <c r="Q53" t="s">
        <v>987</v>
      </c>
    </row>
    <row r="54" spans="1:17">
      <c r="A54" t="s">
        <v>42</v>
      </c>
      <c r="B54" t="s">
        <v>1120</v>
      </c>
      <c r="C54" t="s">
        <v>273</v>
      </c>
      <c r="D54" t="s">
        <v>985</v>
      </c>
      <c r="E54">
        <v>-90.334999999999994</v>
      </c>
      <c r="F54" t="s">
        <v>1018</v>
      </c>
      <c r="G54" t="s">
        <v>1121</v>
      </c>
      <c r="H54" t="s">
        <v>988</v>
      </c>
      <c r="I54" t="s">
        <v>1020</v>
      </c>
      <c r="J54" t="s">
        <v>987</v>
      </c>
      <c r="K54" t="b">
        <v>1</v>
      </c>
      <c r="L54" t="b">
        <v>0</v>
      </c>
      <c r="M54" t="s">
        <v>987</v>
      </c>
      <c r="N54" t="s">
        <v>1021</v>
      </c>
      <c r="O54" t="s">
        <v>990</v>
      </c>
      <c r="P54" t="s">
        <v>1022</v>
      </c>
      <c r="Q54" t="s">
        <v>987</v>
      </c>
    </row>
    <row r="55" spans="1:17">
      <c r="A55" t="s">
        <v>42</v>
      </c>
      <c r="B55" t="s">
        <v>1122</v>
      </c>
      <c r="C55" t="s">
        <v>273</v>
      </c>
      <c r="D55" t="s">
        <v>994</v>
      </c>
      <c r="E55">
        <v>-89.385000000000005</v>
      </c>
      <c r="F55" t="s">
        <v>1018</v>
      </c>
      <c r="G55" t="s">
        <v>1123</v>
      </c>
      <c r="H55" t="s">
        <v>988</v>
      </c>
      <c r="I55" t="s">
        <v>1026</v>
      </c>
      <c r="J55" t="s">
        <v>987</v>
      </c>
      <c r="K55" t="b">
        <v>1</v>
      </c>
      <c r="L55" t="b">
        <v>0</v>
      </c>
      <c r="M55" t="s">
        <v>987</v>
      </c>
      <c r="N55" t="s">
        <v>1021</v>
      </c>
      <c r="O55" t="s">
        <v>990</v>
      </c>
      <c r="P55" t="s">
        <v>1022</v>
      </c>
      <c r="Q55" t="s">
        <v>987</v>
      </c>
    </row>
    <row r="56" spans="1:17">
      <c r="A56" t="s">
        <v>42</v>
      </c>
      <c r="B56" t="s">
        <v>1124</v>
      </c>
      <c r="C56" t="s">
        <v>273</v>
      </c>
      <c r="D56" t="s">
        <v>996</v>
      </c>
      <c r="E56">
        <v>-90.66</v>
      </c>
      <c r="F56" t="s">
        <v>1018</v>
      </c>
      <c r="G56" t="s">
        <v>1125</v>
      </c>
      <c r="H56" t="s">
        <v>988</v>
      </c>
      <c r="I56" t="s">
        <v>1029</v>
      </c>
      <c r="J56" t="s">
        <v>987</v>
      </c>
      <c r="K56" t="b">
        <v>1</v>
      </c>
      <c r="L56" t="b">
        <v>0</v>
      </c>
      <c r="M56" t="s">
        <v>987</v>
      </c>
      <c r="N56" t="s">
        <v>1021</v>
      </c>
      <c r="O56" t="s">
        <v>990</v>
      </c>
      <c r="P56" t="s">
        <v>1022</v>
      </c>
      <c r="Q56" t="s">
        <v>987</v>
      </c>
    </row>
    <row r="57" spans="1:17">
      <c r="A57" t="s">
        <v>42</v>
      </c>
      <c r="B57" t="s">
        <v>1126</v>
      </c>
      <c r="C57" t="s">
        <v>273</v>
      </c>
      <c r="D57" t="s">
        <v>998</v>
      </c>
      <c r="E57">
        <v>-86.566999999999993</v>
      </c>
      <c r="F57" t="s">
        <v>1018</v>
      </c>
      <c r="G57" t="s">
        <v>1127</v>
      </c>
      <c r="H57" t="s">
        <v>988</v>
      </c>
      <c r="I57" t="s">
        <v>987</v>
      </c>
      <c r="J57" t="s">
        <v>987</v>
      </c>
      <c r="K57" t="b">
        <v>1</v>
      </c>
      <c r="L57" t="b">
        <v>1</v>
      </c>
      <c r="M57" t="s">
        <v>1032</v>
      </c>
      <c r="N57" t="s">
        <v>1021</v>
      </c>
      <c r="O57" t="s">
        <v>990</v>
      </c>
      <c r="P57" t="s">
        <v>1022</v>
      </c>
      <c r="Q57" t="s">
        <v>1128</v>
      </c>
    </row>
    <row r="58" spans="1:17">
      <c r="A58" t="s">
        <v>42</v>
      </c>
      <c r="B58" t="s">
        <v>1129</v>
      </c>
      <c r="C58" t="s">
        <v>273</v>
      </c>
      <c r="D58" t="s">
        <v>1000</v>
      </c>
      <c r="E58">
        <v>-87.233999999999995</v>
      </c>
      <c r="F58" t="s">
        <v>1018</v>
      </c>
      <c r="G58" t="s">
        <v>1130</v>
      </c>
      <c r="H58" t="s">
        <v>988</v>
      </c>
      <c r="I58" t="s">
        <v>1036</v>
      </c>
      <c r="J58" t="s">
        <v>987</v>
      </c>
      <c r="K58" t="b">
        <v>1</v>
      </c>
      <c r="L58" t="b">
        <v>0</v>
      </c>
      <c r="M58" t="s">
        <v>987</v>
      </c>
      <c r="N58" t="s">
        <v>1021</v>
      </c>
      <c r="O58" t="s">
        <v>990</v>
      </c>
      <c r="P58" t="s">
        <v>1022</v>
      </c>
      <c r="Q58" t="s">
        <v>987</v>
      </c>
    </row>
    <row r="59" spans="1:17">
      <c r="A59" t="s">
        <v>42</v>
      </c>
      <c r="B59" t="s">
        <v>1131</v>
      </c>
      <c r="C59" t="s">
        <v>273</v>
      </c>
      <c r="D59" t="s">
        <v>1002</v>
      </c>
      <c r="E59">
        <v>-81.227000000000004</v>
      </c>
      <c r="F59" t="s">
        <v>1018</v>
      </c>
      <c r="G59" t="s">
        <v>1132</v>
      </c>
      <c r="H59" t="s">
        <v>988</v>
      </c>
      <c r="I59" t="s">
        <v>1039</v>
      </c>
      <c r="J59" t="s">
        <v>987</v>
      </c>
      <c r="K59" t="b">
        <v>1</v>
      </c>
      <c r="L59" t="b">
        <v>0</v>
      </c>
      <c r="M59" t="s">
        <v>987</v>
      </c>
      <c r="N59" t="s">
        <v>1021</v>
      </c>
      <c r="O59" t="s">
        <v>990</v>
      </c>
      <c r="P59" t="s">
        <v>1022</v>
      </c>
      <c r="Q59" t="s">
        <v>987</v>
      </c>
    </row>
    <row r="60" spans="1:17">
      <c r="A60" t="s">
        <v>42</v>
      </c>
      <c r="B60" t="s">
        <v>1133</v>
      </c>
      <c r="C60" t="s">
        <v>273</v>
      </c>
      <c r="D60" t="s">
        <v>1004</v>
      </c>
      <c r="E60">
        <v>-80.914000000000001</v>
      </c>
      <c r="F60" t="s">
        <v>1018</v>
      </c>
      <c r="G60" t="s">
        <v>1134</v>
      </c>
      <c r="H60" t="s">
        <v>988</v>
      </c>
      <c r="I60" t="s">
        <v>1042</v>
      </c>
      <c r="J60" t="s">
        <v>987</v>
      </c>
      <c r="K60" t="b">
        <v>1</v>
      </c>
      <c r="L60" t="b">
        <v>0</v>
      </c>
      <c r="M60" t="s">
        <v>987</v>
      </c>
      <c r="N60" t="s">
        <v>1021</v>
      </c>
      <c r="O60" t="s">
        <v>990</v>
      </c>
      <c r="P60" t="s">
        <v>1022</v>
      </c>
      <c r="Q60" t="s">
        <v>987</v>
      </c>
    </row>
    <row r="61" spans="1:17">
      <c r="A61" t="s">
        <v>42</v>
      </c>
      <c r="B61" t="s">
        <v>1135</v>
      </c>
      <c r="C61" t="s">
        <v>273</v>
      </c>
      <c r="D61" t="s">
        <v>1006</v>
      </c>
      <c r="E61">
        <v>-79.539000000000001</v>
      </c>
      <c r="F61" t="s">
        <v>1018</v>
      </c>
      <c r="G61" t="s">
        <v>1136</v>
      </c>
      <c r="H61" t="s">
        <v>988</v>
      </c>
      <c r="I61" t="s">
        <v>987</v>
      </c>
      <c r="J61" t="s">
        <v>987</v>
      </c>
      <c r="K61" t="b">
        <v>1</v>
      </c>
      <c r="L61" t="b">
        <v>0</v>
      </c>
      <c r="M61" t="s">
        <v>987</v>
      </c>
      <c r="N61" t="s">
        <v>1021</v>
      </c>
      <c r="O61" t="s">
        <v>990</v>
      </c>
      <c r="P61" t="s">
        <v>1022</v>
      </c>
      <c r="Q61" t="s">
        <v>1137</v>
      </c>
    </row>
    <row r="62" spans="1:17">
      <c r="A62" t="s">
        <v>42</v>
      </c>
      <c r="B62" t="s">
        <v>1138</v>
      </c>
      <c r="C62" t="s">
        <v>273</v>
      </c>
      <c r="D62" t="s">
        <v>1008</v>
      </c>
      <c r="E62">
        <v>-80.066999999999993</v>
      </c>
      <c r="F62" t="s">
        <v>1018</v>
      </c>
      <c r="G62" t="s">
        <v>1139</v>
      </c>
      <c r="H62" t="s">
        <v>988</v>
      </c>
      <c r="I62" t="s">
        <v>1048</v>
      </c>
      <c r="J62" t="s">
        <v>987</v>
      </c>
      <c r="K62" t="b">
        <v>1</v>
      </c>
      <c r="L62" t="b">
        <v>0</v>
      </c>
      <c r="M62" t="s">
        <v>987</v>
      </c>
      <c r="N62" t="s">
        <v>1021</v>
      </c>
      <c r="O62" t="s">
        <v>990</v>
      </c>
      <c r="P62" t="s">
        <v>1022</v>
      </c>
      <c r="Q62" t="s">
        <v>987</v>
      </c>
    </row>
    <row r="63" spans="1:17">
      <c r="A63" t="s">
        <v>42</v>
      </c>
      <c r="B63" t="s">
        <v>1140</v>
      </c>
      <c r="C63" t="s">
        <v>273</v>
      </c>
      <c r="D63" t="s">
        <v>1010</v>
      </c>
      <c r="E63">
        <v>-80.013000000000005</v>
      </c>
      <c r="F63" t="s">
        <v>1018</v>
      </c>
      <c r="G63" t="s">
        <v>1141</v>
      </c>
      <c r="H63" t="s">
        <v>988</v>
      </c>
      <c r="I63" t="s">
        <v>1039</v>
      </c>
      <c r="J63" t="s">
        <v>987</v>
      </c>
      <c r="K63" t="b">
        <v>1</v>
      </c>
      <c r="L63" t="b">
        <v>0</v>
      </c>
      <c r="M63" t="s">
        <v>987</v>
      </c>
      <c r="N63" t="s">
        <v>1021</v>
      </c>
      <c r="O63" t="s">
        <v>990</v>
      </c>
      <c r="P63" t="s">
        <v>1022</v>
      </c>
      <c r="Q63" t="s">
        <v>987</v>
      </c>
    </row>
    <row r="64" spans="1:17">
      <c r="A64" t="s">
        <v>42</v>
      </c>
      <c r="B64" t="s">
        <v>1142</v>
      </c>
      <c r="C64" t="s">
        <v>273</v>
      </c>
      <c r="D64" t="s">
        <v>1012</v>
      </c>
      <c r="E64">
        <v>-87.325999999999993</v>
      </c>
      <c r="F64" t="s">
        <v>1018</v>
      </c>
      <c r="G64" t="s">
        <v>1143</v>
      </c>
      <c r="H64" t="s">
        <v>988</v>
      </c>
      <c r="I64" t="s">
        <v>1042</v>
      </c>
      <c r="J64" t="s">
        <v>987</v>
      </c>
      <c r="K64" t="b">
        <v>1</v>
      </c>
      <c r="L64" t="b">
        <v>0</v>
      </c>
      <c r="M64" t="s">
        <v>987</v>
      </c>
      <c r="N64" t="s">
        <v>1021</v>
      </c>
      <c r="O64" t="s">
        <v>990</v>
      </c>
      <c r="P64" t="s">
        <v>1022</v>
      </c>
      <c r="Q64" t="s">
        <v>987</v>
      </c>
    </row>
    <row r="65" spans="1:17">
      <c r="A65" t="s">
        <v>42</v>
      </c>
      <c r="B65" t="s">
        <v>1144</v>
      </c>
      <c r="C65" t="s">
        <v>273</v>
      </c>
      <c r="D65" t="s">
        <v>1014</v>
      </c>
      <c r="E65">
        <v>-85.983000000000004</v>
      </c>
      <c r="F65" t="s">
        <v>1018</v>
      </c>
      <c r="G65" t="s">
        <v>1145</v>
      </c>
      <c r="H65" t="s">
        <v>988</v>
      </c>
      <c r="I65" t="s">
        <v>987</v>
      </c>
      <c r="J65" t="s">
        <v>987</v>
      </c>
      <c r="K65" t="b">
        <v>1</v>
      </c>
      <c r="L65" t="b">
        <v>0</v>
      </c>
      <c r="M65" t="s">
        <v>987</v>
      </c>
      <c r="N65" t="s">
        <v>1021</v>
      </c>
      <c r="O65" t="s">
        <v>990</v>
      </c>
      <c r="P65" t="s">
        <v>1022</v>
      </c>
      <c r="Q65" t="s">
        <v>1146</v>
      </c>
    </row>
    <row r="66" spans="1:17">
      <c r="A66" t="s">
        <v>42</v>
      </c>
      <c r="B66" t="s">
        <v>1147</v>
      </c>
      <c r="C66" t="s">
        <v>273</v>
      </c>
      <c r="D66" t="s">
        <v>1016</v>
      </c>
      <c r="E66">
        <v>-98.575000000000003</v>
      </c>
      <c r="F66" t="s">
        <v>1018</v>
      </c>
      <c r="G66" t="s">
        <v>1148</v>
      </c>
      <c r="H66" t="s">
        <v>988</v>
      </c>
      <c r="I66" t="s">
        <v>1048</v>
      </c>
      <c r="J66" t="s">
        <v>987</v>
      </c>
      <c r="K66" t="b">
        <v>1</v>
      </c>
      <c r="L66" t="b">
        <v>0</v>
      </c>
      <c r="M66" t="s">
        <v>987</v>
      </c>
      <c r="N66" t="s">
        <v>1021</v>
      </c>
      <c r="O66" t="s">
        <v>990</v>
      </c>
      <c r="P66" t="s">
        <v>1022</v>
      </c>
      <c r="Q66" t="s">
        <v>987</v>
      </c>
    </row>
    <row r="67" spans="1:17">
      <c r="A67" t="s">
        <v>42</v>
      </c>
      <c r="B67" t="s">
        <v>1149</v>
      </c>
      <c r="C67" t="s">
        <v>274</v>
      </c>
      <c r="D67" t="s">
        <v>985</v>
      </c>
      <c r="E67">
        <v>-71.203999999999994</v>
      </c>
      <c r="F67" t="s">
        <v>1018</v>
      </c>
      <c r="G67" t="s">
        <v>1150</v>
      </c>
      <c r="H67" t="s">
        <v>988</v>
      </c>
      <c r="I67" t="s">
        <v>1020</v>
      </c>
      <c r="J67" t="s">
        <v>987</v>
      </c>
      <c r="K67" t="b">
        <v>1</v>
      </c>
      <c r="L67" t="b">
        <v>0</v>
      </c>
      <c r="M67" t="s">
        <v>987</v>
      </c>
      <c r="N67" t="s">
        <v>1021</v>
      </c>
      <c r="O67" t="s">
        <v>1151</v>
      </c>
      <c r="P67" t="s">
        <v>1022</v>
      </c>
      <c r="Q67" t="s">
        <v>1152</v>
      </c>
    </row>
    <row r="68" spans="1:17">
      <c r="A68" t="s">
        <v>42</v>
      </c>
      <c r="B68" t="s">
        <v>1153</v>
      </c>
      <c r="C68" t="s">
        <v>274</v>
      </c>
      <c r="D68" t="s">
        <v>994</v>
      </c>
      <c r="E68">
        <v>-26.960999999999999</v>
      </c>
      <c r="F68" t="s">
        <v>1018</v>
      </c>
      <c r="G68" t="s">
        <v>1154</v>
      </c>
      <c r="H68" t="s">
        <v>988</v>
      </c>
      <c r="I68" t="s">
        <v>1026</v>
      </c>
      <c r="J68" t="s">
        <v>987</v>
      </c>
      <c r="K68" t="b">
        <v>1</v>
      </c>
      <c r="L68" t="b">
        <v>0</v>
      </c>
      <c r="M68" t="s">
        <v>987</v>
      </c>
      <c r="N68" t="s">
        <v>1021</v>
      </c>
      <c r="O68" t="s">
        <v>1151</v>
      </c>
      <c r="P68" t="s">
        <v>1022</v>
      </c>
      <c r="Q68" t="s">
        <v>1152</v>
      </c>
    </row>
    <row r="69" spans="1:17">
      <c r="A69" t="s">
        <v>42</v>
      </c>
      <c r="B69" t="s">
        <v>1155</v>
      </c>
      <c r="C69" t="s">
        <v>274</v>
      </c>
      <c r="D69" t="s">
        <v>996</v>
      </c>
      <c r="E69">
        <v>-168.21799999999999</v>
      </c>
      <c r="F69" t="s">
        <v>1018</v>
      </c>
      <c r="G69" t="s">
        <v>1156</v>
      </c>
      <c r="H69" t="s">
        <v>988</v>
      </c>
      <c r="I69" t="s">
        <v>1029</v>
      </c>
      <c r="J69" t="s">
        <v>987</v>
      </c>
      <c r="K69" t="b">
        <v>1</v>
      </c>
      <c r="L69" t="b">
        <v>0</v>
      </c>
      <c r="M69" t="s">
        <v>987</v>
      </c>
      <c r="N69" t="s">
        <v>1021</v>
      </c>
      <c r="O69" t="s">
        <v>1151</v>
      </c>
      <c r="P69" t="s">
        <v>1022</v>
      </c>
      <c r="Q69" t="s">
        <v>1152</v>
      </c>
    </row>
    <row r="70" spans="1:17">
      <c r="A70" t="s">
        <v>42</v>
      </c>
      <c r="B70" t="s">
        <v>1157</v>
      </c>
      <c r="C70" t="s">
        <v>274</v>
      </c>
      <c r="D70" t="s">
        <v>998</v>
      </c>
      <c r="E70">
        <v>-172.74700000000001</v>
      </c>
      <c r="F70" t="s">
        <v>1018</v>
      </c>
      <c r="G70" t="s">
        <v>1158</v>
      </c>
      <c r="H70" t="s">
        <v>988</v>
      </c>
      <c r="I70" t="s">
        <v>987</v>
      </c>
      <c r="J70" t="s">
        <v>987</v>
      </c>
      <c r="K70" t="b">
        <v>1</v>
      </c>
      <c r="L70" t="b">
        <v>0</v>
      </c>
      <c r="M70" t="s">
        <v>987</v>
      </c>
      <c r="N70" t="s">
        <v>1021</v>
      </c>
      <c r="O70" t="s">
        <v>1151</v>
      </c>
      <c r="P70" t="s">
        <v>1022</v>
      </c>
      <c r="Q70" t="s">
        <v>1159</v>
      </c>
    </row>
    <row r="71" spans="1:17">
      <c r="A71" t="s">
        <v>42</v>
      </c>
      <c r="B71" t="s">
        <v>1160</v>
      </c>
      <c r="C71" t="s">
        <v>274</v>
      </c>
      <c r="D71" t="s">
        <v>1000</v>
      </c>
      <c r="E71">
        <v>-155.35900000000001</v>
      </c>
      <c r="F71" t="s">
        <v>1018</v>
      </c>
      <c r="G71" t="s">
        <v>1161</v>
      </c>
      <c r="H71" t="s">
        <v>988</v>
      </c>
      <c r="I71" t="s">
        <v>1036</v>
      </c>
      <c r="J71" t="s">
        <v>987</v>
      </c>
      <c r="K71" t="b">
        <v>1</v>
      </c>
      <c r="L71" t="b">
        <v>0</v>
      </c>
      <c r="M71" t="s">
        <v>987</v>
      </c>
      <c r="N71" t="s">
        <v>1021</v>
      </c>
      <c r="O71" t="s">
        <v>1151</v>
      </c>
      <c r="P71" t="s">
        <v>1022</v>
      </c>
      <c r="Q71" t="s">
        <v>1152</v>
      </c>
    </row>
    <row r="72" spans="1:17">
      <c r="A72" t="s">
        <v>42</v>
      </c>
      <c r="B72" t="s">
        <v>1162</v>
      </c>
      <c r="C72" t="s">
        <v>274</v>
      </c>
      <c r="D72" t="s">
        <v>1002</v>
      </c>
      <c r="E72">
        <v>-79.004999999999995</v>
      </c>
      <c r="F72" t="s">
        <v>1018</v>
      </c>
      <c r="G72" t="s">
        <v>1163</v>
      </c>
      <c r="H72" t="s">
        <v>988</v>
      </c>
      <c r="I72" t="s">
        <v>1039</v>
      </c>
      <c r="J72" t="s">
        <v>987</v>
      </c>
      <c r="K72" t="b">
        <v>1</v>
      </c>
      <c r="L72" t="b">
        <v>0</v>
      </c>
      <c r="M72" t="s">
        <v>987</v>
      </c>
      <c r="N72" t="s">
        <v>1021</v>
      </c>
      <c r="O72" t="s">
        <v>1151</v>
      </c>
      <c r="P72" t="s">
        <v>1022</v>
      </c>
      <c r="Q72" t="s">
        <v>1152</v>
      </c>
    </row>
    <row r="73" spans="1:17">
      <c r="A73" t="s">
        <v>42</v>
      </c>
      <c r="B73" t="s">
        <v>1164</v>
      </c>
      <c r="C73" t="s">
        <v>274</v>
      </c>
      <c r="D73" t="s">
        <v>1004</v>
      </c>
      <c r="E73">
        <v>-21.693000000000001</v>
      </c>
      <c r="F73" t="s">
        <v>1018</v>
      </c>
      <c r="G73" t="s">
        <v>1165</v>
      </c>
      <c r="H73" t="s">
        <v>988</v>
      </c>
      <c r="I73" t="s">
        <v>1042</v>
      </c>
      <c r="J73" t="s">
        <v>987</v>
      </c>
      <c r="K73" t="b">
        <v>1</v>
      </c>
      <c r="L73" t="b">
        <v>0</v>
      </c>
      <c r="M73" t="s">
        <v>987</v>
      </c>
      <c r="N73" t="s">
        <v>1021</v>
      </c>
      <c r="O73" t="s">
        <v>1151</v>
      </c>
      <c r="P73" t="s">
        <v>1022</v>
      </c>
      <c r="Q73" t="s">
        <v>1152</v>
      </c>
    </row>
    <row r="74" spans="1:17">
      <c r="A74" t="s">
        <v>42</v>
      </c>
      <c r="B74" t="s">
        <v>1166</v>
      </c>
      <c r="C74" t="s">
        <v>274</v>
      </c>
      <c r="D74" t="s">
        <v>1006</v>
      </c>
      <c r="E74">
        <v>-54.104999999999997</v>
      </c>
      <c r="F74" t="s">
        <v>1018</v>
      </c>
      <c r="G74" t="s">
        <v>1167</v>
      </c>
      <c r="H74" t="s">
        <v>988</v>
      </c>
      <c r="I74" t="s">
        <v>987</v>
      </c>
      <c r="J74" t="s">
        <v>987</v>
      </c>
      <c r="K74" t="b">
        <v>1</v>
      </c>
      <c r="L74" t="b">
        <v>0</v>
      </c>
      <c r="M74" t="s">
        <v>987</v>
      </c>
      <c r="N74" t="s">
        <v>1021</v>
      </c>
      <c r="O74" t="s">
        <v>1151</v>
      </c>
      <c r="P74" t="s">
        <v>1022</v>
      </c>
      <c r="Q74" t="s">
        <v>1168</v>
      </c>
    </row>
    <row r="75" spans="1:17">
      <c r="A75" t="s">
        <v>42</v>
      </c>
      <c r="B75" t="s">
        <v>1169</v>
      </c>
      <c r="C75" t="s">
        <v>274</v>
      </c>
      <c r="D75" t="s">
        <v>1008</v>
      </c>
      <c r="E75">
        <v>-50.899000000000001</v>
      </c>
      <c r="F75" t="s">
        <v>1018</v>
      </c>
      <c r="G75" t="s">
        <v>1170</v>
      </c>
      <c r="H75" t="s">
        <v>988</v>
      </c>
      <c r="I75" t="s">
        <v>1048</v>
      </c>
      <c r="J75" t="s">
        <v>987</v>
      </c>
      <c r="K75" t="b">
        <v>1</v>
      </c>
      <c r="L75" t="b">
        <v>0</v>
      </c>
      <c r="M75" t="s">
        <v>987</v>
      </c>
      <c r="N75" t="s">
        <v>1021</v>
      </c>
      <c r="O75" t="s">
        <v>1151</v>
      </c>
      <c r="P75" t="s">
        <v>1022</v>
      </c>
      <c r="Q75" t="s">
        <v>1152</v>
      </c>
    </row>
    <row r="76" spans="1:17">
      <c r="A76" t="s">
        <v>42</v>
      </c>
      <c r="B76" t="s">
        <v>1171</v>
      </c>
      <c r="C76" t="s">
        <v>274</v>
      </c>
      <c r="D76" t="s">
        <v>1010</v>
      </c>
      <c r="E76">
        <v>-39.630000000000003</v>
      </c>
      <c r="F76" t="s">
        <v>1018</v>
      </c>
      <c r="G76" t="s">
        <v>1172</v>
      </c>
      <c r="H76" t="s">
        <v>988</v>
      </c>
      <c r="I76" t="s">
        <v>1039</v>
      </c>
      <c r="J76" t="s">
        <v>987</v>
      </c>
      <c r="K76" t="b">
        <v>1</v>
      </c>
      <c r="L76" t="b">
        <v>0</v>
      </c>
      <c r="M76" t="s">
        <v>987</v>
      </c>
      <c r="N76" t="s">
        <v>1021</v>
      </c>
      <c r="O76" t="s">
        <v>1151</v>
      </c>
      <c r="P76" t="s">
        <v>1022</v>
      </c>
      <c r="Q76" t="s">
        <v>1152</v>
      </c>
    </row>
    <row r="77" spans="1:17">
      <c r="A77" t="s">
        <v>42</v>
      </c>
      <c r="B77" t="s">
        <v>1173</v>
      </c>
      <c r="C77" t="s">
        <v>274</v>
      </c>
      <c r="D77" t="s">
        <v>1012</v>
      </c>
      <c r="E77">
        <v>-36.457000000000001</v>
      </c>
      <c r="F77" t="s">
        <v>1018</v>
      </c>
      <c r="G77" t="s">
        <v>1174</v>
      </c>
      <c r="H77" t="s">
        <v>988</v>
      </c>
      <c r="I77" t="s">
        <v>1042</v>
      </c>
      <c r="J77" t="s">
        <v>987</v>
      </c>
      <c r="K77" t="b">
        <v>1</v>
      </c>
      <c r="L77" t="b">
        <v>0</v>
      </c>
      <c r="M77" t="s">
        <v>987</v>
      </c>
      <c r="N77" t="s">
        <v>1021</v>
      </c>
      <c r="O77" t="s">
        <v>1151</v>
      </c>
      <c r="P77" t="s">
        <v>1022</v>
      </c>
      <c r="Q77" t="s">
        <v>1152</v>
      </c>
    </row>
    <row r="78" spans="1:17">
      <c r="A78" t="s">
        <v>42</v>
      </c>
      <c r="B78" t="s">
        <v>1175</v>
      </c>
      <c r="C78" t="s">
        <v>274</v>
      </c>
      <c r="D78" t="s">
        <v>1014</v>
      </c>
      <c r="E78">
        <v>-45.472999999999999</v>
      </c>
      <c r="F78" t="s">
        <v>1018</v>
      </c>
      <c r="G78" t="s">
        <v>1176</v>
      </c>
      <c r="H78" t="s">
        <v>988</v>
      </c>
      <c r="I78" t="s">
        <v>987</v>
      </c>
      <c r="J78" t="s">
        <v>987</v>
      </c>
      <c r="K78" t="b">
        <v>1</v>
      </c>
      <c r="L78" t="b">
        <v>0</v>
      </c>
      <c r="M78" t="s">
        <v>987</v>
      </c>
      <c r="N78" t="s">
        <v>1021</v>
      </c>
      <c r="O78" t="s">
        <v>1151</v>
      </c>
      <c r="P78" t="s">
        <v>1022</v>
      </c>
      <c r="Q78" t="s">
        <v>1177</v>
      </c>
    </row>
    <row r="79" spans="1:17">
      <c r="A79" t="s">
        <v>42</v>
      </c>
      <c r="B79" t="s">
        <v>1178</v>
      </c>
      <c r="C79" t="s">
        <v>274</v>
      </c>
      <c r="D79" t="s">
        <v>1016</v>
      </c>
      <c r="E79">
        <v>-2852.1660000000002</v>
      </c>
      <c r="F79" t="s">
        <v>1018</v>
      </c>
      <c r="G79" t="s">
        <v>1179</v>
      </c>
      <c r="H79" t="s">
        <v>988</v>
      </c>
      <c r="I79" t="s">
        <v>1048</v>
      </c>
      <c r="J79" t="s">
        <v>987</v>
      </c>
      <c r="K79" t="b">
        <v>1</v>
      </c>
      <c r="L79" t="b">
        <v>0</v>
      </c>
      <c r="M79" t="s">
        <v>987</v>
      </c>
      <c r="N79" t="s">
        <v>1021</v>
      </c>
      <c r="O79" t="s">
        <v>1151</v>
      </c>
      <c r="P79" t="s">
        <v>1022</v>
      </c>
      <c r="Q79" t="s">
        <v>1152</v>
      </c>
    </row>
    <row r="80" spans="1:17">
      <c r="A80" t="s">
        <v>42</v>
      </c>
      <c r="B80" t="s">
        <v>1180</v>
      </c>
      <c r="C80" t="s">
        <v>276</v>
      </c>
      <c r="D80" t="s">
        <v>998</v>
      </c>
      <c r="E80">
        <v>281</v>
      </c>
      <c r="F80" t="s">
        <v>1018</v>
      </c>
      <c r="G80" t="s">
        <v>1181</v>
      </c>
      <c r="H80" t="s">
        <v>988</v>
      </c>
      <c r="I80" t="s">
        <v>1182</v>
      </c>
      <c r="J80" t="s">
        <v>987</v>
      </c>
      <c r="K80" t="b">
        <v>1</v>
      </c>
      <c r="L80" t="b">
        <v>0</v>
      </c>
      <c r="M80" t="s">
        <v>987</v>
      </c>
      <c r="N80" t="s">
        <v>1183</v>
      </c>
      <c r="O80" t="s">
        <v>1151</v>
      </c>
      <c r="P80" t="s">
        <v>1022</v>
      </c>
      <c r="Q80" t="s">
        <v>1184</v>
      </c>
    </row>
    <row r="81" spans="1:17">
      <c r="A81" t="s">
        <v>42</v>
      </c>
      <c r="B81" t="s">
        <v>1185</v>
      </c>
      <c r="C81" t="s">
        <v>276</v>
      </c>
      <c r="D81" t="s">
        <v>1006</v>
      </c>
      <c r="E81">
        <v>294</v>
      </c>
      <c r="F81" t="s">
        <v>1018</v>
      </c>
      <c r="G81" t="s">
        <v>1186</v>
      </c>
      <c r="H81" t="s">
        <v>988</v>
      </c>
      <c r="I81" t="s">
        <v>1182</v>
      </c>
      <c r="J81" t="s">
        <v>987</v>
      </c>
      <c r="K81" t="b">
        <v>1</v>
      </c>
      <c r="L81" t="b">
        <v>0</v>
      </c>
      <c r="M81" t="s">
        <v>987</v>
      </c>
      <c r="N81" t="s">
        <v>1183</v>
      </c>
      <c r="O81" t="s">
        <v>1151</v>
      </c>
      <c r="P81" t="s">
        <v>1022</v>
      </c>
      <c r="Q81" t="s">
        <v>1184</v>
      </c>
    </row>
    <row r="82" spans="1:17">
      <c r="A82" t="s">
        <v>42</v>
      </c>
      <c r="B82" t="s">
        <v>1187</v>
      </c>
      <c r="C82" t="s">
        <v>277</v>
      </c>
      <c r="D82" t="s">
        <v>985</v>
      </c>
      <c r="E82">
        <v>-174.239</v>
      </c>
      <c r="F82" t="s">
        <v>1018</v>
      </c>
      <c r="G82" t="s">
        <v>1188</v>
      </c>
      <c r="H82" t="s">
        <v>988</v>
      </c>
      <c r="I82" t="s">
        <v>1020</v>
      </c>
      <c r="J82" t="s">
        <v>987</v>
      </c>
      <c r="K82" t="b">
        <v>1</v>
      </c>
      <c r="L82" t="b">
        <v>0</v>
      </c>
      <c r="M82" t="s">
        <v>987</v>
      </c>
      <c r="N82" t="s">
        <v>1183</v>
      </c>
      <c r="O82" t="s">
        <v>990</v>
      </c>
      <c r="P82" t="s">
        <v>1022</v>
      </c>
      <c r="Q82" t="s">
        <v>1189</v>
      </c>
    </row>
    <row r="83" spans="1:17">
      <c r="A83" t="s">
        <v>42</v>
      </c>
      <c r="B83" t="s">
        <v>1190</v>
      </c>
      <c r="C83" t="s">
        <v>277</v>
      </c>
      <c r="D83" t="s">
        <v>994</v>
      </c>
      <c r="E83">
        <v>-174.81200000000001</v>
      </c>
      <c r="F83" t="s">
        <v>1018</v>
      </c>
      <c r="G83" t="s">
        <v>1191</v>
      </c>
      <c r="H83" t="s">
        <v>988</v>
      </c>
      <c r="I83" t="s">
        <v>1026</v>
      </c>
      <c r="J83" t="s">
        <v>987</v>
      </c>
      <c r="K83" t="b">
        <v>1</v>
      </c>
      <c r="L83" t="b">
        <v>0</v>
      </c>
      <c r="M83" t="s">
        <v>987</v>
      </c>
      <c r="N83" t="s">
        <v>1183</v>
      </c>
      <c r="O83" t="s">
        <v>990</v>
      </c>
      <c r="P83" t="s">
        <v>1022</v>
      </c>
      <c r="Q83" t="s">
        <v>1189</v>
      </c>
    </row>
    <row r="84" spans="1:17">
      <c r="A84" t="s">
        <v>42</v>
      </c>
      <c r="B84" t="s">
        <v>1192</v>
      </c>
      <c r="C84" t="s">
        <v>277</v>
      </c>
      <c r="D84" t="s">
        <v>996</v>
      </c>
      <c r="E84">
        <v>-175.56299999999999</v>
      </c>
      <c r="F84" t="s">
        <v>1018</v>
      </c>
      <c r="G84" t="s">
        <v>1193</v>
      </c>
      <c r="H84" t="s">
        <v>988</v>
      </c>
      <c r="I84" t="s">
        <v>1029</v>
      </c>
      <c r="J84" t="s">
        <v>987</v>
      </c>
      <c r="K84" t="b">
        <v>1</v>
      </c>
      <c r="L84" t="b">
        <v>0</v>
      </c>
      <c r="M84" t="s">
        <v>987</v>
      </c>
      <c r="N84" t="s">
        <v>1183</v>
      </c>
      <c r="O84" t="s">
        <v>990</v>
      </c>
      <c r="P84" t="s">
        <v>1022</v>
      </c>
      <c r="Q84" t="s">
        <v>1189</v>
      </c>
    </row>
    <row r="85" spans="1:17">
      <c r="A85" t="s">
        <v>42</v>
      </c>
      <c r="B85" t="s">
        <v>1194</v>
      </c>
      <c r="C85" t="s">
        <v>277</v>
      </c>
      <c r="D85" t="s">
        <v>998</v>
      </c>
      <c r="E85">
        <v>-175.21199999999999</v>
      </c>
      <c r="F85" t="s">
        <v>1018</v>
      </c>
      <c r="G85" t="s">
        <v>1195</v>
      </c>
      <c r="H85" t="s">
        <v>988</v>
      </c>
      <c r="I85" t="s">
        <v>987</v>
      </c>
      <c r="J85" t="s">
        <v>987</v>
      </c>
      <c r="K85" t="b">
        <v>1</v>
      </c>
      <c r="L85" t="b">
        <v>1</v>
      </c>
      <c r="M85" t="s">
        <v>1032</v>
      </c>
      <c r="N85" t="s">
        <v>1183</v>
      </c>
      <c r="O85" t="s">
        <v>990</v>
      </c>
      <c r="P85" t="s">
        <v>1022</v>
      </c>
      <c r="Q85" t="s">
        <v>1196</v>
      </c>
    </row>
    <row r="86" spans="1:17">
      <c r="A86" t="s">
        <v>42</v>
      </c>
      <c r="B86" t="s">
        <v>1197</v>
      </c>
      <c r="C86" t="s">
        <v>277</v>
      </c>
      <c r="D86" t="s">
        <v>1000</v>
      </c>
      <c r="E86">
        <v>-173.31399999999999</v>
      </c>
      <c r="F86" t="s">
        <v>1018</v>
      </c>
      <c r="G86" t="s">
        <v>1198</v>
      </c>
      <c r="H86" t="s">
        <v>988</v>
      </c>
      <c r="I86" t="s">
        <v>1020</v>
      </c>
      <c r="J86" t="s">
        <v>987</v>
      </c>
      <c r="K86" t="b">
        <v>1</v>
      </c>
      <c r="L86" t="b">
        <v>0</v>
      </c>
      <c r="M86" t="s">
        <v>987</v>
      </c>
      <c r="N86" t="s">
        <v>1183</v>
      </c>
      <c r="O86" t="s">
        <v>990</v>
      </c>
      <c r="P86" t="s">
        <v>1022</v>
      </c>
      <c r="Q86" t="s">
        <v>1189</v>
      </c>
    </row>
    <row r="87" spans="1:17">
      <c r="A87" t="s">
        <v>42</v>
      </c>
      <c r="B87" t="s">
        <v>1199</v>
      </c>
      <c r="C87" t="s">
        <v>277</v>
      </c>
      <c r="D87" t="s">
        <v>1002</v>
      </c>
      <c r="E87">
        <v>-167.98599999999999</v>
      </c>
      <c r="F87" t="s">
        <v>1018</v>
      </c>
      <c r="G87" t="s">
        <v>1200</v>
      </c>
      <c r="H87" t="s">
        <v>988</v>
      </c>
      <c r="I87" t="s">
        <v>1026</v>
      </c>
      <c r="J87" t="s">
        <v>987</v>
      </c>
      <c r="K87" t="b">
        <v>1</v>
      </c>
      <c r="L87" t="b">
        <v>0</v>
      </c>
      <c r="M87" t="s">
        <v>987</v>
      </c>
      <c r="N87" t="s">
        <v>1183</v>
      </c>
      <c r="O87" t="s">
        <v>990</v>
      </c>
      <c r="P87" t="s">
        <v>1022</v>
      </c>
      <c r="Q87" t="s">
        <v>1189</v>
      </c>
    </row>
    <row r="88" spans="1:17">
      <c r="A88" t="s">
        <v>42</v>
      </c>
      <c r="B88" t="s">
        <v>1201</v>
      </c>
      <c r="C88" t="s">
        <v>277</v>
      </c>
      <c r="D88" t="s">
        <v>1004</v>
      </c>
      <c r="E88">
        <v>-184.83</v>
      </c>
      <c r="F88" t="s">
        <v>1018</v>
      </c>
      <c r="G88" t="s">
        <v>1202</v>
      </c>
      <c r="H88" t="s">
        <v>988</v>
      </c>
      <c r="I88" t="s">
        <v>1029</v>
      </c>
      <c r="J88" t="s">
        <v>987</v>
      </c>
      <c r="K88" t="b">
        <v>1</v>
      </c>
      <c r="L88" t="b">
        <v>0</v>
      </c>
      <c r="M88" t="s">
        <v>987</v>
      </c>
      <c r="N88" t="s">
        <v>1183</v>
      </c>
      <c r="O88" t="s">
        <v>990</v>
      </c>
      <c r="P88" t="s">
        <v>1022</v>
      </c>
      <c r="Q88" t="s">
        <v>1189</v>
      </c>
    </row>
    <row r="89" spans="1:17">
      <c r="A89" t="s">
        <v>42</v>
      </c>
      <c r="B89" t="s">
        <v>1203</v>
      </c>
      <c r="C89" t="s">
        <v>279</v>
      </c>
      <c r="D89" t="s">
        <v>985</v>
      </c>
      <c r="E89">
        <v>-71.203999999999994</v>
      </c>
      <c r="F89" t="s">
        <v>1018</v>
      </c>
      <c r="G89" t="s">
        <v>1150</v>
      </c>
      <c r="H89" t="s">
        <v>988</v>
      </c>
      <c r="I89" t="s">
        <v>1020</v>
      </c>
      <c r="J89" t="s">
        <v>987</v>
      </c>
      <c r="K89" t="b">
        <v>1</v>
      </c>
      <c r="L89" t="b">
        <v>0</v>
      </c>
      <c r="M89" t="s">
        <v>987</v>
      </c>
      <c r="N89" t="s">
        <v>1183</v>
      </c>
      <c r="O89" t="s">
        <v>990</v>
      </c>
      <c r="P89" t="s">
        <v>1022</v>
      </c>
      <c r="Q89" t="s">
        <v>987</v>
      </c>
    </row>
    <row r="90" spans="1:17">
      <c r="A90" t="s">
        <v>42</v>
      </c>
      <c r="B90" t="s">
        <v>1204</v>
      </c>
      <c r="C90" t="s">
        <v>279</v>
      </c>
      <c r="D90" t="s">
        <v>994</v>
      </c>
      <c r="E90">
        <v>26.960999999999999</v>
      </c>
      <c r="F90" t="s">
        <v>1018</v>
      </c>
      <c r="G90" t="s">
        <v>1154</v>
      </c>
      <c r="H90" t="s">
        <v>988</v>
      </c>
      <c r="I90" t="s">
        <v>1026</v>
      </c>
      <c r="J90" t="s">
        <v>987</v>
      </c>
      <c r="K90" t="b">
        <v>1</v>
      </c>
      <c r="L90" t="b">
        <v>0</v>
      </c>
      <c r="M90" t="s">
        <v>987</v>
      </c>
      <c r="N90" t="s">
        <v>1183</v>
      </c>
      <c r="O90" t="s">
        <v>990</v>
      </c>
      <c r="P90" t="s">
        <v>1022</v>
      </c>
      <c r="Q90" t="s">
        <v>987</v>
      </c>
    </row>
    <row r="91" spans="1:17">
      <c r="A91" t="s">
        <v>42</v>
      </c>
      <c r="B91" t="s">
        <v>1205</v>
      </c>
      <c r="C91" t="s">
        <v>279</v>
      </c>
      <c r="D91" t="s">
        <v>996</v>
      </c>
      <c r="E91">
        <v>168.21799999999999</v>
      </c>
      <c r="F91" t="s">
        <v>1018</v>
      </c>
      <c r="G91" t="s">
        <v>1156</v>
      </c>
      <c r="H91" t="s">
        <v>988</v>
      </c>
      <c r="I91" t="s">
        <v>1029</v>
      </c>
      <c r="J91" t="s">
        <v>987</v>
      </c>
      <c r="K91" t="b">
        <v>1</v>
      </c>
      <c r="L91" t="b">
        <v>0</v>
      </c>
      <c r="M91" t="s">
        <v>987</v>
      </c>
      <c r="N91" t="s">
        <v>1183</v>
      </c>
      <c r="O91" t="s">
        <v>990</v>
      </c>
      <c r="P91" t="s">
        <v>1022</v>
      </c>
      <c r="Q91" t="s">
        <v>987</v>
      </c>
    </row>
    <row r="92" spans="1:17">
      <c r="A92" t="s">
        <v>42</v>
      </c>
      <c r="B92" t="s">
        <v>1206</v>
      </c>
      <c r="C92" t="s">
        <v>279</v>
      </c>
      <c r="D92" t="s">
        <v>998</v>
      </c>
      <c r="E92">
        <v>-172.74700000000001</v>
      </c>
      <c r="F92" t="s">
        <v>1018</v>
      </c>
      <c r="G92" t="s">
        <v>1158</v>
      </c>
      <c r="H92" t="s">
        <v>988</v>
      </c>
      <c r="I92" t="s">
        <v>987</v>
      </c>
      <c r="J92" t="s">
        <v>987</v>
      </c>
      <c r="K92" t="b">
        <v>1</v>
      </c>
      <c r="L92" t="b">
        <v>0</v>
      </c>
      <c r="M92" t="s">
        <v>987</v>
      </c>
      <c r="N92" t="s">
        <v>1183</v>
      </c>
      <c r="O92" t="s">
        <v>990</v>
      </c>
      <c r="P92" t="s">
        <v>1022</v>
      </c>
      <c r="Q92" t="s">
        <v>1207</v>
      </c>
    </row>
    <row r="93" spans="1:17">
      <c r="A93" t="s">
        <v>42</v>
      </c>
      <c r="B93" t="s">
        <v>1208</v>
      </c>
      <c r="C93" t="s">
        <v>279</v>
      </c>
      <c r="D93" t="s">
        <v>1000</v>
      </c>
      <c r="E93">
        <v>155.35900000000001</v>
      </c>
      <c r="F93" t="s">
        <v>1018</v>
      </c>
      <c r="G93" t="s">
        <v>1161</v>
      </c>
      <c r="H93" t="s">
        <v>988</v>
      </c>
      <c r="I93" t="s">
        <v>1036</v>
      </c>
      <c r="J93" t="s">
        <v>987</v>
      </c>
      <c r="K93" t="b">
        <v>1</v>
      </c>
      <c r="L93" t="b">
        <v>0</v>
      </c>
      <c r="M93" t="s">
        <v>987</v>
      </c>
      <c r="N93" t="s">
        <v>1183</v>
      </c>
      <c r="O93" t="s">
        <v>990</v>
      </c>
      <c r="P93" t="s">
        <v>1022</v>
      </c>
      <c r="Q93" t="s">
        <v>987</v>
      </c>
    </row>
    <row r="94" spans="1:17">
      <c r="A94" t="s">
        <v>42</v>
      </c>
      <c r="B94" t="s">
        <v>1209</v>
      </c>
      <c r="C94" t="s">
        <v>279</v>
      </c>
      <c r="D94" t="s">
        <v>1002</v>
      </c>
      <c r="E94">
        <v>79.004999999999995</v>
      </c>
      <c r="F94" t="s">
        <v>1018</v>
      </c>
      <c r="G94" t="s">
        <v>1163</v>
      </c>
      <c r="H94" t="s">
        <v>988</v>
      </c>
      <c r="I94" t="s">
        <v>1039</v>
      </c>
      <c r="J94" t="s">
        <v>987</v>
      </c>
      <c r="K94" t="b">
        <v>1</v>
      </c>
      <c r="L94" t="b">
        <v>0</v>
      </c>
      <c r="M94" t="s">
        <v>987</v>
      </c>
      <c r="N94" t="s">
        <v>1183</v>
      </c>
      <c r="O94" t="s">
        <v>990</v>
      </c>
      <c r="P94" t="s">
        <v>1022</v>
      </c>
      <c r="Q94" t="s">
        <v>987</v>
      </c>
    </row>
    <row r="95" spans="1:17">
      <c r="A95" t="s">
        <v>42</v>
      </c>
      <c r="B95" t="s">
        <v>1210</v>
      </c>
      <c r="C95" t="s">
        <v>279</v>
      </c>
      <c r="D95" t="s">
        <v>1004</v>
      </c>
      <c r="E95">
        <v>-21.693000000000001</v>
      </c>
      <c r="F95" t="s">
        <v>1018</v>
      </c>
      <c r="G95" t="s">
        <v>1165</v>
      </c>
      <c r="H95" t="s">
        <v>988</v>
      </c>
      <c r="I95" t="s">
        <v>1042</v>
      </c>
      <c r="J95" t="s">
        <v>987</v>
      </c>
      <c r="K95" t="b">
        <v>1</v>
      </c>
      <c r="L95" t="b">
        <v>0</v>
      </c>
      <c r="M95" t="s">
        <v>987</v>
      </c>
      <c r="N95" t="s">
        <v>1183</v>
      </c>
      <c r="O95" t="s">
        <v>990</v>
      </c>
      <c r="P95" t="s">
        <v>1022</v>
      </c>
      <c r="Q95" t="s">
        <v>987</v>
      </c>
    </row>
    <row r="96" spans="1:17">
      <c r="A96" t="s">
        <v>42</v>
      </c>
      <c r="B96" t="s">
        <v>1211</v>
      </c>
      <c r="C96" t="s">
        <v>279</v>
      </c>
      <c r="D96" t="s">
        <v>1006</v>
      </c>
      <c r="E96">
        <v>54.104999999999997</v>
      </c>
      <c r="F96" t="s">
        <v>1018</v>
      </c>
      <c r="G96" t="s">
        <v>1167</v>
      </c>
      <c r="H96" t="s">
        <v>988</v>
      </c>
      <c r="I96" t="s">
        <v>987</v>
      </c>
      <c r="J96" t="s">
        <v>987</v>
      </c>
      <c r="K96" t="b">
        <v>1</v>
      </c>
      <c r="L96" t="b">
        <v>0</v>
      </c>
      <c r="M96" t="s">
        <v>987</v>
      </c>
      <c r="N96" t="s">
        <v>1183</v>
      </c>
      <c r="O96" t="s">
        <v>990</v>
      </c>
      <c r="P96" t="s">
        <v>1022</v>
      </c>
      <c r="Q96" t="s">
        <v>1212</v>
      </c>
    </row>
    <row r="97" spans="1:17">
      <c r="A97" t="s">
        <v>42</v>
      </c>
      <c r="B97" t="s">
        <v>1213</v>
      </c>
      <c r="C97" t="s">
        <v>279</v>
      </c>
      <c r="D97" t="s">
        <v>1008</v>
      </c>
      <c r="E97">
        <v>50.899000000000001</v>
      </c>
      <c r="F97" t="s">
        <v>1018</v>
      </c>
      <c r="G97" t="s">
        <v>1170</v>
      </c>
      <c r="H97" t="s">
        <v>988</v>
      </c>
      <c r="I97" t="s">
        <v>1048</v>
      </c>
      <c r="J97" t="s">
        <v>987</v>
      </c>
      <c r="K97" t="b">
        <v>1</v>
      </c>
      <c r="L97" t="b">
        <v>0</v>
      </c>
      <c r="M97" t="s">
        <v>987</v>
      </c>
      <c r="N97" t="s">
        <v>1183</v>
      </c>
      <c r="O97" t="s">
        <v>990</v>
      </c>
      <c r="P97" t="s">
        <v>1022</v>
      </c>
      <c r="Q97" t="s">
        <v>987</v>
      </c>
    </row>
    <row r="98" spans="1:17">
      <c r="A98" t="s">
        <v>42</v>
      </c>
      <c r="B98" t="s">
        <v>1214</v>
      </c>
      <c r="C98" t="s">
        <v>279</v>
      </c>
      <c r="D98" t="s">
        <v>1010</v>
      </c>
      <c r="E98">
        <v>39.630000000000003</v>
      </c>
      <c r="F98" t="s">
        <v>1018</v>
      </c>
      <c r="G98" t="s">
        <v>1172</v>
      </c>
      <c r="H98" t="s">
        <v>988</v>
      </c>
      <c r="I98" t="s">
        <v>1039</v>
      </c>
      <c r="J98" t="s">
        <v>987</v>
      </c>
      <c r="K98" t="b">
        <v>1</v>
      </c>
      <c r="L98" t="b">
        <v>0</v>
      </c>
      <c r="M98" t="s">
        <v>987</v>
      </c>
      <c r="N98" t="s">
        <v>1183</v>
      </c>
      <c r="O98" t="s">
        <v>990</v>
      </c>
      <c r="P98" t="s">
        <v>1022</v>
      </c>
      <c r="Q98" t="s">
        <v>987</v>
      </c>
    </row>
    <row r="99" spans="1:17">
      <c r="A99" t="s">
        <v>42</v>
      </c>
      <c r="B99" t="s">
        <v>1215</v>
      </c>
      <c r="C99" t="s">
        <v>279</v>
      </c>
      <c r="D99" t="s">
        <v>1012</v>
      </c>
      <c r="E99">
        <v>36.457000000000001</v>
      </c>
      <c r="F99" t="s">
        <v>1018</v>
      </c>
      <c r="G99" t="s">
        <v>1174</v>
      </c>
      <c r="H99" t="s">
        <v>988</v>
      </c>
      <c r="I99" t="s">
        <v>1042</v>
      </c>
      <c r="J99" t="s">
        <v>987</v>
      </c>
      <c r="K99" t="b">
        <v>1</v>
      </c>
      <c r="L99" t="b">
        <v>0</v>
      </c>
      <c r="M99" t="s">
        <v>987</v>
      </c>
      <c r="N99" t="s">
        <v>1183</v>
      </c>
      <c r="O99" t="s">
        <v>990</v>
      </c>
      <c r="P99" t="s">
        <v>1022</v>
      </c>
      <c r="Q99" t="s">
        <v>987</v>
      </c>
    </row>
    <row r="100" spans="1:17">
      <c r="A100" t="s">
        <v>42</v>
      </c>
      <c r="B100" t="s">
        <v>1216</v>
      </c>
      <c r="C100" t="s">
        <v>279</v>
      </c>
      <c r="D100" t="s">
        <v>1014</v>
      </c>
      <c r="E100">
        <v>-1245</v>
      </c>
      <c r="F100" t="s">
        <v>1065</v>
      </c>
      <c r="G100" t="s">
        <v>1217</v>
      </c>
      <c r="H100" t="s">
        <v>988</v>
      </c>
      <c r="I100" t="s">
        <v>987</v>
      </c>
      <c r="J100" t="s">
        <v>987</v>
      </c>
      <c r="K100" t="b">
        <v>0</v>
      </c>
      <c r="L100" t="b">
        <v>1</v>
      </c>
      <c r="M100" t="s">
        <v>1067</v>
      </c>
      <c r="N100" t="s">
        <v>989</v>
      </c>
      <c r="O100" t="s">
        <v>1068</v>
      </c>
      <c r="P100" t="s">
        <v>1069</v>
      </c>
      <c r="Q100" t="s">
        <v>1070</v>
      </c>
    </row>
    <row r="101" spans="1:17">
      <c r="A101" t="s">
        <v>42</v>
      </c>
      <c r="B101" t="s">
        <v>1218</v>
      </c>
      <c r="C101" t="s">
        <v>279</v>
      </c>
      <c r="D101" t="s">
        <v>1016</v>
      </c>
      <c r="E101">
        <v>2852.1660000000002</v>
      </c>
      <c r="F101" t="s">
        <v>1018</v>
      </c>
      <c r="G101" t="s">
        <v>1179</v>
      </c>
      <c r="H101" t="s">
        <v>988</v>
      </c>
      <c r="I101" t="s">
        <v>1048</v>
      </c>
      <c r="J101" t="s">
        <v>987</v>
      </c>
      <c r="K101" t="b">
        <v>1</v>
      </c>
      <c r="L101" t="b">
        <v>0</v>
      </c>
      <c r="M101" t="s">
        <v>987</v>
      </c>
      <c r="N101" t="s">
        <v>1183</v>
      </c>
      <c r="O101" t="s">
        <v>990</v>
      </c>
      <c r="P101" t="s">
        <v>1022</v>
      </c>
      <c r="Q101" t="s">
        <v>987</v>
      </c>
    </row>
    <row r="102" spans="1:17">
      <c r="A102" t="s">
        <v>42</v>
      </c>
      <c r="B102" t="s">
        <v>1219</v>
      </c>
      <c r="C102" t="s">
        <v>281</v>
      </c>
      <c r="D102" t="s">
        <v>985</v>
      </c>
      <c r="E102">
        <v>-163.75399999999999</v>
      </c>
      <c r="F102" t="s">
        <v>1018</v>
      </c>
      <c r="G102" t="s">
        <v>1220</v>
      </c>
      <c r="H102" t="s">
        <v>988</v>
      </c>
      <c r="I102" t="s">
        <v>1020</v>
      </c>
      <c r="J102" t="s">
        <v>987</v>
      </c>
      <c r="K102" t="b">
        <v>1</v>
      </c>
      <c r="L102" t="b">
        <v>0</v>
      </c>
      <c r="M102" t="s">
        <v>987</v>
      </c>
      <c r="N102" t="s">
        <v>1183</v>
      </c>
      <c r="O102" t="s">
        <v>990</v>
      </c>
      <c r="P102" t="s">
        <v>1022</v>
      </c>
      <c r="Q102" t="s">
        <v>1221</v>
      </c>
    </row>
    <row r="103" spans="1:17">
      <c r="A103" t="s">
        <v>42</v>
      </c>
      <c r="B103" t="s">
        <v>1222</v>
      </c>
      <c r="C103" t="s">
        <v>281</v>
      </c>
      <c r="D103" t="s">
        <v>994</v>
      </c>
      <c r="E103">
        <v>-191.72200000000001</v>
      </c>
      <c r="F103" t="s">
        <v>1018</v>
      </c>
      <c r="G103" t="s">
        <v>1223</v>
      </c>
      <c r="H103" t="s">
        <v>988</v>
      </c>
      <c r="I103" t="s">
        <v>1026</v>
      </c>
      <c r="J103" t="s">
        <v>987</v>
      </c>
      <c r="K103" t="b">
        <v>1</v>
      </c>
      <c r="L103" t="b">
        <v>0</v>
      </c>
      <c r="M103" t="s">
        <v>987</v>
      </c>
      <c r="N103" t="s">
        <v>1183</v>
      </c>
      <c r="O103" t="s">
        <v>990</v>
      </c>
      <c r="P103" t="s">
        <v>1022</v>
      </c>
      <c r="Q103" t="s">
        <v>1221</v>
      </c>
    </row>
    <row r="104" spans="1:17">
      <c r="A104" t="s">
        <v>42</v>
      </c>
      <c r="B104" t="s">
        <v>1224</v>
      </c>
      <c r="C104" t="s">
        <v>281</v>
      </c>
      <c r="D104" t="s">
        <v>996</v>
      </c>
      <c r="E104">
        <v>-231.62700000000001</v>
      </c>
      <c r="F104" t="s">
        <v>1018</v>
      </c>
      <c r="G104" t="s">
        <v>1225</v>
      </c>
      <c r="H104" t="s">
        <v>988</v>
      </c>
      <c r="I104" t="s">
        <v>1029</v>
      </c>
      <c r="J104" t="s">
        <v>987</v>
      </c>
      <c r="K104" t="b">
        <v>1</v>
      </c>
      <c r="L104" t="b">
        <v>0</v>
      </c>
      <c r="M104" t="s">
        <v>987</v>
      </c>
      <c r="N104" t="s">
        <v>1183</v>
      </c>
      <c r="O104" t="s">
        <v>990</v>
      </c>
      <c r="P104" t="s">
        <v>1022</v>
      </c>
      <c r="Q104" t="s">
        <v>1221</v>
      </c>
    </row>
    <row r="105" spans="1:17">
      <c r="A105" t="s">
        <v>42</v>
      </c>
      <c r="B105" t="s">
        <v>1226</v>
      </c>
      <c r="C105" t="s">
        <v>281</v>
      </c>
      <c r="D105" t="s">
        <v>998</v>
      </c>
      <c r="E105">
        <v>-210.31200000000001</v>
      </c>
      <c r="F105" t="s">
        <v>1018</v>
      </c>
      <c r="G105" t="s">
        <v>1227</v>
      </c>
      <c r="H105" t="s">
        <v>988</v>
      </c>
      <c r="I105" t="s">
        <v>987</v>
      </c>
      <c r="J105" t="s">
        <v>987</v>
      </c>
      <c r="K105" t="b">
        <v>1</v>
      </c>
      <c r="L105" t="b">
        <v>1</v>
      </c>
      <c r="M105" t="s">
        <v>1032</v>
      </c>
      <c r="N105" t="s">
        <v>1183</v>
      </c>
      <c r="O105" t="s">
        <v>990</v>
      </c>
      <c r="P105" t="s">
        <v>1022</v>
      </c>
      <c r="Q105" t="s">
        <v>1228</v>
      </c>
    </row>
    <row r="106" spans="1:17">
      <c r="A106" t="s">
        <v>42</v>
      </c>
      <c r="B106" t="s">
        <v>1229</v>
      </c>
      <c r="C106" t="s">
        <v>281</v>
      </c>
      <c r="D106" t="s">
        <v>1000</v>
      </c>
      <c r="E106">
        <v>-282.37</v>
      </c>
      <c r="F106" t="s">
        <v>1018</v>
      </c>
      <c r="G106" t="s">
        <v>1230</v>
      </c>
      <c r="H106" t="s">
        <v>988</v>
      </c>
      <c r="I106" t="s">
        <v>1036</v>
      </c>
      <c r="J106" t="s">
        <v>987</v>
      </c>
      <c r="K106" t="b">
        <v>1</v>
      </c>
      <c r="L106" t="b">
        <v>0</v>
      </c>
      <c r="M106" t="s">
        <v>987</v>
      </c>
      <c r="N106" t="s">
        <v>1183</v>
      </c>
      <c r="O106" t="s">
        <v>990</v>
      </c>
      <c r="P106" t="s">
        <v>1022</v>
      </c>
      <c r="Q106" t="s">
        <v>1221</v>
      </c>
    </row>
    <row r="107" spans="1:17">
      <c r="A107" t="s">
        <v>42</v>
      </c>
      <c r="B107" t="s">
        <v>1231</v>
      </c>
      <c r="C107" t="s">
        <v>281</v>
      </c>
      <c r="D107" t="s">
        <v>1002</v>
      </c>
      <c r="E107">
        <v>-366.55</v>
      </c>
      <c r="F107" t="s">
        <v>1018</v>
      </c>
      <c r="G107" t="s">
        <v>1232</v>
      </c>
      <c r="H107" t="s">
        <v>988</v>
      </c>
      <c r="I107" t="s">
        <v>1039</v>
      </c>
      <c r="J107" t="s">
        <v>987</v>
      </c>
      <c r="K107" t="b">
        <v>1</v>
      </c>
      <c r="L107" t="b">
        <v>0</v>
      </c>
      <c r="M107" t="s">
        <v>987</v>
      </c>
      <c r="N107" t="s">
        <v>1183</v>
      </c>
      <c r="O107" t="s">
        <v>990</v>
      </c>
      <c r="P107" t="s">
        <v>1022</v>
      </c>
      <c r="Q107" t="s">
        <v>1221</v>
      </c>
    </row>
    <row r="108" spans="1:17">
      <c r="A108" t="s">
        <v>42</v>
      </c>
      <c r="B108" t="s">
        <v>1233</v>
      </c>
      <c r="C108" t="s">
        <v>281</v>
      </c>
      <c r="D108" t="s">
        <v>1004</v>
      </c>
      <c r="E108">
        <v>-339.44499999999999</v>
      </c>
      <c r="F108" t="s">
        <v>1018</v>
      </c>
      <c r="G108" t="s">
        <v>1234</v>
      </c>
      <c r="H108" t="s">
        <v>988</v>
      </c>
      <c r="I108" t="s">
        <v>1042</v>
      </c>
      <c r="J108" t="s">
        <v>987</v>
      </c>
      <c r="K108" t="b">
        <v>1</v>
      </c>
      <c r="L108" t="b">
        <v>0</v>
      </c>
      <c r="M108" t="s">
        <v>987</v>
      </c>
      <c r="N108" t="s">
        <v>1183</v>
      </c>
      <c r="O108" t="s">
        <v>990</v>
      </c>
      <c r="P108" t="s">
        <v>1022</v>
      </c>
      <c r="Q108" t="s">
        <v>1221</v>
      </c>
    </row>
    <row r="109" spans="1:17">
      <c r="A109" t="s">
        <v>42</v>
      </c>
      <c r="B109" t="s">
        <v>1235</v>
      </c>
      <c r="C109" t="s">
        <v>281</v>
      </c>
      <c r="D109" t="s">
        <v>1006</v>
      </c>
      <c r="E109">
        <v>-265.661</v>
      </c>
      <c r="F109" t="s">
        <v>1018</v>
      </c>
      <c r="G109" t="s">
        <v>1236</v>
      </c>
      <c r="H109" t="s">
        <v>988</v>
      </c>
      <c r="I109" t="s">
        <v>987</v>
      </c>
      <c r="J109" t="s">
        <v>987</v>
      </c>
      <c r="K109" t="b">
        <v>1</v>
      </c>
      <c r="L109" t="b">
        <v>0</v>
      </c>
      <c r="M109" t="s">
        <v>987</v>
      </c>
      <c r="N109" t="s">
        <v>1183</v>
      </c>
      <c r="O109" t="s">
        <v>990</v>
      </c>
      <c r="P109" t="s">
        <v>1022</v>
      </c>
      <c r="Q109" t="s">
        <v>1237</v>
      </c>
    </row>
    <row r="110" spans="1:17">
      <c r="A110" t="s">
        <v>42</v>
      </c>
      <c r="B110" t="s">
        <v>1238</v>
      </c>
      <c r="C110" t="s">
        <v>281</v>
      </c>
      <c r="D110" t="s">
        <v>1008</v>
      </c>
      <c r="E110">
        <v>-323.375</v>
      </c>
      <c r="F110" t="s">
        <v>1018</v>
      </c>
      <c r="G110" t="s">
        <v>1239</v>
      </c>
      <c r="H110" t="s">
        <v>988</v>
      </c>
      <c r="I110" t="s">
        <v>1048</v>
      </c>
      <c r="J110" t="s">
        <v>987</v>
      </c>
      <c r="K110" t="b">
        <v>1</v>
      </c>
      <c r="L110" t="b">
        <v>0</v>
      </c>
      <c r="M110" t="s">
        <v>987</v>
      </c>
      <c r="N110" t="s">
        <v>1183</v>
      </c>
      <c r="O110" t="s">
        <v>990</v>
      </c>
      <c r="P110" t="s">
        <v>1022</v>
      </c>
      <c r="Q110" t="s">
        <v>1221</v>
      </c>
    </row>
    <row r="111" spans="1:17">
      <c r="A111" t="s">
        <v>42</v>
      </c>
      <c r="B111" t="s">
        <v>1240</v>
      </c>
      <c r="C111" t="s">
        <v>281</v>
      </c>
      <c r="D111" t="s">
        <v>1010</v>
      </c>
      <c r="E111">
        <v>-506.262</v>
      </c>
      <c r="F111" t="s">
        <v>1018</v>
      </c>
      <c r="G111" t="s">
        <v>1241</v>
      </c>
      <c r="H111" t="s">
        <v>988</v>
      </c>
      <c r="I111" t="s">
        <v>1039</v>
      </c>
      <c r="J111" t="s">
        <v>987</v>
      </c>
      <c r="K111" t="b">
        <v>1</v>
      </c>
      <c r="L111" t="b">
        <v>0</v>
      </c>
      <c r="M111" t="s">
        <v>987</v>
      </c>
      <c r="N111" t="s">
        <v>1183</v>
      </c>
      <c r="O111" t="s">
        <v>990</v>
      </c>
      <c r="P111" t="s">
        <v>1022</v>
      </c>
      <c r="Q111" t="s">
        <v>1221</v>
      </c>
    </row>
    <row r="112" spans="1:17">
      <c r="A112" t="s">
        <v>42</v>
      </c>
      <c r="B112" t="s">
        <v>1242</v>
      </c>
      <c r="C112" t="s">
        <v>281</v>
      </c>
      <c r="D112" t="s">
        <v>1012</v>
      </c>
      <c r="E112">
        <v>-562.49400000000003</v>
      </c>
      <c r="F112" t="s">
        <v>1018</v>
      </c>
      <c r="G112" t="s">
        <v>1243</v>
      </c>
      <c r="H112" t="s">
        <v>988</v>
      </c>
      <c r="I112" t="s">
        <v>1042</v>
      </c>
      <c r="J112" t="s">
        <v>987</v>
      </c>
      <c r="K112" t="b">
        <v>1</v>
      </c>
      <c r="L112" t="b">
        <v>0</v>
      </c>
      <c r="M112" t="s">
        <v>987</v>
      </c>
      <c r="N112" t="s">
        <v>1183</v>
      </c>
      <c r="O112" t="s">
        <v>990</v>
      </c>
      <c r="P112" t="s">
        <v>1022</v>
      </c>
      <c r="Q112" t="s">
        <v>1221</v>
      </c>
    </row>
    <row r="113" spans="1:17">
      <c r="A113" t="s">
        <v>42</v>
      </c>
      <c r="B113" t="s">
        <v>1244</v>
      </c>
      <c r="C113" t="s">
        <v>281</v>
      </c>
      <c r="D113" t="s">
        <v>1014</v>
      </c>
      <c r="E113">
        <v>-349.22</v>
      </c>
      <c r="F113" t="s">
        <v>1018</v>
      </c>
      <c r="G113" t="s">
        <v>1245</v>
      </c>
      <c r="H113" t="s">
        <v>988</v>
      </c>
      <c r="I113" t="s">
        <v>987</v>
      </c>
      <c r="J113" t="s">
        <v>987</v>
      </c>
      <c r="K113" t="b">
        <v>1</v>
      </c>
      <c r="L113" t="b">
        <v>0</v>
      </c>
      <c r="M113" t="s">
        <v>987</v>
      </c>
      <c r="N113" t="s">
        <v>1183</v>
      </c>
      <c r="O113" t="s">
        <v>990</v>
      </c>
      <c r="P113" t="s">
        <v>1022</v>
      </c>
      <c r="Q113" t="s">
        <v>1246</v>
      </c>
    </row>
    <row r="114" spans="1:17">
      <c r="A114" t="s">
        <v>42</v>
      </c>
      <c r="B114" t="s">
        <v>1247</v>
      </c>
      <c r="C114" t="s">
        <v>281</v>
      </c>
      <c r="D114" t="s">
        <v>1016</v>
      </c>
      <c r="E114">
        <v>-1264.2950000000001</v>
      </c>
      <c r="F114" t="s">
        <v>1018</v>
      </c>
      <c r="G114" t="s">
        <v>1248</v>
      </c>
      <c r="H114" t="s">
        <v>988</v>
      </c>
      <c r="I114" t="s">
        <v>1048</v>
      </c>
      <c r="J114" t="s">
        <v>987</v>
      </c>
      <c r="K114" t="b">
        <v>1</v>
      </c>
      <c r="L114" t="b">
        <v>0</v>
      </c>
      <c r="M114" t="s">
        <v>987</v>
      </c>
      <c r="N114" t="s">
        <v>1183</v>
      </c>
      <c r="O114" t="s">
        <v>990</v>
      </c>
      <c r="P114" t="s">
        <v>1022</v>
      </c>
      <c r="Q114" t="s">
        <v>1221</v>
      </c>
    </row>
    <row r="115" spans="1:17">
      <c r="A115" t="s">
        <v>42</v>
      </c>
      <c r="B115" t="s">
        <v>1249</v>
      </c>
      <c r="C115" t="s">
        <v>284</v>
      </c>
      <c r="D115" t="s">
        <v>996</v>
      </c>
      <c r="E115">
        <v>209.82</v>
      </c>
      <c r="F115" t="s">
        <v>1065</v>
      </c>
      <c r="G115" t="s">
        <v>987</v>
      </c>
      <c r="H115" t="s">
        <v>988</v>
      </c>
      <c r="I115" t="s">
        <v>987</v>
      </c>
      <c r="J115" t="s">
        <v>987</v>
      </c>
      <c r="K115" t="b">
        <v>0</v>
      </c>
      <c r="L115" t="b">
        <v>1</v>
      </c>
      <c r="M115" t="s">
        <v>1067</v>
      </c>
      <c r="N115" t="s">
        <v>989</v>
      </c>
      <c r="O115" t="s">
        <v>1068</v>
      </c>
      <c r="P115" t="s">
        <v>1069</v>
      </c>
      <c r="Q115" t="s">
        <v>1070</v>
      </c>
    </row>
    <row r="116" spans="1:17">
      <c r="A116" t="s">
        <v>42</v>
      </c>
      <c r="B116" t="s">
        <v>1250</v>
      </c>
      <c r="C116" t="s">
        <v>285</v>
      </c>
      <c r="D116" t="s">
        <v>985</v>
      </c>
      <c r="E116">
        <v>0</v>
      </c>
      <c r="F116" t="s">
        <v>1251</v>
      </c>
      <c r="G116" t="s">
        <v>1252</v>
      </c>
      <c r="H116" t="s">
        <v>988</v>
      </c>
      <c r="I116" t="s">
        <v>987</v>
      </c>
      <c r="J116" t="s">
        <v>987</v>
      </c>
      <c r="K116" t="b">
        <v>1</v>
      </c>
      <c r="L116" t="b">
        <v>0</v>
      </c>
      <c r="M116" t="s">
        <v>987</v>
      </c>
      <c r="N116" t="s">
        <v>1183</v>
      </c>
      <c r="O116" t="s">
        <v>990</v>
      </c>
      <c r="P116" t="s">
        <v>1022</v>
      </c>
      <c r="Q116" t="s">
        <v>1253</v>
      </c>
    </row>
    <row r="117" spans="1:17">
      <c r="A117" t="s">
        <v>42</v>
      </c>
      <c r="B117" t="s">
        <v>1254</v>
      </c>
      <c r="C117" t="s">
        <v>285</v>
      </c>
      <c r="D117" t="s">
        <v>994</v>
      </c>
      <c r="E117">
        <v>0</v>
      </c>
      <c r="F117" t="s">
        <v>1251</v>
      </c>
      <c r="G117" t="s">
        <v>1252</v>
      </c>
      <c r="H117" t="s">
        <v>988</v>
      </c>
      <c r="I117" t="s">
        <v>987</v>
      </c>
      <c r="J117" t="s">
        <v>987</v>
      </c>
      <c r="K117" t="b">
        <v>1</v>
      </c>
      <c r="L117" t="b">
        <v>0</v>
      </c>
      <c r="M117" t="s">
        <v>987</v>
      </c>
      <c r="N117" t="s">
        <v>1183</v>
      </c>
      <c r="O117" t="s">
        <v>990</v>
      </c>
      <c r="P117" t="s">
        <v>1022</v>
      </c>
      <c r="Q117" t="s">
        <v>1253</v>
      </c>
    </row>
    <row r="118" spans="1:17">
      <c r="A118" t="s">
        <v>42</v>
      </c>
      <c r="B118" t="s">
        <v>1255</v>
      </c>
      <c r="C118" t="s">
        <v>285</v>
      </c>
      <c r="D118" t="s">
        <v>996</v>
      </c>
      <c r="E118">
        <v>0</v>
      </c>
      <c r="F118" t="s">
        <v>1251</v>
      </c>
      <c r="G118" t="s">
        <v>1252</v>
      </c>
      <c r="H118" t="s">
        <v>988</v>
      </c>
      <c r="I118" t="s">
        <v>987</v>
      </c>
      <c r="J118" t="s">
        <v>987</v>
      </c>
      <c r="K118" t="b">
        <v>1</v>
      </c>
      <c r="L118" t="b">
        <v>0</v>
      </c>
      <c r="M118" t="s">
        <v>987</v>
      </c>
      <c r="N118" t="s">
        <v>1183</v>
      </c>
      <c r="O118" t="s">
        <v>990</v>
      </c>
      <c r="P118" t="s">
        <v>1022</v>
      </c>
      <c r="Q118" t="s">
        <v>1253</v>
      </c>
    </row>
    <row r="119" spans="1:17">
      <c r="A119" t="s">
        <v>42</v>
      </c>
      <c r="B119" t="s">
        <v>1256</v>
      </c>
      <c r="C119" t="s">
        <v>285</v>
      </c>
      <c r="D119" t="s">
        <v>998</v>
      </c>
      <c r="E119">
        <v>0</v>
      </c>
      <c r="F119" t="s">
        <v>1251</v>
      </c>
      <c r="G119" t="s">
        <v>1252</v>
      </c>
      <c r="H119" t="s">
        <v>988</v>
      </c>
      <c r="I119" t="s">
        <v>987</v>
      </c>
      <c r="J119" t="s">
        <v>987</v>
      </c>
      <c r="K119" t="b">
        <v>1</v>
      </c>
      <c r="L119" t="b">
        <v>0</v>
      </c>
      <c r="M119" t="s">
        <v>987</v>
      </c>
      <c r="N119" t="s">
        <v>1183</v>
      </c>
      <c r="O119" t="s">
        <v>990</v>
      </c>
      <c r="P119" t="s">
        <v>1022</v>
      </c>
      <c r="Q119" t="s">
        <v>1253</v>
      </c>
    </row>
    <row r="120" spans="1:17">
      <c r="A120" t="s">
        <v>42</v>
      </c>
      <c r="B120" t="s">
        <v>1257</v>
      </c>
      <c r="C120" t="s">
        <v>285</v>
      </c>
      <c r="D120" t="s">
        <v>1000</v>
      </c>
      <c r="E120">
        <v>0</v>
      </c>
      <c r="F120" t="s">
        <v>1251</v>
      </c>
      <c r="G120" t="s">
        <v>1252</v>
      </c>
      <c r="H120" t="s">
        <v>988</v>
      </c>
      <c r="I120" t="s">
        <v>987</v>
      </c>
      <c r="J120" t="s">
        <v>987</v>
      </c>
      <c r="K120" t="b">
        <v>1</v>
      </c>
      <c r="L120" t="b">
        <v>0</v>
      </c>
      <c r="M120" t="s">
        <v>987</v>
      </c>
      <c r="N120" t="s">
        <v>1183</v>
      </c>
      <c r="O120" t="s">
        <v>990</v>
      </c>
      <c r="P120" t="s">
        <v>1022</v>
      </c>
      <c r="Q120" t="s">
        <v>1253</v>
      </c>
    </row>
    <row r="121" spans="1:17">
      <c r="A121" t="s">
        <v>42</v>
      </c>
      <c r="B121" t="s">
        <v>1258</v>
      </c>
      <c r="C121" t="s">
        <v>285</v>
      </c>
      <c r="D121" t="s">
        <v>1002</v>
      </c>
      <c r="E121">
        <v>0</v>
      </c>
      <c r="F121" t="s">
        <v>1251</v>
      </c>
      <c r="G121" t="s">
        <v>1252</v>
      </c>
      <c r="H121" t="s">
        <v>988</v>
      </c>
      <c r="I121" t="s">
        <v>987</v>
      </c>
      <c r="J121" t="s">
        <v>987</v>
      </c>
      <c r="K121" t="b">
        <v>1</v>
      </c>
      <c r="L121" t="b">
        <v>0</v>
      </c>
      <c r="M121" t="s">
        <v>987</v>
      </c>
      <c r="N121" t="s">
        <v>1183</v>
      </c>
      <c r="O121" t="s">
        <v>990</v>
      </c>
      <c r="P121" t="s">
        <v>1022</v>
      </c>
      <c r="Q121" t="s">
        <v>1253</v>
      </c>
    </row>
    <row r="122" spans="1:17">
      <c r="A122" t="s">
        <v>42</v>
      </c>
      <c r="B122" t="s">
        <v>1259</v>
      </c>
      <c r="C122" t="s">
        <v>285</v>
      </c>
      <c r="D122" t="s">
        <v>1004</v>
      </c>
      <c r="E122">
        <v>0</v>
      </c>
      <c r="F122" t="s">
        <v>1251</v>
      </c>
      <c r="G122" t="s">
        <v>1252</v>
      </c>
      <c r="H122" t="s">
        <v>988</v>
      </c>
      <c r="I122" t="s">
        <v>987</v>
      </c>
      <c r="J122" t="s">
        <v>987</v>
      </c>
      <c r="K122" t="b">
        <v>1</v>
      </c>
      <c r="L122" t="b">
        <v>0</v>
      </c>
      <c r="M122" t="s">
        <v>987</v>
      </c>
      <c r="N122" t="s">
        <v>1183</v>
      </c>
      <c r="O122" t="s">
        <v>990</v>
      </c>
      <c r="P122" t="s">
        <v>1022</v>
      </c>
      <c r="Q122" t="s">
        <v>1253</v>
      </c>
    </row>
    <row r="123" spans="1:17">
      <c r="A123" t="s">
        <v>42</v>
      </c>
      <c r="B123" t="s">
        <v>1260</v>
      </c>
      <c r="C123" t="s">
        <v>285</v>
      </c>
      <c r="D123" t="s">
        <v>1006</v>
      </c>
      <c r="E123">
        <v>0</v>
      </c>
      <c r="F123" t="s">
        <v>1251</v>
      </c>
      <c r="G123" t="s">
        <v>1252</v>
      </c>
      <c r="H123" t="s">
        <v>988</v>
      </c>
      <c r="I123" t="s">
        <v>987</v>
      </c>
      <c r="J123" t="s">
        <v>987</v>
      </c>
      <c r="K123" t="b">
        <v>1</v>
      </c>
      <c r="L123" t="b">
        <v>0</v>
      </c>
      <c r="M123" t="s">
        <v>987</v>
      </c>
      <c r="N123" t="s">
        <v>1183</v>
      </c>
      <c r="O123" t="s">
        <v>990</v>
      </c>
      <c r="P123" t="s">
        <v>1022</v>
      </c>
      <c r="Q123" t="s">
        <v>1253</v>
      </c>
    </row>
    <row r="124" spans="1:17">
      <c r="A124" t="s">
        <v>42</v>
      </c>
      <c r="B124" t="s">
        <v>1261</v>
      </c>
      <c r="C124" t="s">
        <v>285</v>
      </c>
      <c r="D124" t="s">
        <v>1016</v>
      </c>
      <c r="E124">
        <v>0</v>
      </c>
      <c r="F124" t="s">
        <v>1251</v>
      </c>
      <c r="G124" t="s">
        <v>1252</v>
      </c>
      <c r="H124" t="s">
        <v>988</v>
      </c>
      <c r="I124" t="s">
        <v>987</v>
      </c>
      <c r="J124" t="s">
        <v>987</v>
      </c>
      <c r="K124" t="b">
        <v>1</v>
      </c>
      <c r="L124" t="b">
        <v>0</v>
      </c>
      <c r="M124" t="s">
        <v>987</v>
      </c>
      <c r="N124" t="s">
        <v>1183</v>
      </c>
      <c r="O124" t="s">
        <v>990</v>
      </c>
      <c r="P124" t="s">
        <v>1022</v>
      </c>
      <c r="Q124" t="s">
        <v>1253</v>
      </c>
    </row>
    <row r="125" spans="1:17">
      <c r="A125" t="s">
        <v>42</v>
      </c>
      <c r="B125" t="s">
        <v>1262</v>
      </c>
      <c r="C125" t="s">
        <v>330</v>
      </c>
      <c r="D125" t="s">
        <v>985</v>
      </c>
      <c r="E125">
        <v>1770</v>
      </c>
      <c r="F125" t="s">
        <v>1065</v>
      </c>
      <c r="G125" t="s">
        <v>1263</v>
      </c>
      <c r="H125" t="s">
        <v>1264</v>
      </c>
      <c r="I125" t="s">
        <v>987</v>
      </c>
      <c r="J125" t="s">
        <v>987</v>
      </c>
      <c r="K125" t="b">
        <v>0</v>
      </c>
      <c r="L125" t="b">
        <v>1</v>
      </c>
      <c r="M125" t="s">
        <v>1067</v>
      </c>
      <c r="N125" t="s">
        <v>989</v>
      </c>
      <c r="O125" t="s">
        <v>1068</v>
      </c>
      <c r="P125" t="s">
        <v>1069</v>
      </c>
      <c r="Q125" t="s">
        <v>1070</v>
      </c>
    </row>
    <row r="126" spans="1:17">
      <c r="A126" t="s">
        <v>42</v>
      </c>
      <c r="B126" t="s">
        <v>1265</v>
      </c>
      <c r="C126" t="s">
        <v>330</v>
      </c>
      <c r="D126" t="s">
        <v>994</v>
      </c>
      <c r="E126">
        <v>2642</v>
      </c>
      <c r="F126" t="s">
        <v>1065</v>
      </c>
      <c r="G126" t="s">
        <v>1263</v>
      </c>
      <c r="H126" t="s">
        <v>1264</v>
      </c>
      <c r="I126" t="s">
        <v>987</v>
      </c>
      <c r="J126" t="s">
        <v>987</v>
      </c>
      <c r="K126" t="b">
        <v>0</v>
      </c>
      <c r="L126" t="b">
        <v>1</v>
      </c>
      <c r="M126" t="s">
        <v>1067</v>
      </c>
      <c r="N126" t="s">
        <v>989</v>
      </c>
      <c r="O126" t="s">
        <v>1068</v>
      </c>
      <c r="P126" t="s">
        <v>1069</v>
      </c>
      <c r="Q126" t="s">
        <v>1070</v>
      </c>
    </row>
    <row r="127" spans="1:17">
      <c r="A127" t="s">
        <v>42</v>
      </c>
      <c r="B127" t="s">
        <v>1266</v>
      </c>
      <c r="C127" t="s">
        <v>330</v>
      </c>
      <c r="D127" t="s">
        <v>996</v>
      </c>
      <c r="E127">
        <v>1876</v>
      </c>
      <c r="F127" t="s">
        <v>1065</v>
      </c>
      <c r="G127" t="s">
        <v>1263</v>
      </c>
      <c r="H127" t="s">
        <v>1264</v>
      </c>
      <c r="I127" t="s">
        <v>987</v>
      </c>
      <c r="J127" t="s">
        <v>987</v>
      </c>
      <c r="K127" t="b">
        <v>0</v>
      </c>
      <c r="L127" t="b">
        <v>1</v>
      </c>
      <c r="M127" t="s">
        <v>1067</v>
      </c>
      <c r="N127" t="s">
        <v>989</v>
      </c>
      <c r="O127" t="s">
        <v>1068</v>
      </c>
      <c r="P127" t="s">
        <v>1069</v>
      </c>
      <c r="Q127" t="s">
        <v>1070</v>
      </c>
    </row>
    <row r="128" spans="1:17">
      <c r="A128" t="s">
        <v>42</v>
      </c>
      <c r="B128" t="s">
        <v>1267</v>
      </c>
      <c r="C128" t="s">
        <v>330</v>
      </c>
      <c r="D128" t="s">
        <v>998</v>
      </c>
      <c r="E128">
        <v>729</v>
      </c>
      <c r="F128" t="s">
        <v>1065</v>
      </c>
      <c r="G128" t="s">
        <v>1263</v>
      </c>
      <c r="H128" t="s">
        <v>1264</v>
      </c>
      <c r="I128" t="s">
        <v>987</v>
      </c>
      <c r="J128" t="s">
        <v>987</v>
      </c>
      <c r="K128" t="b">
        <v>0</v>
      </c>
      <c r="L128" t="b">
        <v>1</v>
      </c>
      <c r="M128" t="s">
        <v>1067</v>
      </c>
      <c r="N128" t="s">
        <v>989</v>
      </c>
      <c r="O128" t="s">
        <v>1068</v>
      </c>
      <c r="P128" t="s">
        <v>1069</v>
      </c>
      <c r="Q128" t="s">
        <v>1070</v>
      </c>
    </row>
    <row r="129" spans="1:17">
      <c r="A129" t="s">
        <v>42</v>
      </c>
      <c r="B129" t="s">
        <v>1268</v>
      </c>
      <c r="C129" t="s">
        <v>330</v>
      </c>
      <c r="D129" t="s">
        <v>1000</v>
      </c>
      <c r="E129">
        <v>3163</v>
      </c>
      <c r="F129" t="s">
        <v>1065</v>
      </c>
      <c r="G129" t="s">
        <v>1263</v>
      </c>
      <c r="H129" t="s">
        <v>1264</v>
      </c>
      <c r="I129" t="s">
        <v>987</v>
      </c>
      <c r="J129" t="s">
        <v>987</v>
      </c>
      <c r="K129" t="b">
        <v>0</v>
      </c>
      <c r="L129" t="b">
        <v>1</v>
      </c>
      <c r="M129" t="s">
        <v>1067</v>
      </c>
      <c r="N129" t="s">
        <v>989</v>
      </c>
      <c r="O129" t="s">
        <v>1068</v>
      </c>
      <c r="P129" t="s">
        <v>1069</v>
      </c>
      <c r="Q129" t="s">
        <v>1070</v>
      </c>
    </row>
    <row r="130" spans="1:17">
      <c r="A130" t="s">
        <v>42</v>
      </c>
      <c r="B130" t="s">
        <v>1269</v>
      </c>
      <c r="C130" t="s">
        <v>330</v>
      </c>
      <c r="D130" t="s">
        <v>1002</v>
      </c>
      <c r="E130">
        <v>2071</v>
      </c>
      <c r="F130" t="s">
        <v>1065</v>
      </c>
      <c r="G130" t="s">
        <v>1263</v>
      </c>
      <c r="H130" t="s">
        <v>1264</v>
      </c>
      <c r="I130" t="s">
        <v>987</v>
      </c>
      <c r="J130" t="s">
        <v>987</v>
      </c>
      <c r="K130" t="b">
        <v>0</v>
      </c>
      <c r="L130" t="b">
        <v>1</v>
      </c>
      <c r="M130" t="s">
        <v>1067</v>
      </c>
      <c r="N130" t="s">
        <v>989</v>
      </c>
      <c r="O130" t="s">
        <v>1068</v>
      </c>
      <c r="P130" t="s">
        <v>1069</v>
      </c>
      <c r="Q130" t="s">
        <v>1070</v>
      </c>
    </row>
    <row r="131" spans="1:17">
      <c r="A131" t="s">
        <v>42</v>
      </c>
      <c r="B131" t="s">
        <v>1270</v>
      </c>
      <c r="C131" t="s">
        <v>330</v>
      </c>
      <c r="D131" t="s">
        <v>1004</v>
      </c>
      <c r="E131">
        <v>921</v>
      </c>
      <c r="F131" t="s">
        <v>1065</v>
      </c>
      <c r="G131" t="s">
        <v>1263</v>
      </c>
      <c r="H131" t="s">
        <v>1264</v>
      </c>
      <c r="I131" t="s">
        <v>987</v>
      </c>
      <c r="J131" t="s">
        <v>987</v>
      </c>
      <c r="K131" t="b">
        <v>0</v>
      </c>
      <c r="L131" t="b">
        <v>1</v>
      </c>
      <c r="M131" t="s">
        <v>1067</v>
      </c>
      <c r="N131" t="s">
        <v>989</v>
      </c>
      <c r="O131" t="s">
        <v>1068</v>
      </c>
      <c r="P131" t="s">
        <v>1069</v>
      </c>
      <c r="Q131" t="s">
        <v>1070</v>
      </c>
    </row>
    <row r="132" spans="1:17">
      <c r="A132" t="s">
        <v>42</v>
      </c>
      <c r="B132" t="s">
        <v>1271</v>
      </c>
      <c r="C132" t="s">
        <v>330</v>
      </c>
      <c r="D132" t="s">
        <v>1006</v>
      </c>
      <c r="E132">
        <v>876</v>
      </c>
      <c r="F132" t="s">
        <v>1065</v>
      </c>
      <c r="G132" t="s">
        <v>1263</v>
      </c>
      <c r="H132" t="s">
        <v>1264</v>
      </c>
      <c r="I132" t="s">
        <v>987</v>
      </c>
      <c r="J132" t="s">
        <v>987</v>
      </c>
      <c r="K132" t="b">
        <v>0</v>
      </c>
      <c r="L132" t="b">
        <v>1</v>
      </c>
      <c r="M132" t="s">
        <v>1067</v>
      </c>
      <c r="N132" t="s">
        <v>989</v>
      </c>
      <c r="O132" t="s">
        <v>1068</v>
      </c>
      <c r="P132" t="s">
        <v>1069</v>
      </c>
      <c r="Q132" t="s">
        <v>1070</v>
      </c>
    </row>
    <row r="133" spans="1:17">
      <c r="A133" t="s">
        <v>42</v>
      </c>
      <c r="B133" t="s">
        <v>1272</v>
      </c>
      <c r="C133" t="s">
        <v>330</v>
      </c>
      <c r="D133" t="s">
        <v>1008</v>
      </c>
      <c r="E133">
        <v>7199.848</v>
      </c>
      <c r="F133" t="s">
        <v>1018</v>
      </c>
      <c r="G133" t="s">
        <v>1273</v>
      </c>
      <c r="H133" t="s">
        <v>1264</v>
      </c>
      <c r="I133" t="s">
        <v>1036</v>
      </c>
      <c r="J133" t="s">
        <v>987</v>
      </c>
      <c r="K133" t="b">
        <v>1</v>
      </c>
      <c r="L133" t="b">
        <v>0</v>
      </c>
      <c r="M133" t="s">
        <v>987</v>
      </c>
      <c r="N133" t="s">
        <v>1183</v>
      </c>
      <c r="O133" t="s">
        <v>990</v>
      </c>
      <c r="P133" t="s">
        <v>1022</v>
      </c>
      <c r="Q133" t="s">
        <v>1274</v>
      </c>
    </row>
    <row r="134" spans="1:17">
      <c r="A134" t="s">
        <v>42</v>
      </c>
      <c r="B134" t="s">
        <v>1275</v>
      </c>
      <c r="C134" t="s">
        <v>330</v>
      </c>
      <c r="D134" t="s">
        <v>1010</v>
      </c>
      <c r="E134">
        <v>8177.4049999999997</v>
      </c>
      <c r="F134" t="s">
        <v>1018</v>
      </c>
      <c r="G134" t="s">
        <v>1276</v>
      </c>
      <c r="H134" t="s">
        <v>1264</v>
      </c>
      <c r="I134" t="s">
        <v>1039</v>
      </c>
      <c r="J134" t="s">
        <v>987</v>
      </c>
      <c r="K134" t="b">
        <v>1</v>
      </c>
      <c r="L134" t="b">
        <v>0</v>
      </c>
      <c r="M134" t="s">
        <v>987</v>
      </c>
      <c r="N134" t="s">
        <v>1183</v>
      </c>
      <c r="O134" t="s">
        <v>990</v>
      </c>
      <c r="P134" t="s">
        <v>1022</v>
      </c>
      <c r="Q134" t="s">
        <v>1274</v>
      </c>
    </row>
    <row r="135" spans="1:17">
      <c r="A135" t="s">
        <v>42</v>
      </c>
      <c r="B135" t="s">
        <v>1277</v>
      </c>
      <c r="C135" t="s">
        <v>330</v>
      </c>
      <c r="D135" t="s">
        <v>1012</v>
      </c>
      <c r="E135">
        <v>9287.2870000000003</v>
      </c>
      <c r="F135" t="s">
        <v>1018</v>
      </c>
      <c r="G135" t="s">
        <v>1278</v>
      </c>
      <c r="H135" t="s">
        <v>1264</v>
      </c>
      <c r="I135" t="s">
        <v>1042</v>
      </c>
      <c r="J135" t="s">
        <v>987</v>
      </c>
      <c r="K135" t="b">
        <v>1</v>
      </c>
      <c r="L135" t="b">
        <v>0</v>
      </c>
      <c r="M135" t="s">
        <v>987</v>
      </c>
      <c r="N135" t="s">
        <v>1183</v>
      </c>
      <c r="O135" t="s">
        <v>990</v>
      </c>
      <c r="P135" t="s">
        <v>1022</v>
      </c>
      <c r="Q135" t="s">
        <v>1274</v>
      </c>
    </row>
    <row r="136" spans="1:17">
      <c r="A136" t="s">
        <v>42</v>
      </c>
      <c r="B136" t="s">
        <v>1279</v>
      </c>
      <c r="C136" t="s">
        <v>330</v>
      </c>
      <c r="D136" t="s">
        <v>1014</v>
      </c>
      <c r="E136">
        <v>9033.6810000000005</v>
      </c>
      <c r="F136" t="s">
        <v>1018</v>
      </c>
      <c r="G136" t="s">
        <v>1280</v>
      </c>
      <c r="H136" t="s">
        <v>1264</v>
      </c>
      <c r="I136" t="s">
        <v>1281</v>
      </c>
      <c r="J136" t="s">
        <v>987</v>
      </c>
      <c r="K136" t="b">
        <v>1</v>
      </c>
      <c r="L136" t="b">
        <v>0</v>
      </c>
      <c r="M136" t="s">
        <v>987</v>
      </c>
      <c r="N136" t="s">
        <v>1183</v>
      </c>
      <c r="O136" t="s">
        <v>990</v>
      </c>
      <c r="P136" t="s">
        <v>1022</v>
      </c>
      <c r="Q136" t="s">
        <v>1274</v>
      </c>
    </row>
    <row r="137" spans="1:17">
      <c r="A137" t="s">
        <v>42</v>
      </c>
      <c r="B137" t="s">
        <v>1282</v>
      </c>
      <c r="C137" t="s">
        <v>330</v>
      </c>
      <c r="D137" t="s">
        <v>1016</v>
      </c>
      <c r="E137">
        <v>7146</v>
      </c>
      <c r="F137" t="s">
        <v>1065</v>
      </c>
      <c r="G137" t="s">
        <v>1263</v>
      </c>
      <c r="H137" t="s">
        <v>1264</v>
      </c>
      <c r="I137" t="s">
        <v>987</v>
      </c>
      <c r="J137" t="s">
        <v>987</v>
      </c>
      <c r="K137" t="b">
        <v>0</v>
      </c>
      <c r="L137" t="b">
        <v>1</v>
      </c>
      <c r="M137" t="s">
        <v>1067</v>
      </c>
      <c r="N137" t="s">
        <v>989</v>
      </c>
      <c r="O137" t="s">
        <v>1068</v>
      </c>
      <c r="P137" t="s">
        <v>1069</v>
      </c>
      <c r="Q137" t="s">
        <v>1070</v>
      </c>
    </row>
    <row r="138" spans="1:17">
      <c r="A138" t="s">
        <v>42</v>
      </c>
      <c r="B138" t="s">
        <v>1283</v>
      </c>
      <c r="C138" t="s">
        <v>333</v>
      </c>
      <c r="D138" t="s">
        <v>985</v>
      </c>
      <c r="E138">
        <v>3768.029</v>
      </c>
      <c r="F138" t="s">
        <v>1251</v>
      </c>
      <c r="G138" t="s">
        <v>1284</v>
      </c>
      <c r="H138" t="s">
        <v>1264</v>
      </c>
      <c r="I138" t="s">
        <v>1285</v>
      </c>
      <c r="J138" t="s">
        <v>987</v>
      </c>
      <c r="K138" t="b">
        <v>1</v>
      </c>
      <c r="L138" t="b">
        <v>0</v>
      </c>
      <c r="M138" t="s">
        <v>987</v>
      </c>
      <c r="N138" t="s">
        <v>1183</v>
      </c>
      <c r="O138" t="s">
        <v>990</v>
      </c>
      <c r="P138" t="s">
        <v>1022</v>
      </c>
      <c r="Q138" t="s">
        <v>1286</v>
      </c>
    </row>
    <row r="139" spans="1:17">
      <c r="A139" t="s">
        <v>42</v>
      </c>
      <c r="B139" t="s">
        <v>1287</v>
      </c>
      <c r="C139" t="s">
        <v>333</v>
      </c>
      <c r="D139" t="s">
        <v>994</v>
      </c>
      <c r="E139">
        <v>3843.5479999999998</v>
      </c>
      <c r="F139" t="s">
        <v>1251</v>
      </c>
      <c r="G139" t="s">
        <v>1288</v>
      </c>
      <c r="H139" t="s">
        <v>1264</v>
      </c>
      <c r="I139" t="s">
        <v>1289</v>
      </c>
      <c r="J139" t="s">
        <v>987</v>
      </c>
      <c r="K139" t="b">
        <v>1</v>
      </c>
      <c r="L139" t="b">
        <v>0</v>
      </c>
      <c r="M139" t="s">
        <v>987</v>
      </c>
      <c r="N139" t="s">
        <v>1183</v>
      </c>
      <c r="O139" t="s">
        <v>990</v>
      </c>
      <c r="P139" t="s">
        <v>1022</v>
      </c>
      <c r="Q139" t="s">
        <v>1286</v>
      </c>
    </row>
    <row r="140" spans="1:17">
      <c r="A140" t="s">
        <v>42</v>
      </c>
      <c r="B140" t="s">
        <v>1290</v>
      </c>
      <c r="C140" t="s">
        <v>333</v>
      </c>
      <c r="D140" t="s">
        <v>996</v>
      </c>
      <c r="E140">
        <v>3426.2289999999998</v>
      </c>
      <c r="F140" t="s">
        <v>1251</v>
      </c>
      <c r="G140" t="s">
        <v>1291</v>
      </c>
      <c r="H140" t="s">
        <v>1264</v>
      </c>
      <c r="I140" t="s">
        <v>1292</v>
      </c>
      <c r="J140" t="s">
        <v>987</v>
      </c>
      <c r="K140" t="b">
        <v>1</v>
      </c>
      <c r="L140" t="b">
        <v>0</v>
      </c>
      <c r="M140" t="s">
        <v>987</v>
      </c>
      <c r="N140" t="s">
        <v>1183</v>
      </c>
      <c r="O140" t="s">
        <v>990</v>
      </c>
      <c r="P140" t="s">
        <v>1022</v>
      </c>
      <c r="Q140" t="s">
        <v>1286</v>
      </c>
    </row>
    <row r="141" spans="1:17">
      <c r="A141" t="s">
        <v>42</v>
      </c>
      <c r="B141" t="s">
        <v>1293</v>
      </c>
      <c r="C141" t="s">
        <v>333</v>
      </c>
      <c r="D141" t="s">
        <v>998</v>
      </c>
      <c r="E141">
        <v>2801.22</v>
      </c>
      <c r="F141" t="s">
        <v>1251</v>
      </c>
      <c r="G141" t="s">
        <v>1294</v>
      </c>
      <c r="H141" t="s">
        <v>1264</v>
      </c>
      <c r="I141" t="s">
        <v>1182</v>
      </c>
      <c r="J141" t="s">
        <v>987</v>
      </c>
      <c r="K141" t="b">
        <v>1</v>
      </c>
      <c r="L141" t="b">
        <v>0</v>
      </c>
      <c r="M141" t="s">
        <v>987</v>
      </c>
      <c r="N141" t="s">
        <v>1183</v>
      </c>
      <c r="O141" t="s">
        <v>990</v>
      </c>
      <c r="P141" t="s">
        <v>1022</v>
      </c>
      <c r="Q141" t="s">
        <v>1286</v>
      </c>
    </row>
    <row r="142" spans="1:17">
      <c r="A142" t="s">
        <v>42</v>
      </c>
      <c r="B142" t="s">
        <v>1295</v>
      </c>
      <c r="C142" t="s">
        <v>333</v>
      </c>
      <c r="D142" t="s">
        <v>1000</v>
      </c>
      <c r="E142">
        <v>2896.547</v>
      </c>
      <c r="F142" t="s">
        <v>1251</v>
      </c>
      <c r="G142" t="s">
        <v>1296</v>
      </c>
      <c r="H142" t="s">
        <v>1264</v>
      </c>
      <c r="I142" t="s">
        <v>1020</v>
      </c>
      <c r="J142" t="s">
        <v>987</v>
      </c>
      <c r="K142" t="b">
        <v>1</v>
      </c>
      <c r="L142" t="b">
        <v>0</v>
      </c>
      <c r="M142" t="s">
        <v>987</v>
      </c>
      <c r="N142" t="s">
        <v>1183</v>
      </c>
      <c r="O142" t="s">
        <v>990</v>
      </c>
      <c r="P142" t="s">
        <v>1022</v>
      </c>
      <c r="Q142" t="s">
        <v>1286</v>
      </c>
    </row>
    <row r="143" spans="1:17">
      <c r="A143" t="s">
        <v>42</v>
      </c>
      <c r="B143" t="s">
        <v>1297</v>
      </c>
      <c r="C143" t="s">
        <v>333</v>
      </c>
      <c r="D143" t="s">
        <v>1002</v>
      </c>
      <c r="E143">
        <v>2990.614</v>
      </c>
      <c r="F143" t="s">
        <v>1251</v>
      </c>
      <c r="G143" t="s">
        <v>1298</v>
      </c>
      <c r="H143" t="s">
        <v>1264</v>
      </c>
      <c r="I143" t="s">
        <v>1026</v>
      </c>
      <c r="J143" t="s">
        <v>987</v>
      </c>
      <c r="K143" t="b">
        <v>1</v>
      </c>
      <c r="L143" t="b">
        <v>0</v>
      </c>
      <c r="M143" t="s">
        <v>987</v>
      </c>
      <c r="N143" t="s">
        <v>1183</v>
      </c>
      <c r="O143" t="s">
        <v>990</v>
      </c>
      <c r="P143" t="s">
        <v>1022</v>
      </c>
      <c r="Q143" t="s">
        <v>1286</v>
      </c>
    </row>
    <row r="144" spans="1:17">
      <c r="A144" t="s">
        <v>42</v>
      </c>
      <c r="B144" t="s">
        <v>1299</v>
      </c>
      <c r="C144" t="s">
        <v>333</v>
      </c>
      <c r="D144" t="s">
        <v>1004</v>
      </c>
      <c r="E144">
        <v>4672.0739999999996</v>
      </c>
      <c r="F144" t="s">
        <v>1251</v>
      </c>
      <c r="G144" t="s">
        <v>1300</v>
      </c>
      <c r="H144" t="s">
        <v>1264</v>
      </c>
      <c r="I144" t="s">
        <v>1029</v>
      </c>
      <c r="J144" t="s">
        <v>987</v>
      </c>
      <c r="K144" t="b">
        <v>1</v>
      </c>
      <c r="L144" t="b">
        <v>0</v>
      </c>
      <c r="M144" t="s">
        <v>987</v>
      </c>
      <c r="N144" t="s">
        <v>1183</v>
      </c>
      <c r="O144" t="s">
        <v>990</v>
      </c>
      <c r="P144" t="s">
        <v>1022</v>
      </c>
      <c r="Q144" t="s">
        <v>1286</v>
      </c>
    </row>
    <row r="145" spans="1:17">
      <c r="A145" t="s">
        <v>42</v>
      </c>
      <c r="B145" t="s">
        <v>1301</v>
      </c>
      <c r="C145" t="s">
        <v>333</v>
      </c>
      <c r="D145" t="s">
        <v>1006</v>
      </c>
      <c r="E145">
        <v>5295.6459999999997</v>
      </c>
      <c r="F145" t="s">
        <v>1251</v>
      </c>
      <c r="G145" t="s">
        <v>1302</v>
      </c>
      <c r="H145" t="s">
        <v>1264</v>
      </c>
      <c r="I145" t="s">
        <v>1281</v>
      </c>
      <c r="J145" t="s">
        <v>987</v>
      </c>
      <c r="K145" t="b">
        <v>1</v>
      </c>
      <c r="L145" t="b">
        <v>0</v>
      </c>
      <c r="M145" t="s">
        <v>987</v>
      </c>
      <c r="N145" t="s">
        <v>1183</v>
      </c>
      <c r="O145" t="s">
        <v>990</v>
      </c>
      <c r="P145" t="s">
        <v>1022</v>
      </c>
      <c r="Q145" t="s">
        <v>1286</v>
      </c>
    </row>
    <row r="146" spans="1:17">
      <c r="A146" t="s">
        <v>42</v>
      </c>
      <c r="B146" t="s">
        <v>1303</v>
      </c>
      <c r="C146" t="s">
        <v>333</v>
      </c>
      <c r="D146" t="s">
        <v>1008</v>
      </c>
      <c r="E146">
        <v>4497.7839999999997</v>
      </c>
      <c r="F146" t="s">
        <v>1251</v>
      </c>
      <c r="G146" t="s">
        <v>1304</v>
      </c>
      <c r="H146" t="s">
        <v>1264</v>
      </c>
      <c r="I146" t="s">
        <v>1036</v>
      </c>
      <c r="J146" t="s">
        <v>987</v>
      </c>
      <c r="K146" t="b">
        <v>1</v>
      </c>
      <c r="L146" t="b">
        <v>0</v>
      </c>
      <c r="M146" t="s">
        <v>987</v>
      </c>
      <c r="N146" t="s">
        <v>1183</v>
      </c>
      <c r="O146" t="s">
        <v>990</v>
      </c>
      <c r="P146" t="s">
        <v>1022</v>
      </c>
      <c r="Q146" t="s">
        <v>1286</v>
      </c>
    </row>
    <row r="147" spans="1:17">
      <c r="A147" t="s">
        <v>42</v>
      </c>
      <c r="B147" t="s">
        <v>1305</v>
      </c>
      <c r="C147" t="s">
        <v>333</v>
      </c>
      <c r="D147" t="s">
        <v>1010</v>
      </c>
      <c r="E147">
        <v>3815.701</v>
      </c>
      <c r="F147" t="s">
        <v>1251</v>
      </c>
      <c r="G147" t="s">
        <v>1306</v>
      </c>
      <c r="H147" t="s">
        <v>1264</v>
      </c>
      <c r="I147" t="s">
        <v>1039</v>
      </c>
      <c r="J147" t="s">
        <v>987</v>
      </c>
      <c r="K147" t="b">
        <v>1</v>
      </c>
      <c r="L147" t="b">
        <v>0</v>
      </c>
      <c r="M147" t="s">
        <v>987</v>
      </c>
      <c r="N147" t="s">
        <v>1183</v>
      </c>
      <c r="O147" t="s">
        <v>990</v>
      </c>
      <c r="P147" t="s">
        <v>1022</v>
      </c>
      <c r="Q147" t="s">
        <v>1286</v>
      </c>
    </row>
    <row r="148" spans="1:17">
      <c r="A148" t="s">
        <v>42</v>
      </c>
      <c r="B148" t="s">
        <v>1307</v>
      </c>
      <c r="C148" t="s">
        <v>333</v>
      </c>
      <c r="D148" t="s">
        <v>1012</v>
      </c>
      <c r="E148">
        <v>3675.6480000000001</v>
      </c>
      <c r="F148" t="s">
        <v>1251</v>
      </c>
      <c r="G148" t="s">
        <v>1308</v>
      </c>
      <c r="H148" t="s">
        <v>1264</v>
      </c>
      <c r="I148" t="s">
        <v>1042</v>
      </c>
      <c r="J148" t="s">
        <v>987</v>
      </c>
      <c r="K148" t="b">
        <v>1</v>
      </c>
      <c r="L148" t="b">
        <v>0</v>
      </c>
      <c r="M148" t="s">
        <v>987</v>
      </c>
      <c r="N148" t="s">
        <v>1183</v>
      </c>
      <c r="O148" t="s">
        <v>990</v>
      </c>
      <c r="P148" t="s">
        <v>1022</v>
      </c>
      <c r="Q148" t="s">
        <v>1286</v>
      </c>
    </row>
    <row r="149" spans="1:17">
      <c r="A149" t="s">
        <v>42</v>
      </c>
      <c r="B149" t="s">
        <v>1309</v>
      </c>
      <c r="C149" t="s">
        <v>333</v>
      </c>
      <c r="D149" t="s">
        <v>1014</v>
      </c>
      <c r="E149">
        <v>3986.51</v>
      </c>
      <c r="F149" t="s">
        <v>1251</v>
      </c>
      <c r="G149" t="s">
        <v>1310</v>
      </c>
      <c r="H149" t="s">
        <v>1264</v>
      </c>
      <c r="I149" t="s">
        <v>1311</v>
      </c>
      <c r="J149" t="s">
        <v>987</v>
      </c>
      <c r="K149" t="b">
        <v>1</v>
      </c>
      <c r="L149" t="b">
        <v>0</v>
      </c>
      <c r="M149" t="s">
        <v>987</v>
      </c>
      <c r="N149" t="s">
        <v>1183</v>
      </c>
      <c r="O149" t="s">
        <v>990</v>
      </c>
      <c r="P149" t="s">
        <v>1022</v>
      </c>
      <c r="Q149" t="s">
        <v>1312</v>
      </c>
    </row>
    <row r="150" spans="1:17">
      <c r="A150" t="s">
        <v>42</v>
      </c>
      <c r="B150" t="s">
        <v>1313</v>
      </c>
      <c r="C150" t="s">
        <v>333</v>
      </c>
      <c r="D150" t="s">
        <v>1016</v>
      </c>
      <c r="E150">
        <v>4811.21</v>
      </c>
      <c r="F150" t="s">
        <v>1251</v>
      </c>
      <c r="G150" t="s">
        <v>1314</v>
      </c>
      <c r="H150" t="s">
        <v>1264</v>
      </c>
      <c r="I150" t="s">
        <v>1048</v>
      </c>
      <c r="J150" t="s">
        <v>987</v>
      </c>
      <c r="K150" t="b">
        <v>1</v>
      </c>
      <c r="L150" t="b">
        <v>0</v>
      </c>
      <c r="M150" t="s">
        <v>987</v>
      </c>
      <c r="N150" t="s">
        <v>1183</v>
      </c>
      <c r="O150" t="s">
        <v>990</v>
      </c>
      <c r="P150" t="s">
        <v>1022</v>
      </c>
      <c r="Q150" t="s">
        <v>1286</v>
      </c>
    </row>
    <row r="151" spans="1:17">
      <c r="A151" t="s">
        <v>42</v>
      </c>
      <c r="B151" t="s">
        <v>1315</v>
      </c>
      <c r="C151" t="s">
        <v>335</v>
      </c>
      <c r="D151" t="s">
        <v>985</v>
      </c>
      <c r="E151">
        <v>1413.0940000000001</v>
      </c>
      <c r="F151" t="s">
        <v>1251</v>
      </c>
      <c r="G151" t="s">
        <v>1316</v>
      </c>
      <c r="H151" t="s">
        <v>1264</v>
      </c>
      <c r="I151" t="s">
        <v>1285</v>
      </c>
      <c r="J151" t="s">
        <v>987</v>
      </c>
      <c r="K151" t="b">
        <v>1</v>
      </c>
      <c r="L151" t="b">
        <v>0</v>
      </c>
      <c r="M151" t="s">
        <v>987</v>
      </c>
      <c r="N151" t="s">
        <v>1183</v>
      </c>
      <c r="O151" t="s">
        <v>990</v>
      </c>
      <c r="P151" t="s">
        <v>1022</v>
      </c>
      <c r="Q151" t="s">
        <v>1317</v>
      </c>
    </row>
    <row r="152" spans="1:17">
      <c r="A152" t="s">
        <v>42</v>
      </c>
      <c r="B152" t="s">
        <v>1318</v>
      </c>
      <c r="C152" t="s">
        <v>335</v>
      </c>
      <c r="D152" t="s">
        <v>994</v>
      </c>
      <c r="E152">
        <v>1471.9680000000001</v>
      </c>
      <c r="F152" t="s">
        <v>1251</v>
      </c>
      <c r="G152" t="s">
        <v>1319</v>
      </c>
      <c r="H152" t="s">
        <v>1264</v>
      </c>
      <c r="I152" t="s">
        <v>1289</v>
      </c>
      <c r="J152" t="s">
        <v>987</v>
      </c>
      <c r="K152" t="b">
        <v>1</v>
      </c>
      <c r="L152" t="b">
        <v>0</v>
      </c>
      <c r="M152" t="s">
        <v>987</v>
      </c>
      <c r="N152" t="s">
        <v>1183</v>
      </c>
      <c r="O152" t="s">
        <v>990</v>
      </c>
      <c r="P152" t="s">
        <v>1022</v>
      </c>
      <c r="Q152" t="s">
        <v>1317</v>
      </c>
    </row>
    <row r="153" spans="1:17">
      <c r="A153" t="s">
        <v>42</v>
      </c>
      <c r="B153" t="s">
        <v>1320</v>
      </c>
      <c r="C153" t="s">
        <v>335</v>
      </c>
      <c r="D153" t="s">
        <v>996</v>
      </c>
      <c r="E153">
        <v>1498.3910000000001</v>
      </c>
      <c r="F153" t="s">
        <v>1251</v>
      </c>
      <c r="G153" t="s">
        <v>1321</v>
      </c>
      <c r="H153" t="s">
        <v>1264</v>
      </c>
      <c r="I153" t="s">
        <v>1292</v>
      </c>
      <c r="J153" t="s">
        <v>987</v>
      </c>
      <c r="K153" t="b">
        <v>1</v>
      </c>
      <c r="L153" t="b">
        <v>0</v>
      </c>
      <c r="M153" t="s">
        <v>987</v>
      </c>
      <c r="N153" t="s">
        <v>1183</v>
      </c>
      <c r="O153" t="s">
        <v>990</v>
      </c>
      <c r="P153" t="s">
        <v>1022</v>
      </c>
      <c r="Q153" t="s">
        <v>1317</v>
      </c>
    </row>
    <row r="154" spans="1:17">
      <c r="A154" t="s">
        <v>42</v>
      </c>
      <c r="B154" t="s">
        <v>1322</v>
      </c>
      <c r="C154" t="s">
        <v>335</v>
      </c>
      <c r="D154" t="s">
        <v>998</v>
      </c>
      <c r="E154">
        <v>1491.444</v>
      </c>
      <c r="F154" t="s">
        <v>1251</v>
      </c>
      <c r="G154" t="s">
        <v>1323</v>
      </c>
      <c r="H154" t="s">
        <v>1264</v>
      </c>
      <c r="I154" t="s">
        <v>1182</v>
      </c>
      <c r="J154" t="s">
        <v>987</v>
      </c>
      <c r="K154" t="b">
        <v>1</v>
      </c>
      <c r="L154" t="b">
        <v>0</v>
      </c>
      <c r="M154" t="s">
        <v>987</v>
      </c>
      <c r="N154" t="s">
        <v>1183</v>
      </c>
      <c r="O154" t="s">
        <v>990</v>
      </c>
      <c r="P154" t="s">
        <v>1022</v>
      </c>
      <c r="Q154" t="s">
        <v>1317</v>
      </c>
    </row>
    <row r="155" spans="1:17">
      <c r="A155" t="s">
        <v>42</v>
      </c>
      <c r="B155" t="s">
        <v>1324</v>
      </c>
      <c r="C155" t="s">
        <v>335</v>
      </c>
      <c r="D155" t="s">
        <v>1000</v>
      </c>
      <c r="E155">
        <v>1501.1679999999999</v>
      </c>
      <c r="F155" t="s">
        <v>1251</v>
      </c>
      <c r="G155" t="s">
        <v>1325</v>
      </c>
      <c r="H155" t="s">
        <v>1264</v>
      </c>
      <c r="I155" t="s">
        <v>1020</v>
      </c>
      <c r="J155" t="s">
        <v>987</v>
      </c>
      <c r="K155" t="b">
        <v>1</v>
      </c>
      <c r="L155" t="b">
        <v>0</v>
      </c>
      <c r="M155" t="s">
        <v>987</v>
      </c>
      <c r="N155" t="s">
        <v>1183</v>
      </c>
      <c r="O155" t="s">
        <v>990</v>
      </c>
      <c r="P155" t="s">
        <v>1022</v>
      </c>
      <c r="Q155" t="s">
        <v>1317</v>
      </c>
    </row>
    <row r="156" spans="1:17">
      <c r="A156" t="s">
        <v>42</v>
      </c>
      <c r="B156" t="s">
        <v>1326</v>
      </c>
      <c r="C156" t="s">
        <v>335</v>
      </c>
      <c r="D156" t="s">
        <v>1002</v>
      </c>
      <c r="E156">
        <v>1510.9580000000001</v>
      </c>
      <c r="F156" t="s">
        <v>1251</v>
      </c>
      <c r="G156" t="s">
        <v>1327</v>
      </c>
      <c r="H156" t="s">
        <v>1264</v>
      </c>
      <c r="I156" t="s">
        <v>1026</v>
      </c>
      <c r="J156" t="s">
        <v>987</v>
      </c>
      <c r="K156" t="b">
        <v>1</v>
      </c>
      <c r="L156" t="b">
        <v>0</v>
      </c>
      <c r="M156" t="s">
        <v>987</v>
      </c>
      <c r="N156" t="s">
        <v>1183</v>
      </c>
      <c r="O156" t="s">
        <v>990</v>
      </c>
      <c r="P156" t="s">
        <v>1022</v>
      </c>
      <c r="Q156" t="s">
        <v>1317</v>
      </c>
    </row>
    <row r="157" spans="1:17">
      <c r="A157" t="s">
        <v>42</v>
      </c>
      <c r="B157" t="s">
        <v>1328</v>
      </c>
      <c r="C157" t="s">
        <v>335</v>
      </c>
      <c r="D157" t="s">
        <v>1004</v>
      </c>
      <c r="E157">
        <v>1568.212</v>
      </c>
      <c r="F157" t="s">
        <v>1251</v>
      </c>
      <c r="G157" t="s">
        <v>1329</v>
      </c>
      <c r="H157" t="s">
        <v>1264</v>
      </c>
      <c r="I157" t="s">
        <v>1029</v>
      </c>
      <c r="J157" t="s">
        <v>987</v>
      </c>
      <c r="K157" t="b">
        <v>1</v>
      </c>
      <c r="L157" t="b">
        <v>0</v>
      </c>
      <c r="M157" t="s">
        <v>987</v>
      </c>
      <c r="N157" t="s">
        <v>1183</v>
      </c>
      <c r="O157" t="s">
        <v>990</v>
      </c>
      <c r="P157" t="s">
        <v>1022</v>
      </c>
      <c r="Q157" t="s">
        <v>1317</v>
      </c>
    </row>
    <row r="158" spans="1:17">
      <c r="A158" t="s">
        <v>42</v>
      </c>
      <c r="B158" t="s">
        <v>1330</v>
      </c>
      <c r="C158" t="s">
        <v>335</v>
      </c>
      <c r="D158" t="s">
        <v>1006</v>
      </c>
      <c r="E158">
        <v>1593.7560000000001</v>
      </c>
      <c r="F158" t="s">
        <v>1251</v>
      </c>
      <c r="G158" t="s">
        <v>1331</v>
      </c>
      <c r="H158" t="s">
        <v>1264</v>
      </c>
      <c r="I158" t="s">
        <v>1281</v>
      </c>
      <c r="J158" t="s">
        <v>987</v>
      </c>
      <c r="K158" t="b">
        <v>1</v>
      </c>
      <c r="L158" t="b">
        <v>0</v>
      </c>
      <c r="M158" t="s">
        <v>987</v>
      </c>
      <c r="N158" t="s">
        <v>1183</v>
      </c>
      <c r="O158" t="s">
        <v>990</v>
      </c>
      <c r="P158" t="s">
        <v>1022</v>
      </c>
      <c r="Q158" t="s">
        <v>1317</v>
      </c>
    </row>
    <row r="159" spans="1:17">
      <c r="A159" t="s">
        <v>42</v>
      </c>
      <c r="B159" t="s">
        <v>1332</v>
      </c>
      <c r="C159" t="s">
        <v>335</v>
      </c>
      <c r="D159" t="s">
        <v>1008</v>
      </c>
      <c r="E159">
        <v>1644.346</v>
      </c>
      <c r="F159" t="s">
        <v>1251</v>
      </c>
      <c r="G159" t="s">
        <v>1333</v>
      </c>
      <c r="H159" t="s">
        <v>1264</v>
      </c>
      <c r="I159" t="s">
        <v>1036</v>
      </c>
      <c r="J159" t="s">
        <v>987</v>
      </c>
      <c r="K159" t="b">
        <v>1</v>
      </c>
      <c r="L159" t="b">
        <v>0</v>
      </c>
      <c r="M159" t="s">
        <v>987</v>
      </c>
      <c r="N159" t="s">
        <v>1183</v>
      </c>
      <c r="O159" t="s">
        <v>990</v>
      </c>
      <c r="P159" t="s">
        <v>1022</v>
      </c>
      <c r="Q159" t="s">
        <v>1317</v>
      </c>
    </row>
    <row r="160" spans="1:17">
      <c r="A160" t="s">
        <v>42</v>
      </c>
      <c r="B160" t="s">
        <v>1334</v>
      </c>
      <c r="C160" t="s">
        <v>335</v>
      </c>
      <c r="D160" t="s">
        <v>1010</v>
      </c>
      <c r="E160">
        <v>1743.566</v>
      </c>
      <c r="F160" t="s">
        <v>1251</v>
      </c>
      <c r="G160" t="s">
        <v>1335</v>
      </c>
      <c r="H160" t="s">
        <v>1264</v>
      </c>
      <c r="I160" t="s">
        <v>1039</v>
      </c>
      <c r="J160" t="s">
        <v>987</v>
      </c>
      <c r="K160" t="b">
        <v>1</v>
      </c>
      <c r="L160" t="b">
        <v>0</v>
      </c>
      <c r="M160" t="s">
        <v>987</v>
      </c>
      <c r="N160" t="s">
        <v>1183</v>
      </c>
      <c r="O160" t="s">
        <v>990</v>
      </c>
      <c r="P160" t="s">
        <v>1022</v>
      </c>
      <c r="Q160" t="s">
        <v>1317</v>
      </c>
    </row>
    <row r="161" spans="1:17">
      <c r="A161" t="s">
        <v>42</v>
      </c>
      <c r="B161" t="s">
        <v>1336</v>
      </c>
      <c r="C161" t="s">
        <v>335</v>
      </c>
      <c r="D161" t="s">
        <v>1012</v>
      </c>
      <c r="E161">
        <v>1837.8889999999999</v>
      </c>
      <c r="F161" t="s">
        <v>1251</v>
      </c>
      <c r="G161" t="s">
        <v>1337</v>
      </c>
      <c r="H161" t="s">
        <v>1264</v>
      </c>
      <c r="I161" t="s">
        <v>1042</v>
      </c>
      <c r="J161" t="s">
        <v>987</v>
      </c>
      <c r="K161" t="b">
        <v>1</v>
      </c>
      <c r="L161" t="b">
        <v>0</v>
      </c>
      <c r="M161" t="s">
        <v>987</v>
      </c>
      <c r="N161" t="s">
        <v>1183</v>
      </c>
      <c r="O161" t="s">
        <v>990</v>
      </c>
      <c r="P161" t="s">
        <v>1022</v>
      </c>
      <c r="Q161" t="s">
        <v>1317</v>
      </c>
    </row>
    <row r="162" spans="1:17">
      <c r="A162" t="s">
        <v>42</v>
      </c>
      <c r="B162" t="s">
        <v>1338</v>
      </c>
      <c r="C162" t="s">
        <v>335</v>
      </c>
      <c r="D162" t="s">
        <v>1014</v>
      </c>
      <c r="E162">
        <v>2004.35</v>
      </c>
      <c r="F162" t="s">
        <v>1251</v>
      </c>
      <c r="G162" t="s">
        <v>1339</v>
      </c>
      <c r="H162" t="s">
        <v>1264</v>
      </c>
      <c r="I162" t="s">
        <v>1281</v>
      </c>
      <c r="J162" t="s">
        <v>987</v>
      </c>
      <c r="K162" t="b">
        <v>1</v>
      </c>
      <c r="L162" t="b">
        <v>0</v>
      </c>
      <c r="M162" t="s">
        <v>987</v>
      </c>
      <c r="N162" t="s">
        <v>1183</v>
      </c>
      <c r="O162" t="s">
        <v>990</v>
      </c>
      <c r="P162" t="s">
        <v>1022</v>
      </c>
      <c r="Q162" t="s">
        <v>1340</v>
      </c>
    </row>
    <row r="163" spans="1:17">
      <c r="A163" t="s">
        <v>42</v>
      </c>
      <c r="B163" t="s">
        <v>1341</v>
      </c>
      <c r="C163" t="s">
        <v>335</v>
      </c>
      <c r="D163" t="s">
        <v>1016</v>
      </c>
      <c r="E163">
        <v>2147.8290000000002</v>
      </c>
      <c r="F163" t="s">
        <v>1251</v>
      </c>
      <c r="G163" t="s">
        <v>1342</v>
      </c>
      <c r="H163" t="s">
        <v>1264</v>
      </c>
      <c r="I163" t="s">
        <v>1048</v>
      </c>
      <c r="J163" t="s">
        <v>987</v>
      </c>
      <c r="K163" t="b">
        <v>1</v>
      </c>
      <c r="L163" t="b">
        <v>0</v>
      </c>
      <c r="M163" t="s">
        <v>987</v>
      </c>
      <c r="N163" t="s">
        <v>1183</v>
      </c>
      <c r="O163" t="s">
        <v>990</v>
      </c>
      <c r="P163" t="s">
        <v>1022</v>
      </c>
      <c r="Q163" t="s">
        <v>1317</v>
      </c>
    </row>
    <row r="164" spans="1:17">
      <c r="A164" t="s">
        <v>42</v>
      </c>
      <c r="B164" t="s">
        <v>1343</v>
      </c>
      <c r="C164" t="s">
        <v>336</v>
      </c>
      <c r="D164" t="s">
        <v>985</v>
      </c>
      <c r="E164">
        <v>32349.184000000001</v>
      </c>
      <c r="F164" t="s">
        <v>1018</v>
      </c>
      <c r="G164" t="s">
        <v>1344</v>
      </c>
      <c r="H164" t="s">
        <v>1264</v>
      </c>
      <c r="I164" t="s">
        <v>1285</v>
      </c>
      <c r="J164" t="s">
        <v>987</v>
      </c>
      <c r="K164" t="b">
        <v>1</v>
      </c>
      <c r="L164" t="b">
        <v>0</v>
      </c>
      <c r="M164" t="s">
        <v>987</v>
      </c>
      <c r="N164" t="s">
        <v>1183</v>
      </c>
      <c r="O164" t="s">
        <v>1151</v>
      </c>
      <c r="P164" t="s">
        <v>1022</v>
      </c>
      <c r="Q164" t="s">
        <v>1345</v>
      </c>
    </row>
    <row r="165" spans="1:17">
      <c r="A165" t="s">
        <v>42</v>
      </c>
      <c r="B165" t="s">
        <v>1346</v>
      </c>
      <c r="C165" t="s">
        <v>336</v>
      </c>
      <c r="D165" t="s">
        <v>994</v>
      </c>
      <c r="E165">
        <v>32520.774000000001</v>
      </c>
      <c r="F165" t="s">
        <v>1018</v>
      </c>
      <c r="G165" t="s">
        <v>1347</v>
      </c>
      <c r="H165" t="s">
        <v>1264</v>
      </c>
      <c r="I165" t="s">
        <v>1289</v>
      </c>
      <c r="J165" t="s">
        <v>987</v>
      </c>
      <c r="K165" t="b">
        <v>1</v>
      </c>
      <c r="L165" t="b">
        <v>0</v>
      </c>
      <c r="M165" t="s">
        <v>987</v>
      </c>
      <c r="N165" t="s">
        <v>1183</v>
      </c>
      <c r="O165" t="s">
        <v>1151</v>
      </c>
      <c r="P165" t="s">
        <v>1022</v>
      </c>
      <c r="Q165" t="s">
        <v>1345</v>
      </c>
    </row>
    <row r="166" spans="1:17">
      <c r="A166" t="s">
        <v>42</v>
      </c>
      <c r="B166" t="s">
        <v>1348</v>
      </c>
      <c r="C166" t="s">
        <v>336</v>
      </c>
      <c r="D166" t="s">
        <v>996</v>
      </c>
      <c r="E166">
        <v>31749.861000000001</v>
      </c>
      <c r="F166" t="s">
        <v>1018</v>
      </c>
      <c r="G166" t="s">
        <v>1349</v>
      </c>
      <c r="H166" t="s">
        <v>1264</v>
      </c>
      <c r="I166" t="s">
        <v>1292</v>
      </c>
      <c r="J166" t="s">
        <v>987</v>
      </c>
      <c r="K166" t="b">
        <v>1</v>
      </c>
      <c r="L166" t="b">
        <v>0</v>
      </c>
      <c r="M166" t="s">
        <v>987</v>
      </c>
      <c r="N166" t="s">
        <v>1183</v>
      </c>
      <c r="O166" t="s">
        <v>1151</v>
      </c>
      <c r="P166" t="s">
        <v>1022</v>
      </c>
      <c r="Q166" t="s">
        <v>1345</v>
      </c>
    </row>
    <row r="167" spans="1:17">
      <c r="A167" t="s">
        <v>42</v>
      </c>
      <c r="B167" t="s">
        <v>1350</v>
      </c>
      <c r="C167" t="s">
        <v>336</v>
      </c>
      <c r="D167" t="s">
        <v>998</v>
      </c>
      <c r="E167">
        <v>31658.056</v>
      </c>
      <c r="F167" t="s">
        <v>1018</v>
      </c>
      <c r="G167" t="s">
        <v>1351</v>
      </c>
      <c r="H167" t="s">
        <v>1264</v>
      </c>
      <c r="I167" t="s">
        <v>1182</v>
      </c>
      <c r="J167" t="s">
        <v>987</v>
      </c>
      <c r="K167" t="b">
        <v>1</v>
      </c>
      <c r="L167" t="b">
        <v>0</v>
      </c>
      <c r="M167" t="s">
        <v>987</v>
      </c>
      <c r="N167" t="s">
        <v>1183</v>
      </c>
      <c r="O167" t="s">
        <v>1151</v>
      </c>
      <c r="P167" t="s">
        <v>1022</v>
      </c>
      <c r="Q167" t="s">
        <v>1345</v>
      </c>
    </row>
    <row r="168" spans="1:17">
      <c r="A168" t="s">
        <v>42</v>
      </c>
      <c r="B168" t="s">
        <v>1352</v>
      </c>
      <c r="C168" t="s">
        <v>336</v>
      </c>
      <c r="D168" t="s">
        <v>1000</v>
      </c>
      <c r="E168">
        <v>31662.1</v>
      </c>
      <c r="F168" t="s">
        <v>1018</v>
      </c>
      <c r="G168" t="s">
        <v>1353</v>
      </c>
      <c r="H168" t="s">
        <v>1264</v>
      </c>
      <c r="I168" t="s">
        <v>1020</v>
      </c>
      <c r="J168" t="s">
        <v>987</v>
      </c>
      <c r="K168" t="b">
        <v>1</v>
      </c>
      <c r="L168" t="b">
        <v>0</v>
      </c>
      <c r="M168" t="s">
        <v>987</v>
      </c>
      <c r="N168" t="s">
        <v>1183</v>
      </c>
      <c r="O168" t="s">
        <v>1151</v>
      </c>
      <c r="P168" t="s">
        <v>1022</v>
      </c>
      <c r="Q168" t="s">
        <v>1345</v>
      </c>
    </row>
    <row r="169" spans="1:17">
      <c r="A169" t="s">
        <v>42</v>
      </c>
      <c r="B169" t="s">
        <v>1354</v>
      </c>
      <c r="C169" t="s">
        <v>336</v>
      </c>
      <c r="D169" t="s">
        <v>1002</v>
      </c>
      <c r="E169">
        <v>31927.355</v>
      </c>
      <c r="F169" t="s">
        <v>1018</v>
      </c>
      <c r="G169" t="s">
        <v>1355</v>
      </c>
      <c r="H169" t="s">
        <v>1264</v>
      </c>
      <c r="I169" t="s">
        <v>1026</v>
      </c>
      <c r="J169" t="s">
        <v>987</v>
      </c>
      <c r="K169" t="b">
        <v>1</v>
      </c>
      <c r="L169" t="b">
        <v>0</v>
      </c>
      <c r="M169" t="s">
        <v>987</v>
      </c>
      <c r="N169" t="s">
        <v>1183</v>
      </c>
      <c r="O169" t="s">
        <v>1151</v>
      </c>
      <c r="P169" t="s">
        <v>1022</v>
      </c>
      <c r="Q169" t="s">
        <v>1345</v>
      </c>
    </row>
    <row r="170" spans="1:17">
      <c r="A170" t="s">
        <v>42</v>
      </c>
      <c r="B170" t="s">
        <v>1356</v>
      </c>
      <c r="C170" t="s">
        <v>336</v>
      </c>
      <c r="D170" t="s">
        <v>1004</v>
      </c>
      <c r="E170">
        <v>32175.382000000001</v>
      </c>
      <c r="F170" t="s">
        <v>1018</v>
      </c>
      <c r="G170" t="s">
        <v>1357</v>
      </c>
      <c r="H170" t="s">
        <v>1264</v>
      </c>
      <c r="I170" t="s">
        <v>1029</v>
      </c>
      <c r="J170" t="s">
        <v>987</v>
      </c>
      <c r="K170" t="b">
        <v>1</v>
      </c>
      <c r="L170" t="b">
        <v>0</v>
      </c>
      <c r="M170" t="s">
        <v>987</v>
      </c>
      <c r="N170" t="s">
        <v>1183</v>
      </c>
      <c r="O170" t="s">
        <v>1151</v>
      </c>
      <c r="P170" t="s">
        <v>1022</v>
      </c>
      <c r="Q170" t="s">
        <v>1345</v>
      </c>
    </row>
    <row r="171" spans="1:17">
      <c r="A171" t="s">
        <v>42</v>
      </c>
      <c r="B171" t="s">
        <v>1358</v>
      </c>
      <c r="C171" t="s">
        <v>336</v>
      </c>
      <c r="D171" t="s">
        <v>1006</v>
      </c>
      <c r="E171">
        <v>32452.462</v>
      </c>
      <c r="F171" t="s">
        <v>1018</v>
      </c>
      <c r="G171" t="s">
        <v>1359</v>
      </c>
      <c r="H171" t="s">
        <v>1264</v>
      </c>
      <c r="I171" t="s">
        <v>1182</v>
      </c>
      <c r="J171" t="s">
        <v>987</v>
      </c>
      <c r="K171" t="b">
        <v>1</v>
      </c>
      <c r="L171" t="b">
        <v>0</v>
      </c>
      <c r="M171" t="s">
        <v>987</v>
      </c>
      <c r="N171" t="s">
        <v>1183</v>
      </c>
      <c r="O171" t="s">
        <v>1151</v>
      </c>
      <c r="P171" t="s">
        <v>1022</v>
      </c>
      <c r="Q171" t="s">
        <v>1345</v>
      </c>
    </row>
    <row r="172" spans="1:17">
      <c r="A172" t="s">
        <v>42</v>
      </c>
      <c r="B172" t="s">
        <v>1360</v>
      </c>
      <c r="C172" t="s">
        <v>338</v>
      </c>
      <c r="D172" t="s">
        <v>985</v>
      </c>
      <c r="E172">
        <v>1416</v>
      </c>
      <c r="F172" t="s">
        <v>1065</v>
      </c>
      <c r="G172" t="s">
        <v>987</v>
      </c>
      <c r="H172" t="s">
        <v>1264</v>
      </c>
      <c r="I172" t="s">
        <v>987</v>
      </c>
      <c r="J172" t="s">
        <v>987</v>
      </c>
      <c r="K172" t="b">
        <v>0</v>
      </c>
      <c r="L172" t="b">
        <v>1</v>
      </c>
      <c r="M172" t="s">
        <v>1067</v>
      </c>
      <c r="N172" t="s">
        <v>989</v>
      </c>
      <c r="O172" t="s">
        <v>1068</v>
      </c>
      <c r="P172" t="s">
        <v>1069</v>
      </c>
      <c r="Q172" t="s">
        <v>1070</v>
      </c>
    </row>
    <row r="173" spans="1:17">
      <c r="A173" t="s">
        <v>42</v>
      </c>
      <c r="B173" t="s">
        <v>1361</v>
      </c>
      <c r="C173" t="s">
        <v>338</v>
      </c>
      <c r="D173" t="s">
        <v>994</v>
      </c>
      <c r="E173">
        <v>1179</v>
      </c>
      <c r="F173" t="s">
        <v>1065</v>
      </c>
      <c r="G173" t="s">
        <v>987</v>
      </c>
      <c r="H173" t="s">
        <v>1264</v>
      </c>
      <c r="I173" t="s">
        <v>987</v>
      </c>
      <c r="J173" t="s">
        <v>987</v>
      </c>
      <c r="K173" t="b">
        <v>0</v>
      </c>
      <c r="L173" t="b">
        <v>1</v>
      </c>
      <c r="M173" t="s">
        <v>1067</v>
      </c>
      <c r="N173" t="s">
        <v>989</v>
      </c>
      <c r="O173" t="s">
        <v>1068</v>
      </c>
      <c r="P173" t="s">
        <v>1069</v>
      </c>
      <c r="Q173" t="s">
        <v>1070</v>
      </c>
    </row>
    <row r="174" spans="1:17">
      <c r="A174" t="s">
        <v>42</v>
      </c>
      <c r="B174" t="s">
        <v>1362</v>
      </c>
      <c r="C174" t="s">
        <v>338</v>
      </c>
      <c r="D174" t="s">
        <v>996</v>
      </c>
      <c r="E174">
        <v>1380</v>
      </c>
      <c r="F174" t="s">
        <v>1065</v>
      </c>
      <c r="G174" t="s">
        <v>987</v>
      </c>
      <c r="H174" t="s">
        <v>1264</v>
      </c>
      <c r="I174" t="s">
        <v>987</v>
      </c>
      <c r="J174" t="s">
        <v>987</v>
      </c>
      <c r="K174" t="b">
        <v>0</v>
      </c>
      <c r="L174" t="b">
        <v>1</v>
      </c>
      <c r="M174" t="s">
        <v>1067</v>
      </c>
      <c r="N174" t="s">
        <v>989</v>
      </c>
      <c r="O174" t="s">
        <v>1068</v>
      </c>
      <c r="P174" t="s">
        <v>1069</v>
      </c>
      <c r="Q174" t="s">
        <v>1070</v>
      </c>
    </row>
    <row r="175" spans="1:17">
      <c r="A175" t="s">
        <v>42</v>
      </c>
      <c r="B175" t="s">
        <v>1363</v>
      </c>
      <c r="C175" t="s">
        <v>338</v>
      </c>
      <c r="D175" t="s">
        <v>998</v>
      </c>
      <c r="E175">
        <v>1545</v>
      </c>
      <c r="F175" t="s">
        <v>1065</v>
      </c>
      <c r="G175" t="s">
        <v>987</v>
      </c>
      <c r="H175" t="s">
        <v>1264</v>
      </c>
      <c r="I175" t="s">
        <v>987</v>
      </c>
      <c r="J175" t="s">
        <v>987</v>
      </c>
      <c r="K175" t="b">
        <v>0</v>
      </c>
      <c r="L175" t="b">
        <v>1</v>
      </c>
      <c r="M175" t="s">
        <v>1067</v>
      </c>
      <c r="N175" t="s">
        <v>989</v>
      </c>
      <c r="O175" t="s">
        <v>1068</v>
      </c>
      <c r="P175" t="s">
        <v>1069</v>
      </c>
      <c r="Q175" t="s">
        <v>1070</v>
      </c>
    </row>
    <row r="176" spans="1:17">
      <c r="A176" t="s">
        <v>42</v>
      </c>
      <c r="B176" t="s">
        <v>1364</v>
      </c>
      <c r="C176" t="s">
        <v>338</v>
      </c>
      <c r="D176" t="s">
        <v>1000</v>
      </c>
      <c r="E176">
        <v>5431</v>
      </c>
      <c r="F176" t="s">
        <v>1065</v>
      </c>
      <c r="G176" t="s">
        <v>987</v>
      </c>
      <c r="H176" t="s">
        <v>1264</v>
      </c>
      <c r="I176" t="s">
        <v>987</v>
      </c>
      <c r="J176" t="s">
        <v>987</v>
      </c>
      <c r="K176" t="b">
        <v>0</v>
      </c>
      <c r="L176" t="b">
        <v>1</v>
      </c>
      <c r="M176" t="s">
        <v>1067</v>
      </c>
      <c r="N176" t="s">
        <v>989</v>
      </c>
      <c r="O176" t="s">
        <v>1068</v>
      </c>
      <c r="P176" t="s">
        <v>1069</v>
      </c>
      <c r="Q176" t="s">
        <v>1070</v>
      </c>
    </row>
    <row r="177" spans="1:17">
      <c r="A177" t="s">
        <v>42</v>
      </c>
      <c r="B177" t="s">
        <v>1365</v>
      </c>
      <c r="C177" t="s">
        <v>338</v>
      </c>
      <c r="D177" t="s">
        <v>1002</v>
      </c>
      <c r="E177">
        <v>5393</v>
      </c>
      <c r="F177" t="s">
        <v>1065</v>
      </c>
      <c r="G177" t="s">
        <v>987</v>
      </c>
      <c r="H177" t="s">
        <v>1264</v>
      </c>
      <c r="I177" t="s">
        <v>987</v>
      </c>
      <c r="J177" t="s">
        <v>987</v>
      </c>
      <c r="K177" t="b">
        <v>0</v>
      </c>
      <c r="L177" t="b">
        <v>1</v>
      </c>
      <c r="M177" t="s">
        <v>1067</v>
      </c>
      <c r="N177" t="s">
        <v>989</v>
      </c>
      <c r="O177" t="s">
        <v>1068</v>
      </c>
      <c r="P177" t="s">
        <v>1069</v>
      </c>
      <c r="Q177" t="s">
        <v>1070</v>
      </c>
    </row>
    <row r="178" spans="1:17">
      <c r="A178" t="s">
        <v>42</v>
      </c>
      <c r="B178" t="s">
        <v>1366</v>
      </c>
      <c r="C178" t="s">
        <v>338</v>
      </c>
      <c r="D178" t="s">
        <v>1004</v>
      </c>
      <c r="E178">
        <v>5428</v>
      </c>
      <c r="F178" t="s">
        <v>1065</v>
      </c>
      <c r="G178" t="s">
        <v>987</v>
      </c>
      <c r="H178" t="s">
        <v>1264</v>
      </c>
      <c r="I178" t="s">
        <v>987</v>
      </c>
      <c r="J178" t="s">
        <v>987</v>
      </c>
      <c r="K178" t="b">
        <v>0</v>
      </c>
      <c r="L178" t="b">
        <v>1</v>
      </c>
      <c r="M178" t="s">
        <v>1067</v>
      </c>
      <c r="N178" t="s">
        <v>989</v>
      </c>
      <c r="O178" t="s">
        <v>1068</v>
      </c>
      <c r="P178" t="s">
        <v>1069</v>
      </c>
      <c r="Q178" t="s">
        <v>1070</v>
      </c>
    </row>
    <row r="179" spans="1:17">
      <c r="A179" t="s">
        <v>42</v>
      </c>
      <c r="B179" t="s">
        <v>1367</v>
      </c>
      <c r="C179" t="s">
        <v>338</v>
      </c>
      <c r="D179" t="s">
        <v>1006</v>
      </c>
      <c r="E179">
        <v>5181</v>
      </c>
      <c r="F179" t="s">
        <v>1065</v>
      </c>
      <c r="G179" t="s">
        <v>987</v>
      </c>
      <c r="H179" t="s">
        <v>1264</v>
      </c>
      <c r="I179" t="s">
        <v>987</v>
      </c>
      <c r="J179" t="s">
        <v>987</v>
      </c>
      <c r="K179" t="b">
        <v>0</v>
      </c>
      <c r="L179" t="b">
        <v>1</v>
      </c>
      <c r="M179" t="s">
        <v>1067</v>
      </c>
      <c r="N179" t="s">
        <v>989</v>
      </c>
      <c r="O179" t="s">
        <v>1068</v>
      </c>
      <c r="P179" t="s">
        <v>1069</v>
      </c>
      <c r="Q179" t="s">
        <v>1070</v>
      </c>
    </row>
    <row r="180" spans="1:17">
      <c r="A180" t="s">
        <v>42</v>
      </c>
      <c r="B180" t="s">
        <v>1368</v>
      </c>
      <c r="C180" t="s">
        <v>338</v>
      </c>
      <c r="D180" t="s">
        <v>1008</v>
      </c>
      <c r="E180">
        <v>6704.8270000000002</v>
      </c>
      <c r="F180" t="s">
        <v>1251</v>
      </c>
      <c r="G180" t="s">
        <v>1369</v>
      </c>
      <c r="H180" t="s">
        <v>1264</v>
      </c>
      <c r="I180" t="s">
        <v>1036</v>
      </c>
      <c r="J180" t="s">
        <v>987</v>
      </c>
      <c r="K180" t="b">
        <v>1</v>
      </c>
      <c r="L180" t="b">
        <v>0</v>
      </c>
      <c r="M180" t="s">
        <v>987</v>
      </c>
      <c r="N180" t="s">
        <v>1183</v>
      </c>
      <c r="O180" t="s">
        <v>990</v>
      </c>
      <c r="P180" t="s">
        <v>1022</v>
      </c>
      <c r="Q180" t="s">
        <v>1370</v>
      </c>
    </row>
    <row r="181" spans="1:17">
      <c r="A181" t="s">
        <v>42</v>
      </c>
      <c r="B181" t="s">
        <v>1371</v>
      </c>
      <c r="C181" t="s">
        <v>338</v>
      </c>
      <c r="D181" t="s">
        <v>1010</v>
      </c>
      <c r="E181">
        <v>7273.598</v>
      </c>
      <c r="F181" t="s">
        <v>1251</v>
      </c>
      <c r="G181" t="s">
        <v>1372</v>
      </c>
      <c r="H181" t="s">
        <v>1264</v>
      </c>
      <c r="I181" t="s">
        <v>1039</v>
      </c>
      <c r="J181" t="s">
        <v>987</v>
      </c>
      <c r="K181" t="b">
        <v>1</v>
      </c>
      <c r="L181" t="b">
        <v>0</v>
      </c>
      <c r="M181" t="s">
        <v>987</v>
      </c>
      <c r="N181" t="s">
        <v>1183</v>
      </c>
      <c r="O181" t="s">
        <v>990</v>
      </c>
      <c r="P181" t="s">
        <v>1022</v>
      </c>
      <c r="Q181" t="s">
        <v>1370</v>
      </c>
    </row>
    <row r="182" spans="1:17">
      <c r="A182" t="s">
        <v>42</v>
      </c>
      <c r="B182" t="s">
        <v>1373</v>
      </c>
      <c r="C182" t="s">
        <v>338</v>
      </c>
      <c r="D182" t="s">
        <v>1012</v>
      </c>
      <c r="E182">
        <v>7494.1319999999996</v>
      </c>
      <c r="F182" t="s">
        <v>1251</v>
      </c>
      <c r="G182" t="s">
        <v>1374</v>
      </c>
      <c r="H182" t="s">
        <v>1264</v>
      </c>
      <c r="I182" t="s">
        <v>1042</v>
      </c>
      <c r="J182" t="s">
        <v>987</v>
      </c>
      <c r="K182" t="b">
        <v>1</v>
      </c>
      <c r="L182" t="b">
        <v>0</v>
      </c>
      <c r="M182" t="s">
        <v>987</v>
      </c>
      <c r="N182" t="s">
        <v>1183</v>
      </c>
      <c r="O182" t="s">
        <v>990</v>
      </c>
      <c r="P182" t="s">
        <v>1022</v>
      </c>
      <c r="Q182" t="s">
        <v>1370</v>
      </c>
    </row>
    <row r="183" spans="1:17">
      <c r="A183" t="s">
        <v>42</v>
      </c>
      <c r="B183" t="s">
        <v>1375</v>
      </c>
      <c r="C183" t="s">
        <v>338</v>
      </c>
      <c r="D183" t="s">
        <v>1014</v>
      </c>
      <c r="E183">
        <v>7794.06</v>
      </c>
      <c r="F183" t="s">
        <v>1251</v>
      </c>
      <c r="G183" t="s">
        <v>1376</v>
      </c>
      <c r="H183" t="s">
        <v>1264</v>
      </c>
      <c r="I183" t="s">
        <v>1377</v>
      </c>
      <c r="J183" t="s">
        <v>987</v>
      </c>
      <c r="K183" t="b">
        <v>1</v>
      </c>
      <c r="L183" t="b">
        <v>0</v>
      </c>
      <c r="M183" t="s">
        <v>987</v>
      </c>
      <c r="N183" t="s">
        <v>1183</v>
      </c>
      <c r="O183" t="s">
        <v>990</v>
      </c>
      <c r="P183" t="s">
        <v>1022</v>
      </c>
      <c r="Q183" t="s">
        <v>1378</v>
      </c>
    </row>
    <row r="184" spans="1:17">
      <c r="A184" t="s">
        <v>42</v>
      </c>
      <c r="B184" t="s">
        <v>1379</v>
      </c>
      <c r="C184" t="s">
        <v>338</v>
      </c>
      <c r="D184" t="s">
        <v>1016</v>
      </c>
      <c r="E184">
        <v>5325</v>
      </c>
      <c r="F184" t="s">
        <v>1065</v>
      </c>
      <c r="G184" t="s">
        <v>987</v>
      </c>
      <c r="H184" t="s">
        <v>1264</v>
      </c>
      <c r="I184" t="s">
        <v>987</v>
      </c>
      <c r="J184" t="s">
        <v>987</v>
      </c>
      <c r="K184" t="b">
        <v>0</v>
      </c>
      <c r="L184" t="b">
        <v>1</v>
      </c>
      <c r="M184" t="s">
        <v>1067</v>
      </c>
      <c r="N184" t="s">
        <v>989</v>
      </c>
      <c r="O184" t="s">
        <v>1068</v>
      </c>
      <c r="P184" t="s">
        <v>1069</v>
      </c>
      <c r="Q184" t="s">
        <v>1070</v>
      </c>
    </row>
    <row r="185" spans="1:17">
      <c r="A185" t="s">
        <v>42</v>
      </c>
      <c r="B185" t="s">
        <v>1380</v>
      </c>
      <c r="C185" t="s">
        <v>341</v>
      </c>
      <c r="D185" t="s">
        <v>985</v>
      </c>
      <c r="E185">
        <v>591.98699999999997</v>
      </c>
      <c r="F185" t="s">
        <v>1251</v>
      </c>
      <c r="G185" t="s">
        <v>1381</v>
      </c>
      <c r="H185" t="s">
        <v>1264</v>
      </c>
      <c r="I185" t="s">
        <v>1285</v>
      </c>
      <c r="J185" t="s">
        <v>987</v>
      </c>
      <c r="K185" t="b">
        <v>1</v>
      </c>
      <c r="L185" t="b">
        <v>0</v>
      </c>
      <c r="M185" t="s">
        <v>987</v>
      </c>
      <c r="N185" t="s">
        <v>1183</v>
      </c>
      <c r="O185" t="s">
        <v>990</v>
      </c>
      <c r="P185" t="s">
        <v>1022</v>
      </c>
      <c r="Q185" t="s">
        <v>1382</v>
      </c>
    </row>
    <row r="186" spans="1:17">
      <c r="A186" t="s">
        <v>42</v>
      </c>
      <c r="B186" t="s">
        <v>1383</v>
      </c>
      <c r="C186" t="s">
        <v>341</v>
      </c>
      <c r="D186" t="s">
        <v>994</v>
      </c>
      <c r="E186">
        <v>615.37400000000002</v>
      </c>
      <c r="F186" t="s">
        <v>1251</v>
      </c>
      <c r="G186" t="s">
        <v>1384</v>
      </c>
      <c r="H186" t="s">
        <v>1264</v>
      </c>
      <c r="I186" t="s">
        <v>1289</v>
      </c>
      <c r="J186" t="s">
        <v>987</v>
      </c>
      <c r="K186" t="b">
        <v>1</v>
      </c>
      <c r="L186" t="b">
        <v>0</v>
      </c>
      <c r="M186" t="s">
        <v>987</v>
      </c>
      <c r="N186" t="s">
        <v>1183</v>
      </c>
      <c r="O186" t="s">
        <v>990</v>
      </c>
      <c r="P186" t="s">
        <v>1022</v>
      </c>
      <c r="Q186" t="s">
        <v>1382</v>
      </c>
    </row>
    <row r="187" spans="1:17">
      <c r="A187" t="s">
        <v>42</v>
      </c>
      <c r="B187" t="s">
        <v>1385</v>
      </c>
      <c r="C187" t="s">
        <v>341</v>
      </c>
      <c r="D187" t="s">
        <v>996</v>
      </c>
      <c r="E187">
        <v>534.42899999999997</v>
      </c>
      <c r="F187" t="s">
        <v>1251</v>
      </c>
      <c r="G187" t="s">
        <v>1386</v>
      </c>
      <c r="H187" t="s">
        <v>1264</v>
      </c>
      <c r="I187" t="s">
        <v>1292</v>
      </c>
      <c r="J187" t="s">
        <v>987</v>
      </c>
      <c r="K187" t="b">
        <v>1</v>
      </c>
      <c r="L187" t="b">
        <v>0</v>
      </c>
      <c r="M187" t="s">
        <v>987</v>
      </c>
      <c r="N187" t="s">
        <v>1183</v>
      </c>
      <c r="O187" t="s">
        <v>990</v>
      </c>
      <c r="P187" t="s">
        <v>1022</v>
      </c>
      <c r="Q187" t="s">
        <v>1382</v>
      </c>
    </row>
    <row r="188" spans="1:17">
      <c r="A188" t="s">
        <v>42</v>
      </c>
      <c r="B188" t="s">
        <v>1387</v>
      </c>
      <c r="C188" t="s">
        <v>341</v>
      </c>
      <c r="D188" t="s">
        <v>998</v>
      </c>
      <c r="E188">
        <v>747.41200000000003</v>
      </c>
      <c r="F188" t="s">
        <v>1251</v>
      </c>
      <c r="G188" t="s">
        <v>1388</v>
      </c>
      <c r="H188" t="s">
        <v>1264</v>
      </c>
      <c r="I188" t="s">
        <v>1182</v>
      </c>
      <c r="J188" t="s">
        <v>987</v>
      </c>
      <c r="K188" t="b">
        <v>1</v>
      </c>
      <c r="L188" t="b">
        <v>0</v>
      </c>
      <c r="M188" t="s">
        <v>987</v>
      </c>
      <c r="N188" t="s">
        <v>1183</v>
      </c>
      <c r="O188" t="s">
        <v>990</v>
      </c>
      <c r="P188" t="s">
        <v>1022</v>
      </c>
      <c r="Q188" t="s">
        <v>1382</v>
      </c>
    </row>
    <row r="189" spans="1:17">
      <c r="A189" t="s">
        <v>42</v>
      </c>
      <c r="B189" t="s">
        <v>1389</v>
      </c>
      <c r="C189" t="s">
        <v>341</v>
      </c>
      <c r="D189" t="s">
        <v>1000</v>
      </c>
      <c r="E189">
        <v>607.34799999999996</v>
      </c>
      <c r="F189" t="s">
        <v>1251</v>
      </c>
      <c r="G189" t="s">
        <v>1390</v>
      </c>
      <c r="H189" t="s">
        <v>1264</v>
      </c>
      <c r="I189" t="s">
        <v>1020</v>
      </c>
      <c r="J189" t="s">
        <v>987</v>
      </c>
      <c r="K189" t="b">
        <v>1</v>
      </c>
      <c r="L189" t="b">
        <v>0</v>
      </c>
      <c r="M189" t="s">
        <v>987</v>
      </c>
      <c r="N189" t="s">
        <v>1183</v>
      </c>
      <c r="O189" t="s">
        <v>990</v>
      </c>
      <c r="P189" t="s">
        <v>1022</v>
      </c>
      <c r="Q189" t="s">
        <v>1382</v>
      </c>
    </row>
    <row r="190" spans="1:17">
      <c r="A190" t="s">
        <v>42</v>
      </c>
      <c r="B190" t="s">
        <v>1391</v>
      </c>
      <c r="C190" t="s">
        <v>341</v>
      </c>
      <c r="D190" t="s">
        <v>1002</v>
      </c>
      <c r="E190">
        <v>598.55700000000002</v>
      </c>
      <c r="F190" t="s">
        <v>1251</v>
      </c>
      <c r="G190" t="s">
        <v>1392</v>
      </c>
      <c r="H190" t="s">
        <v>1264</v>
      </c>
      <c r="I190" t="s">
        <v>1026</v>
      </c>
      <c r="J190" t="s">
        <v>987</v>
      </c>
      <c r="K190" t="b">
        <v>1</v>
      </c>
      <c r="L190" t="b">
        <v>0</v>
      </c>
      <c r="M190" t="s">
        <v>987</v>
      </c>
      <c r="N190" t="s">
        <v>1183</v>
      </c>
      <c r="O190" t="s">
        <v>990</v>
      </c>
      <c r="P190" t="s">
        <v>1022</v>
      </c>
      <c r="Q190" t="s">
        <v>1382</v>
      </c>
    </row>
    <row r="191" spans="1:17">
      <c r="A191" t="s">
        <v>42</v>
      </c>
      <c r="B191" t="s">
        <v>1393</v>
      </c>
      <c r="C191" t="s">
        <v>341</v>
      </c>
      <c r="D191" t="s">
        <v>1004</v>
      </c>
      <c r="E191">
        <v>641.95299999999997</v>
      </c>
      <c r="F191" t="s">
        <v>1251</v>
      </c>
      <c r="G191" t="s">
        <v>1394</v>
      </c>
      <c r="H191" t="s">
        <v>1264</v>
      </c>
      <c r="I191" t="s">
        <v>1029</v>
      </c>
      <c r="J191" t="s">
        <v>987</v>
      </c>
      <c r="K191" t="b">
        <v>1</v>
      </c>
      <c r="L191" t="b">
        <v>0</v>
      </c>
      <c r="M191" t="s">
        <v>987</v>
      </c>
      <c r="N191" t="s">
        <v>1183</v>
      </c>
      <c r="O191" t="s">
        <v>990</v>
      </c>
      <c r="P191" t="s">
        <v>1022</v>
      </c>
      <c r="Q191" t="s">
        <v>1382</v>
      </c>
    </row>
    <row r="192" spans="1:17">
      <c r="A192" t="s">
        <v>42</v>
      </c>
      <c r="B192" t="s">
        <v>1395</v>
      </c>
      <c r="C192" t="s">
        <v>341</v>
      </c>
      <c r="D192" t="s">
        <v>1006</v>
      </c>
      <c r="E192">
        <v>899.90899999999999</v>
      </c>
      <c r="F192" t="s">
        <v>1251</v>
      </c>
      <c r="G192" t="s">
        <v>1396</v>
      </c>
      <c r="H192" t="s">
        <v>1264</v>
      </c>
      <c r="I192" t="s">
        <v>1281</v>
      </c>
      <c r="J192" t="s">
        <v>987</v>
      </c>
      <c r="K192" t="b">
        <v>1</v>
      </c>
      <c r="L192" t="b">
        <v>0</v>
      </c>
      <c r="M192" t="s">
        <v>987</v>
      </c>
      <c r="N192" t="s">
        <v>1183</v>
      </c>
      <c r="O192" t="s">
        <v>990</v>
      </c>
      <c r="P192" t="s">
        <v>1022</v>
      </c>
      <c r="Q192" t="s">
        <v>1382</v>
      </c>
    </row>
    <row r="193" spans="1:17">
      <c r="A193" t="s">
        <v>42</v>
      </c>
      <c r="B193" t="s">
        <v>1397</v>
      </c>
      <c r="C193" t="s">
        <v>341</v>
      </c>
      <c r="D193" t="s">
        <v>1008</v>
      </c>
      <c r="E193">
        <v>614.48900000000003</v>
      </c>
      <c r="F193" t="s">
        <v>1251</v>
      </c>
      <c r="G193" t="s">
        <v>1398</v>
      </c>
      <c r="H193" t="s">
        <v>1264</v>
      </c>
      <c r="I193" t="s">
        <v>1036</v>
      </c>
      <c r="J193" t="s">
        <v>987</v>
      </c>
      <c r="K193" t="b">
        <v>1</v>
      </c>
      <c r="L193" t="b">
        <v>0</v>
      </c>
      <c r="M193" t="s">
        <v>987</v>
      </c>
      <c r="N193" t="s">
        <v>1183</v>
      </c>
      <c r="O193" t="s">
        <v>990</v>
      </c>
      <c r="P193" t="s">
        <v>1022</v>
      </c>
      <c r="Q193" t="s">
        <v>1382</v>
      </c>
    </row>
    <row r="194" spans="1:17">
      <c r="A194" t="s">
        <v>42</v>
      </c>
      <c r="B194" t="s">
        <v>1399</v>
      </c>
      <c r="C194" t="s">
        <v>341</v>
      </c>
      <c r="D194" t="s">
        <v>1010</v>
      </c>
      <c r="E194">
        <v>632.71799999999996</v>
      </c>
      <c r="F194" t="s">
        <v>1251</v>
      </c>
      <c r="G194" t="s">
        <v>1400</v>
      </c>
      <c r="H194" t="s">
        <v>1264</v>
      </c>
      <c r="I194" t="s">
        <v>1039</v>
      </c>
      <c r="J194" t="s">
        <v>987</v>
      </c>
      <c r="K194" t="b">
        <v>1</v>
      </c>
      <c r="L194" t="b">
        <v>0</v>
      </c>
      <c r="M194" t="s">
        <v>987</v>
      </c>
      <c r="N194" t="s">
        <v>1183</v>
      </c>
      <c r="O194" t="s">
        <v>990</v>
      </c>
      <c r="P194" t="s">
        <v>1022</v>
      </c>
      <c r="Q194" t="s">
        <v>1382</v>
      </c>
    </row>
    <row r="195" spans="1:17">
      <c r="A195" t="s">
        <v>42</v>
      </c>
      <c r="B195" t="s">
        <v>1401</v>
      </c>
      <c r="C195" t="s">
        <v>341</v>
      </c>
      <c r="D195" t="s">
        <v>1012</v>
      </c>
      <c r="E195">
        <v>793.23299999999995</v>
      </c>
      <c r="F195" t="s">
        <v>1251</v>
      </c>
      <c r="G195" t="s">
        <v>1402</v>
      </c>
      <c r="H195" t="s">
        <v>1264</v>
      </c>
      <c r="I195" t="s">
        <v>1042</v>
      </c>
      <c r="J195" t="s">
        <v>987</v>
      </c>
      <c r="K195" t="b">
        <v>1</v>
      </c>
      <c r="L195" t="b">
        <v>0</v>
      </c>
      <c r="M195" t="s">
        <v>987</v>
      </c>
      <c r="N195" t="s">
        <v>1183</v>
      </c>
      <c r="O195" t="s">
        <v>990</v>
      </c>
      <c r="P195" t="s">
        <v>1022</v>
      </c>
      <c r="Q195" t="s">
        <v>1382</v>
      </c>
    </row>
    <row r="196" spans="1:17">
      <c r="A196" t="s">
        <v>42</v>
      </c>
      <c r="B196" t="s">
        <v>1403</v>
      </c>
      <c r="C196" t="s">
        <v>341</v>
      </c>
      <c r="D196" t="s">
        <v>1014</v>
      </c>
      <c r="E196">
        <v>900.61199999999997</v>
      </c>
      <c r="F196" t="s">
        <v>1251</v>
      </c>
      <c r="G196" t="s">
        <v>1404</v>
      </c>
      <c r="H196" t="s">
        <v>1264</v>
      </c>
      <c r="I196" t="s">
        <v>1281</v>
      </c>
      <c r="J196" t="s">
        <v>987</v>
      </c>
      <c r="K196" t="b">
        <v>1</v>
      </c>
      <c r="L196" t="b">
        <v>0</v>
      </c>
      <c r="M196" t="s">
        <v>987</v>
      </c>
      <c r="N196" t="s">
        <v>1183</v>
      </c>
      <c r="O196" t="s">
        <v>990</v>
      </c>
      <c r="P196" t="s">
        <v>1022</v>
      </c>
      <c r="Q196" t="s">
        <v>1405</v>
      </c>
    </row>
    <row r="197" spans="1:17">
      <c r="A197" t="s">
        <v>42</v>
      </c>
      <c r="B197" t="s">
        <v>1406</v>
      </c>
      <c r="C197" t="s">
        <v>341</v>
      </c>
      <c r="D197" t="s">
        <v>1016</v>
      </c>
      <c r="E197">
        <v>894.68100000000004</v>
      </c>
      <c r="F197" t="s">
        <v>1251</v>
      </c>
      <c r="G197" t="s">
        <v>1407</v>
      </c>
      <c r="H197" t="s">
        <v>1264</v>
      </c>
      <c r="I197" t="s">
        <v>1048</v>
      </c>
      <c r="J197" t="s">
        <v>987</v>
      </c>
      <c r="K197" t="b">
        <v>1</v>
      </c>
      <c r="L197" t="b">
        <v>0</v>
      </c>
      <c r="M197" t="s">
        <v>987</v>
      </c>
      <c r="N197" t="s">
        <v>1183</v>
      </c>
      <c r="O197" t="s">
        <v>990</v>
      </c>
      <c r="P197" t="s">
        <v>1022</v>
      </c>
      <c r="Q197" t="s">
        <v>1382</v>
      </c>
    </row>
    <row r="198" spans="1:17">
      <c r="A198" t="s">
        <v>42</v>
      </c>
      <c r="B198" t="s">
        <v>1408</v>
      </c>
      <c r="C198" t="s">
        <v>342</v>
      </c>
      <c r="D198" t="s">
        <v>985</v>
      </c>
      <c r="E198">
        <v>1718.069</v>
      </c>
      <c r="F198" t="s">
        <v>1018</v>
      </c>
      <c r="G198" t="s">
        <v>1409</v>
      </c>
      <c r="H198" t="s">
        <v>1264</v>
      </c>
      <c r="I198" t="s">
        <v>1285</v>
      </c>
      <c r="J198" t="s">
        <v>987</v>
      </c>
      <c r="K198" t="b">
        <v>1</v>
      </c>
      <c r="L198" t="b">
        <v>0</v>
      </c>
      <c r="M198" t="s">
        <v>987</v>
      </c>
      <c r="N198" t="s">
        <v>1183</v>
      </c>
      <c r="O198" t="s">
        <v>990</v>
      </c>
      <c r="P198" t="s">
        <v>1022</v>
      </c>
      <c r="Q198" t="s">
        <v>987</v>
      </c>
    </row>
    <row r="199" spans="1:17">
      <c r="A199" t="s">
        <v>42</v>
      </c>
      <c r="B199" t="s">
        <v>1410</v>
      </c>
      <c r="C199" t="s">
        <v>342</v>
      </c>
      <c r="D199" t="s">
        <v>994</v>
      </c>
      <c r="E199">
        <v>1908.7139999999999</v>
      </c>
      <c r="F199" t="s">
        <v>1018</v>
      </c>
      <c r="G199" t="s">
        <v>1411</v>
      </c>
      <c r="H199" t="s">
        <v>1264</v>
      </c>
      <c r="I199" t="s">
        <v>1289</v>
      </c>
      <c r="J199" t="s">
        <v>987</v>
      </c>
      <c r="K199" t="b">
        <v>1</v>
      </c>
      <c r="L199" t="b">
        <v>0</v>
      </c>
      <c r="M199" t="s">
        <v>987</v>
      </c>
      <c r="N199" t="s">
        <v>1183</v>
      </c>
      <c r="O199" t="s">
        <v>990</v>
      </c>
      <c r="P199" t="s">
        <v>1022</v>
      </c>
      <c r="Q199" t="s">
        <v>987</v>
      </c>
    </row>
    <row r="200" spans="1:17">
      <c r="A200" t="s">
        <v>42</v>
      </c>
      <c r="B200" t="s">
        <v>1412</v>
      </c>
      <c r="C200" t="s">
        <v>342</v>
      </c>
      <c r="D200" t="s">
        <v>996</v>
      </c>
      <c r="E200">
        <v>1838.9079999999999</v>
      </c>
      <c r="F200" t="s">
        <v>1018</v>
      </c>
      <c r="G200" t="s">
        <v>1413</v>
      </c>
      <c r="H200" t="s">
        <v>1264</v>
      </c>
      <c r="I200" t="s">
        <v>1292</v>
      </c>
      <c r="J200" t="s">
        <v>987</v>
      </c>
      <c r="K200" t="b">
        <v>1</v>
      </c>
      <c r="L200" t="b">
        <v>0</v>
      </c>
      <c r="M200" t="s">
        <v>987</v>
      </c>
      <c r="N200" t="s">
        <v>1183</v>
      </c>
      <c r="O200" t="s">
        <v>990</v>
      </c>
      <c r="P200" t="s">
        <v>1022</v>
      </c>
      <c r="Q200" t="s">
        <v>987</v>
      </c>
    </row>
    <row r="201" spans="1:17">
      <c r="A201" t="s">
        <v>42</v>
      </c>
      <c r="B201" t="s">
        <v>1414</v>
      </c>
      <c r="C201" t="s">
        <v>342</v>
      </c>
      <c r="D201" t="s">
        <v>998</v>
      </c>
      <c r="E201">
        <v>1803.96</v>
      </c>
      <c r="F201" t="s">
        <v>1018</v>
      </c>
      <c r="G201" t="s">
        <v>1415</v>
      </c>
      <c r="H201" t="s">
        <v>1264</v>
      </c>
      <c r="I201" t="s">
        <v>1182</v>
      </c>
      <c r="J201" t="s">
        <v>987</v>
      </c>
      <c r="K201" t="b">
        <v>1</v>
      </c>
      <c r="L201" t="b">
        <v>0</v>
      </c>
      <c r="M201" t="s">
        <v>987</v>
      </c>
      <c r="N201" t="s">
        <v>1183</v>
      </c>
      <c r="O201" t="s">
        <v>990</v>
      </c>
      <c r="P201" t="s">
        <v>1022</v>
      </c>
      <c r="Q201" t="s">
        <v>987</v>
      </c>
    </row>
    <row r="202" spans="1:17">
      <c r="A202" t="s">
        <v>42</v>
      </c>
      <c r="B202" t="s">
        <v>1416</v>
      </c>
      <c r="C202" t="s">
        <v>342</v>
      </c>
      <c r="D202" t="s">
        <v>1000</v>
      </c>
      <c r="E202">
        <v>1977.4280000000001</v>
      </c>
      <c r="F202" t="s">
        <v>1018</v>
      </c>
      <c r="G202" t="s">
        <v>1417</v>
      </c>
      <c r="H202" t="s">
        <v>1264</v>
      </c>
      <c r="I202" t="s">
        <v>1020</v>
      </c>
      <c r="J202" t="s">
        <v>987</v>
      </c>
      <c r="K202" t="b">
        <v>1</v>
      </c>
      <c r="L202" t="b">
        <v>0</v>
      </c>
      <c r="M202" t="s">
        <v>987</v>
      </c>
      <c r="N202" t="s">
        <v>1183</v>
      </c>
      <c r="O202" t="s">
        <v>990</v>
      </c>
      <c r="P202" t="s">
        <v>1022</v>
      </c>
      <c r="Q202" t="s">
        <v>987</v>
      </c>
    </row>
    <row r="203" spans="1:17">
      <c r="A203" t="s">
        <v>42</v>
      </c>
      <c r="B203" t="s">
        <v>1418</v>
      </c>
      <c r="C203" t="s">
        <v>342</v>
      </c>
      <c r="D203" t="s">
        <v>1002</v>
      </c>
      <c r="E203">
        <v>1876.2439999999999</v>
      </c>
      <c r="F203" t="s">
        <v>1018</v>
      </c>
      <c r="G203" t="s">
        <v>1419</v>
      </c>
      <c r="H203" t="s">
        <v>1264</v>
      </c>
      <c r="I203" t="s">
        <v>1026</v>
      </c>
      <c r="J203" t="s">
        <v>987</v>
      </c>
      <c r="K203" t="b">
        <v>1</v>
      </c>
      <c r="L203" t="b">
        <v>0</v>
      </c>
      <c r="M203" t="s">
        <v>987</v>
      </c>
      <c r="N203" t="s">
        <v>1183</v>
      </c>
      <c r="O203" t="s">
        <v>990</v>
      </c>
      <c r="P203" t="s">
        <v>1022</v>
      </c>
      <c r="Q203" t="s">
        <v>987</v>
      </c>
    </row>
    <row r="204" spans="1:17">
      <c r="A204" t="s">
        <v>42</v>
      </c>
      <c r="B204" t="s">
        <v>1420</v>
      </c>
      <c r="C204" t="s">
        <v>342</v>
      </c>
      <c r="D204" t="s">
        <v>1004</v>
      </c>
      <c r="E204">
        <v>2241.7579999999998</v>
      </c>
      <c r="F204" t="s">
        <v>1018</v>
      </c>
      <c r="G204" t="s">
        <v>1421</v>
      </c>
      <c r="H204" t="s">
        <v>1264</v>
      </c>
      <c r="I204" t="s">
        <v>1029</v>
      </c>
      <c r="J204" t="s">
        <v>987</v>
      </c>
      <c r="K204" t="b">
        <v>1</v>
      </c>
      <c r="L204" t="b">
        <v>0</v>
      </c>
      <c r="M204" t="s">
        <v>987</v>
      </c>
      <c r="N204" t="s">
        <v>1183</v>
      </c>
      <c r="O204" t="s">
        <v>990</v>
      </c>
      <c r="P204" t="s">
        <v>1022</v>
      </c>
      <c r="Q204" t="s">
        <v>987</v>
      </c>
    </row>
    <row r="205" spans="1:17">
      <c r="A205" t="s">
        <v>42</v>
      </c>
      <c r="B205" t="s">
        <v>1422</v>
      </c>
      <c r="C205" t="s">
        <v>342</v>
      </c>
      <c r="D205" t="s">
        <v>1006</v>
      </c>
      <c r="E205">
        <v>2156.5439999999999</v>
      </c>
      <c r="F205" t="s">
        <v>1018</v>
      </c>
      <c r="G205" t="s">
        <v>1423</v>
      </c>
      <c r="H205" t="s">
        <v>1264</v>
      </c>
      <c r="I205" t="s">
        <v>1281</v>
      </c>
      <c r="J205" t="s">
        <v>987</v>
      </c>
      <c r="K205" t="b">
        <v>1</v>
      </c>
      <c r="L205" t="b">
        <v>0</v>
      </c>
      <c r="M205" t="s">
        <v>987</v>
      </c>
      <c r="N205" t="s">
        <v>1183</v>
      </c>
      <c r="O205" t="s">
        <v>990</v>
      </c>
      <c r="P205" t="s">
        <v>1022</v>
      </c>
      <c r="Q205" t="s">
        <v>987</v>
      </c>
    </row>
    <row r="206" spans="1:17">
      <c r="A206" t="s">
        <v>42</v>
      </c>
      <c r="B206" t="s">
        <v>1424</v>
      </c>
      <c r="C206" t="s">
        <v>342</v>
      </c>
      <c r="D206" t="s">
        <v>1008</v>
      </c>
      <c r="E206">
        <v>2359.518</v>
      </c>
      <c r="F206" t="s">
        <v>1018</v>
      </c>
      <c r="G206" t="s">
        <v>1425</v>
      </c>
      <c r="H206" t="s">
        <v>1264</v>
      </c>
      <c r="I206" t="s">
        <v>1036</v>
      </c>
      <c r="J206" t="s">
        <v>987</v>
      </c>
      <c r="K206" t="b">
        <v>1</v>
      </c>
      <c r="L206" t="b">
        <v>0</v>
      </c>
      <c r="M206" t="s">
        <v>987</v>
      </c>
      <c r="N206" t="s">
        <v>1183</v>
      </c>
      <c r="O206" t="s">
        <v>990</v>
      </c>
      <c r="P206" t="s">
        <v>1022</v>
      </c>
      <c r="Q206" t="s">
        <v>987</v>
      </c>
    </row>
    <row r="207" spans="1:17">
      <c r="A207" t="s">
        <v>42</v>
      </c>
      <c r="B207" t="s">
        <v>1426</v>
      </c>
      <c r="C207" t="s">
        <v>342</v>
      </c>
      <c r="D207" t="s">
        <v>1010</v>
      </c>
      <c r="E207">
        <v>2489.4859999999999</v>
      </c>
      <c r="F207" t="s">
        <v>1018</v>
      </c>
      <c r="G207" t="s">
        <v>1427</v>
      </c>
      <c r="H207" t="s">
        <v>1264</v>
      </c>
      <c r="I207" t="s">
        <v>1039</v>
      </c>
      <c r="J207" t="s">
        <v>987</v>
      </c>
      <c r="K207" t="b">
        <v>1</v>
      </c>
      <c r="L207" t="b">
        <v>0</v>
      </c>
      <c r="M207" t="s">
        <v>987</v>
      </c>
      <c r="N207" t="s">
        <v>1183</v>
      </c>
      <c r="O207" t="s">
        <v>990</v>
      </c>
      <c r="P207" t="s">
        <v>1022</v>
      </c>
      <c r="Q207" t="s">
        <v>987</v>
      </c>
    </row>
    <row r="208" spans="1:17">
      <c r="A208" t="s">
        <v>42</v>
      </c>
      <c r="B208" t="s">
        <v>1428</v>
      </c>
      <c r="C208" t="s">
        <v>342</v>
      </c>
      <c r="D208" t="s">
        <v>1012</v>
      </c>
      <c r="E208">
        <v>3111.3110000000001</v>
      </c>
      <c r="F208" t="s">
        <v>1018</v>
      </c>
      <c r="G208" t="s">
        <v>1429</v>
      </c>
      <c r="H208" t="s">
        <v>1264</v>
      </c>
      <c r="I208" t="s">
        <v>1042</v>
      </c>
      <c r="J208" t="s">
        <v>987</v>
      </c>
      <c r="K208" t="b">
        <v>1</v>
      </c>
      <c r="L208" t="b">
        <v>0</v>
      </c>
      <c r="M208" t="s">
        <v>987</v>
      </c>
      <c r="N208" t="s">
        <v>1183</v>
      </c>
      <c r="O208" t="s">
        <v>990</v>
      </c>
      <c r="P208" t="s">
        <v>1022</v>
      </c>
      <c r="Q208" t="s">
        <v>987</v>
      </c>
    </row>
    <row r="209" spans="1:17">
      <c r="A209" t="s">
        <v>42</v>
      </c>
      <c r="B209" t="s">
        <v>1430</v>
      </c>
      <c r="C209" t="s">
        <v>342</v>
      </c>
      <c r="D209" t="s">
        <v>1014</v>
      </c>
      <c r="E209">
        <v>3220.8690000000001</v>
      </c>
      <c r="F209" t="s">
        <v>1018</v>
      </c>
      <c r="G209" t="s">
        <v>1431</v>
      </c>
      <c r="H209" t="s">
        <v>1264</v>
      </c>
      <c r="I209" t="s">
        <v>1281</v>
      </c>
      <c r="J209" t="s">
        <v>987</v>
      </c>
      <c r="K209" t="b">
        <v>1</v>
      </c>
      <c r="L209" t="b">
        <v>0</v>
      </c>
      <c r="M209" t="s">
        <v>987</v>
      </c>
      <c r="N209" t="s">
        <v>1183</v>
      </c>
      <c r="O209" t="s">
        <v>990</v>
      </c>
      <c r="P209" t="s">
        <v>1022</v>
      </c>
      <c r="Q209" t="s">
        <v>987</v>
      </c>
    </row>
    <row r="210" spans="1:17">
      <c r="A210" t="s">
        <v>42</v>
      </c>
      <c r="B210" t="s">
        <v>1432</v>
      </c>
      <c r="C210" t="s">
        <v>342</v>
      </c>
      <c r="D210" t="s">
        <v>1016</v>
      </c>
      <c r="E210">
        <v>4441.9859999999999</v>
      </c>
      <c r="F210" t="s">
        <v>1018</v>
      </c>
      <c r="G210" t="s">
        <v>1433</v>
      </c>
      <c r="H210" t="s">
        <v>1264</v>
      </c>
      <c r="I210" t="s">
        <v>1048</v>
      </c>
      <c r="J210" t="s">
        <v>987</v>
      </c>
      <c r="K210" t="b">
        <v>1</v>
      </c>
      <c r="L210" t="b">
        <v>0</v>
      </c>
      <c r="M210" t="s">
        <v>987</v>
      </c>
      <c r="N210" t="s">
        <v>1183</v>
      </c>
      <c r="O210" t="s">
        <v>990</v>
      </c>
      <c r="P210" t="s">
        <v>1022</v>
      </c>
      <c r="Q210" t="s">
        <v>987</v>
      </c>
    </row>
    <row r="211" spans="1:17">
      <c r="A211" t="s">
        <v>42</v>
      </c>
      <c r="B211" t="s">
        <v>1434</v>
      </c>
      <c r="C211" t="s">
        <v>343</v>
      </c>
      <c r="D211" t="s">
        <v>985</v>
      </c>
      <c r="E211">
        <v>4059</v>
      </c>
      <c r="F211" t="s">
        <v>1065</v>
      </c>
      <c r="G211" t="s">
        <v>987</v>
      </c>
      <c r="H211" t="s">
        <v>1264</v>
      </c>
      <c r="I211" t="s">
        <v>987</v>
      </c>
      <c r="J211" t="s">
        <v>987</v>
      </c>
      <c r="K211" t="b">
        <v>0</v>
      </c>
      <c r="L211" t="b">
        <v>1</v>
      </c>
      <c r="M211" t="s">
        <v>1067</v>
      </c>
      <c r="N211" t="s">
        <v>989</v>
      </c>
      <c r="O211" t="s">
        <v>1068</v>
      </c>
      <c r="P211" t="s">
        <v>1069</v>
      </c>
      <c r="Q211" t="s">
        <v>1070</v>
      </c>
    </row>
    <row r="212" spans="1:17">
      <c r="A212" t="s">
        <v>42</v>
      </c>
      <c r="B212" t="s">
        <v>1435</v>
      </c>
      <c r="C212" t="s">
        <v>343</v>
      </c>
      <c r="D212" t="s">
        <v>994</v>
      </c>
      <c r="E212">
        <v>4032</v>
      </c>
      <c r="F212" t="s">
        <v>1065</v>
      </c>
      <c r="G212" t="s">
        <v>987</v>
      </c>
      <c r="H212" t="s">
        <v>1264</v>
      </c>
      <c r="I212" t="s">
        <v>987</v>
      </c>
      <c r="J212" t="s">
        <v>987</v>
      </c>
      <c r="K212" t="b">
        <v>0</v>
      </c>
      <c r="L212" t="b">
        <v>1</v>
      </c>
      <c r="M212" t="s">
        <v>1067</v>
      </c>
      <c r="N212" t="s">
        <v>989</v>
      </c>
      <c r="O212" t="s">
        <v>1068</v>
      </c>
      <c r="P212" t="s">
        <v>1069</v>
      </c>
      <c r="Q212" t="s">
        <v>1070</v>
      </c>
    </row>
    <row r="213" spans="1:17">
      <c r="A213" t="s">
        <v>42</v>
      </c>
      <c r="B213" t="s">
        <v>1436</v>
      </c>
      <c r="C213" t="s">
        <v>343</v>
      </c>
      <c r="D213" t="s">
        <v>996</v>
      </c>
      <c r="E213">
        <v>3863</v>
      </c>
      <c r="F213" t="s">
        <v>1065</v>
      </c>
      <c r="G213" t="s">
        <v>987</v>
      </c>
      <c r="H213" t="s">
        <v>1264</v>
      </c>
      <c r="I213" t="s">
        <v>987</v>
      </c>
      <c r="J213" t="s">
        <v>987</v>
      </c>
      <c r="K213" t="b">
        <v>0</v>
      </c>
      <c r="L213" t="b">
        <v>1</v>
      </c>
      <c r="M213" t="s">
        <v>1067</v>
      </c>
      <c r="N213" t="s">
        <v>989</v>
      </c>
      <c r="O213" t="s">
        <v>1068</v>
      </c>
      <c r="P213" t="s">
        <v>1069</v>
      </c>
      <c r="Q213" t="s">
        <v>1070</v>
      </c>
    </row>
    <row r="214" spans="1:17">
      <c r="A214" t="s">
        <v>42</v>
      </c>
      <c r="B214" t="s">
        <v>1437</v>
      </c>
      <c r="C214" t="s">
        <v>343</v>
      </c>
      <c r="D214" t="s">
        <v>998</v>
      </c>
      <c r="E214">
        <v>4446</v>
      </c>
      <c r="F214" t="s">
        <v>1065</v>
      </c>
      <c r="G214" t="s">
        <v>987</v>
      </c>
      <c r="H214" t="s">
        <v>1264</v>
      </c>
      <c r="I214" t="s">
        <v>987</v>
      </c>
      <c r="J214" t="s">
        <v>987</v>
      </c>
      <c r="K214" t="b">
        <v>0</v>
      </c>
      <c r="L214" t="b">
        <v>1</v>
      </c>
      <c r="M214" t="s">
        <v>1067</v>
      </c>
      <c r="N214" t="s">
        <v>989</v>
      </c>
      <c r="O214" t="s">
        <v>1068</v>
      </c>
      <c r="P214" t="s">
        <v>1069</v>
      </c>
      <c r="Q214" t="s">
        <v>1070</v>
      </c>
    </row>
    <row r="215" spans="1:17">
      <c r="A215" t="s">
        <v>42</v>
      </c>
      <c r="B215" t="s">
        <v>1438</v>
      </c>
      <c r="C215" t="s">
        <v>343</v>
      </c>
      <c r="D215" t="s">
        <v>1000</v>
      </c>
      <c r="E215">
        <v>4519</v>
      </c>
      <c r="F215" t="s">
        <v>1065</v>
      </c>
      <c r="G215" t="s">
        <v>987</v>
      </c>
      <c r="H215" t="s">
        <v>1264</v>
      </c>
      <c r="I215" t="s">
        <v>987</v>
      </c>
      <c r="J215" t="s">
        <v>987</v>
      </c>
      <c r="K215" t="b">
        <v>0</v>
      </c>
      <c r="L215" t="b">
        <v>1</v>
      </c>
      <c r="M215" t="s">
        <v>1067</v>
      </c>
      <c r="N215" t="s">
        <v>989</v>
      </c>
      <c r="O215" t="s">
        <v>1068</v>
      </c>
      <c r="P215" t="s">
        <v>1069</v>
      </c>
      <c r="Q215" t="s">
        <v>1070</v>
      </c>
    </row>
    <row r="216" spans="1:17">
      <c r="A216" t="s">
        <v>42</v>
      </c>
      <c r="B216" t="s">
        <v>1439</v>
      </c>
      <c r="C216" t="s">
        <v>343</v>
      </c>
      <c r="D216" t="s">
        <v>1002</v>
      </c>
      <c r="E216">
        <v>4610</v>
      </c>
      <c r="F216" t="s">
        <v>1065</v>
      </c>
      <c r="G216" t="s">
        <v>987</v>
      </c>
      <c r="H216" t="s">
        <v>1264</v>
      </c>
      <c r="I216" t="s">
        <v>987</v>
      </c>
      <c r="J216" t="s">
        <v>987</v>
      </c>
      <c r="K216" t="b">
        <v>0</v>
      </c>
      <c r="L216" t="b">
        <v>1</v>
      </c>
      <c r="M216" t="s">
        <v>1067</v>
      </c>
      <c r="N216" t="s">
        <v>989</v>
      </c>
      <c r="O216" t="s">
        <v>1068</v>
      </c>
      <c r="P216" t="s">
        <v>1069</v>
      </c>
      <c r="Q216" t="s">
        <v>1070</v>
      </c>
    </row>
    <row r="217" spans="1:17">
      <c r="A217" t="s">
        <v>42</v>
      </c>
      <c r="B217" t="s">
        <v>1440</v>
      </c>
      <c r="C217" t="s">
        <v>343</v>
      </c>
      <c r="D217" t="s">
        <v>1004</v>
      </c>
      <c r="E217">
        <v>4888</v>
      </c>
      <c r="F217" t="s">
        <v>1065</v>
      </c>
      <c r="G217" t="s">
        <v>987</v>
      </c>
      <c r="H217" t="s">
        <v>1264</v>
      </c>
      <c r="I217" t="s">
        <v>987</v>
      </c>
      <c r="J217" t="s">
        <v>987</v>
      </c>
      <c r="K217" t="b">
        <v>0</v>
      </c>
      <c r="L217" t="b">
        <v>1</v>
      </c>
      <c r="M217" t="s">
        <v>1067</v>
      </c>
      <c r="N217" t="s">
        <v>989</v>
      </c>
      <c r="O217" t="s">
        <v>1068</v>
      </c>
      <c r="P217" t="s">
        <v>1069</v>
      </c>
      <c r="Q217" t="s">
        <v>1070</v>
      </c>
    </row>
    <row r="218" spans="1:17">
      <c r="A218" t="s">
        <v>42</v>
      </c>
      <c r="B218" t="s">
        <v>1441</v>
      </c>
      <c r="C218" t="s">
        <v>343</v>
      </c>
      <c r="D218" t="s">
        <v>1006</v>
      </c>
      <c r="E218">
        <v>6242</v>
      </c>
      <c r="F218" t="s">
        <v>1065</v>
      </c>
      <c r="G218" t="s">
        <v>987</v>
      </c>
      <c r="H218" t="s">
        <v>1264</v>
      </c>
      <c r="I218" t="s">
        <v>987</v>
      </c>
      <c r="J218" t="s">
        <v>987</v>
      </c>
      <c r="K218" t="b">
        <v>0</v>
      </c>
      <c r="L218" t="b">
        <v>1</v>
      </c>
      <c r="M218" t="s">
        <v>1067</v>
      </c>
      <c r="N218" t="s">
        <v>989</v>
      </c>
      <c r="O218" t="s">
        <v>1068</v>
      </c>
      <c r="P218" t="s">
        <v>1069</v>
      </c>
      <c r="Q218" t="s">
        <v>1070</v>
      </c>
    </row>
    <row r="219" spans="1:17">
      <c r="A219" t="s">
        <v>42</v>
      </c>
      <c r="B219" t="s">
        <v>1442</v>
      </c>
      <c r="C219" t="s">
        <v>343</v>
      </c>
      <c r="D219" t="s">
        <v>1008</v>
      </c>
      <c r="E219">
        <v>8788.93</v>
      </c>
      <c r="F219" t="s">
        <v>1251</v>
      </c>
      <c r="G219" t="s">
        <v>1443</v>
      </c>
      <c r="H219" t="s">
        <v>1264</v>
      </c>
      <c r="I219" t="s">
        <v>1036</v>
      </c>
      <c r="J219" t="s">
        <v>987</v>
      </c>
      <c r="K219" t="b">
        <v>1</v>
      </c>
      <c r="L219" t="b">
        <v>0</v>
      </c>
      <c r="M219" t="s">
        <v>987</v>
      </c>
      <c r="N219" t="s">
        <v>1183</v>
      </c>
      <c r="O219" t="s">
        <v>990</v>
      </c>
      <c r="P219" t="s">
        <v>1022</v>
      </c>
      <c r="Q219" t="s">
        <v>1444</v>
      </c>
    </row>
    <row r="220" spans="1:17">
      <c r="A220" t="s">
        <v>42</v>
      </c>
      <c r="B220" t="s">
        <v>1445</v>
      </c>
      <c r="C220" t="s">
        <v>343</v>
      </c>
      <c r="D220" t="s">
        <v>1010</v>
      </c>
      <c r="E220">
        <v>9916.0210000000006</v>
      </c>
      <c r="F220" t="s">
        <v>1251</v>
      </c>
      <c r="G220" t="s">
        <v>1446</v>
      </c>
      <c r="H220" t="s">
        <v>1264</v>
      </c>
      <c r="I220" t="s">
        <v>1039</v>
      </c>
      <c r="J220" t="s">
        <v>987</v>
      </c>
      <c r="K220" t="b">
        <v>1</v>
      </c>
      <c r="L220" t="b">
        <v>0</v>
      </c>
      <c r="M220" t="s">
        <v>987</v>
      </c>
      <c r="N220" t="s">
        <v>1183</v>
      </c>
      <c r="O220" t="s">
        <v>990</v>
      </c>
      <c r="P220" t="s">
        <v>1022</v>
      </c>
      <c r="Q220" t="s">
        <v>1444</v>
      </c>
    </row>
    <row r="221" spans="1:17">
      <c r="A221" t="s">
        <v>42</v>
      </c>
      <c r="B221" t="s">
        <v>1447</v>
      </c>
      <c r="C221" t="s">
        <v>343</v>
      </c>
      <c r="D221" t="s">
        <v>1012</v>
      </c>
      <c r="E221">
        <v>10530.599</v>
      </c>
      <c r="F221" t="s">
        <v>1251</v>
      </c>
      <c r="G221" t="s">
        <v>1448</v>
      </c>
      <c r="H221" t="s">
        <v>1264</v>
      </c>
      <c r="I221" t="s">
        <v>1042</v>
      </c>
      <c r="J221" t="s">
        <v>987</v>
      </c>
      <c r="K221" t="b">
        <v>1</v>
      </c>
      <c r="L221" t="b">
        <v>0</v>
      </c>
      <c r="M221" t="s">
        <v>987</v>
      </c>
      <c r="N221" t="s">
        <v>1183</v>
      </c>
      <c r="O221" t="s">
        <v>990</v>
      </c>
      <c r="P221" t="s">
        <v>1022</v>
      </c>
      <c r="Q221" t="s">
        <v>1444</v>
      </c>
    </row>
    <row r="222" spans="1:17">
      <c r="A222" t="s">
        <v>42</v>
      </c>
      <c r="B222" t="s">
        <v>1449</v>
      </c>
      <c r="C222" t="s">
        <v>343</v>
      </c>
      <c r="D222" t="s">
        <v>1014</v>
      </c>
      <c r="E222">
        <v>9662.0640000000003</v>
      </c>
      <c r="F222" t="s">
        <v>1251</v>
      </c>
      <c r="G222" t="s">
        <v>1450</v>
      </c>
      <c r="H222" t="s">
        <v>1264</v>
      </c>
      <c r="I222" t="s">
        <v>1281</v>
      </c>
      <c r="J222" t="s">
        <v>987</v>
      </c>
      <c r="K222" t="b">
        <v>1</v>
      </c>
      <c r="L222" t="b">
        <v>0</v>
      </c>
      <c r="M222" t="s">
        <v>987</v>
      </c>
      <c r="N222" t="s">
        <v>1183</v>
      </c>
      <c r="O222" t="s">
        <v>990</v>
      </c>
      <c r="P222" t="s">
        <v>1022</v>
      </c>
      <c r="Q222" t="s">
        <v>1451</v>
      </c>
    </row>
    <row r="223" spans="1:17">
      <c r="A223" t="s">
        <v>42</v>
      </c>
      <c r="B223" t="s">
        <v>1452</v>
      </c>
      <c r="C223" t="s">
        <v>343</v>
      </c>
      <c r="D223" t="s">
        <v>1016</v>
      </c>
      <c r="E223">
        <v>6278</v>
      </c>
      <c r="F223" t="s">
        <v>1065</v>
      </c>
      <c r="G223" t="s">
        <v>987</v>
      </c>
      <c r="H223" t="s">
        <v>1264</v>
      </c>
      <c r="I223" t="s">
        <v>987</v>
      </c>
      <c r="J223" t="s">
        <v>987</v>
      </c>
      <c r="K223" t="b">
        <v>0</v>
      </c>
      <c r="L223" t="b">
        <v>1</v>
      </c>
      <c r="M223" t="s">
        <v>1067</v>
      </c>
      <c r="N223" t="s">
        <v>989</v>
      </c>
      <c r="O223" t="s">
        <v>1068</v>
      </c>
      <c r="P223" t="s">
        <v>1069</v>
      </c>
      <c r="Q223" t="s">
        <v>1070</v>
      </c>
    </row>
    <row r="224" spans="1:17">
      <c r="A224" t="s">
        <v>42</v>
      </c>
      <c r="B224" t="s">
        <v>1453</v>
      </c>
      <c r="C224" t="s">
        <v>346</v>
      </c>
      <c r="D224" t="s">
        <v>985</v>
      </c>
      <c r="E224">
        <v>15844</v>
      </c>
      <c r="F224" t="s">
        <v>1065</v>
      </c>
      <c r="G224" t="s">
        <v>987</v>
      </c>
      <c r="H224" t="s">
        <v>1264</v>
      </c>
      <c r="I224" t="s">
        <v>987</v>
      </c>
      <c r="J224" t="s">
        <v>987</v>
      </c>
      <c r="K224" t="b">
        <v>0</v>
      </c>
      <c r="L224" t="b">
        <v>1</v>
      </c>
      <c r="M224" t="s">
        <v>1067</v>
      </c>
      <c r="N224" t="s">
        <v>989</v>
      </c>
      <c r="O224" t="s">
        <v>1068</v>
      </c>
      <c r="P224" t="s">
        <v>1069</v>
      </c>
      <c r="Q224" t="s">
        <v>1070</v>
      </c>
    </row>
    <row r="225" spans="1:17">
      <c r="A225" t="s">
        <v>42</v>
      </c>
      <c r="B225" t="s">
        <v>1454</v>
      </c>
      <c r="C225" t="s">
        <v>346</v>
      </c>
      <c r="D225" t="s">
        <v>994</v>
      </c>
      <c r="E225">
        <v>15831</v>
      </c>
      <c r="F225" t="s">
        <v>1065</v>
      </c>
      <c r="G225" t="s">
        <v>987</v>
      </c>
      <c r="H225" t="s">
        <v>1264</v>
      </c>
      <c r="I225" t="s">
        <v>987</v>
      </c>
      <c r="J225" t="s">
        <v>987</v>
      </c>
      <c r="K225" t="b">
        <v>0</v>
      </c>
      <c r="L225" t="b">
        <v>1</v>
      </c>
      <c r="M225" t="s">
        <v>1067</v>
      </c>
      <c r="N225" t="s">
        <v>989</v>
      </c>
      <c r="O225" t="s">
        <v>1068</v>
      </c>
      <c r="P225" t="s">
        <v>1069</v>
      </c>
      <c r="Q225" t="s">
        <v>1070</v>
      </c>
    </row>
    <row r="226" spans="1:17">
      <c r="A226" t="s">
        <v>42</v>
      </c>
      <c r="B226" t="s">
        <v>1455</v>
      </c>
      <c r="C226" t="s">
        <v>346</v>
      </c>
      <c r="D226" t="s">
        <v>996</v>
      </c>
      <c r="E226">
        <v>15577</v>
      </c>
      <c r="F226" t="s">
        <v>1065</v>
      </c>
      <c r="G226" t="s">
        <v>987</v>
      </c>
      <c r="H226" t="s">
        <v>1264</v>
      </c>
      <c r="I226" t="s">
        <v>987</v>
      </c>
      <c r="J226" t="s">
        <v>987</v>
      </c>
      <c r="K226" t="b">
        <v>0</v>
      </c>
      <c r="L226" t="b">
        <v>1</v>
      </c>
      <c r="M226" t="s">
        <v>1067</v>
      </c>
      <c r="N226" t="s">
        <v>989</v>
      </c>
      <c r="O226" t="s">
        <v>1068</v>
      </c>
      <c r="P226" t="s">
        <v>1069</v>
      </c>
      <c r="Q226" t="s">
        <v>1070</v>
      </c>
    </row>
    <row r="227" spans="1:17">
      <c r="A227" t="s">
        <v>42</v>
      </c>
      <c r="B227" t="s">
        <v>1456</v>
      </c>
      <c r="C227" t="s">
        <v>346</v>
      </c>
      <c r="D227" t="s">
        <v>998</v>
      </c>
      <c r="E227">
        <v>15501</v>
      </c>
      <c r="F227" t="s">
        <v>1065</v>
      </c>
      <c r="G227" t="s">
        <v>987</v>
      </c>
      <c r="H227" t="s">
        <v>1264</v>
      </c>
      <c r="I227" t="s">
        <v>987</v>
      </c>
      <c r="J227" t="s">
        <v>987</v>
      </c>
      <c r="K227" t="b">
        <v>0</v>
      </c>
      <c r="L227" t="b">
        <v>1</v>
      </c>
      <c r="M227" t="s">
        <v>1067</v>
      </c>
      <c r="N227" t="s">
        <v>989</v>
      </c>
      <c r="O227" t="s">
        <v>1068</v>
      </c>
      <c r="P227" t="s">
        <v>1069</v>
      </c>
      <c r="Q227" t="s">
        <v>1070</v>
      </c>
    </row>
    <row r="228" spans="1:17">
      <c r="A228" t="s">
        <v>42</v>
      </c>
      <c r="B228" t="s">
        <v>1457</v>
      </c>
      <c r="C228" t="s">
        <v>346</v>
      </c>
      <c r="D228" t="s">
        <v>1000</v>
      </c>
      <c r="E228">
        <v>17550</v>
      </c>
      <c r="F228" t="s">
        <v>1065</v>
      </c>
      <c r="G228" t="s">
        <v>987</v>
      </c>
      <c r="H228" t="s">
        <v>1264</v>
      </c>
      <c r="I228" t="s">
        <v>987</v>
      </c>
      <c r="J228" t="s">
        <v>987</v>
      </c>
      <c r="K228" t="b">
        <v>0</v>
      </c>
      <c r="L228" t="b">
        <v>1</v>
      </c>
      <c r="M228" t="s">
        <v>1067</v>
      </c>
      <c r="N228" t="s">
        <v>989</v>
      </c>
      <c r="O228" t="s">
        <v>1068</v>
      </c>
      <c r="P228" t="s">
        <v>1069</v>
      </c>
      <c r="Q228" t="s">
        <v>1070</v>
      </c>
    </row>
    <row r="229" spans="1:17">
      <c r="A229" t="s">
        <v>42</v>
      </c>
      <c r="B229" t="s">
        <v>1458</v>
      </c>
      <c r="C229" t="s">
        <v>346</v>
      </c>
      <c r="D229" t="s">
        <v>1002</v>
      </c>
      <c r="E229">
        <v>17547</v>
      </c>
      <c r="F229" t="s">
        <v>1065</v>
      </c>
      <c r="G229" t="s">
        <v>987</v>
      </c>
      <c r="H229" t="s">
        <v>1264</v>
      </c>
      <c r="I229" t="s">
        <v>987</v>
      </c>
      <c r="J229" t="s">
        <v>987</v>
      </c>
      <c r="K229" t="b">
        <v>0</v>
      </c>
      <c r="L229" t="b">
        <v>1</v>
      </c>
      <c r="M229" t="s">
        <v>1067</v>
      </c>
      <c r="N229" t="s">
        <v>989</v>
      </c>
      <c r="O229" t="s">
        <v>1068</v>
      </c>
      <c r="P229" t="s">
        <v>1069</v>
      </c>
      <c r="Q229" t="s">
        <v>1070</v>
      </c>
    </row>
    <row r="230" spans="1:17">
      <c r="A230" t="s">
        <v>42</v>
      </c>
      <c r="B230" t="s">
        <v>1459</v>
      </c>
      <c r="C230" t="s">
        <v>346</v>
      </c>
      <c r="D230" t="s">
        <v>1004</v>
      </c>
      <c r="E230">
        <v>17209</v>
      </c>
      <c r="F230" t="s">
        <v>1065</v>
      </c>
      <c r="G230" t="s">
        <v>987</v>
      </c>
      <c r="H230" t="s">
        <v>1264</v>
      </c>
      <c r="I230" t="s">
        <v>987</v>
      </c>
      <c r="J230" t="s">
        <v>987</v>
      </c>
      <c r="K230" t="b">
        <v>0</v>
      </c>
      <c r="L230" t="b">
        <v>1</v>
      </c>
      <c r="M230" t="s">
        <v>1067</v>
      </c>
      <c r="N230" t="s">
        <v>989</v>
      </c>
      <c r="O230" t="s">
        <v>1068</v>
      </c>
      <c r="P230" t="s">
        <v>1069</v>
      </c>
      <c r="Q230" t="s">
        <v>1070</v>
      </c>
    </row>
    <row r="231" spans="1:17">
      <c r="A231" t="s">
        <v>42</v>
      </c>
      <c r="B231" t="s">
        <v>1460</v>
      </c>
      <c r="C231" t="s">
        <v>346</v>
      </c>
      <c r="D231" t="s">
        <v>1006</v>
      </c>
      <c r="E231">
        <v>17365</v>
      </c>
      <c r="F231" t="s">
        <v>1065</v>
      </c>
      <c r="G231" t="s">
        <v>987</v>
      </c>
      <c r="H231" t="s">
        <v>1264</v>
      </c>
      <c r="I231" t="s">
        <v>987</v>
      </c>
      <c r="J231" t="s">
        <v>987</v>
      </c>
      <c r="K231" t="b">
        <v>0</v>
      </c>
      <c r="L231" t="b">
        <v>1</v>
      </c>
      <c r="M231" t="s">
        <v>1067</v>
      </c>
      <c r="N231" t="s">
        <v>989</v>
      </c>
      <c r="O231" t="s">
        <v>1068</v>
      </c>
      <c r="P231" t="s">
        <v>1069</v>
      </c>
      <c r="Q231" t="s">
        <v>1070</v>
      </c>
    </row>
    <row r="232" spans="1:17">
      <c r="A232" t="s">
        <v>42</v>
      </c>
      <c r="B232" t="s">
        <v>1461</v>
      </c>
      <c r="C232" t="s">
        <v>346</v>
      </c>
      <c r="D232" t="s">
        <v>1008</v>
      </c>
      <c r="E232">
        <v>15016.918</v>
      </c>
      <c r="F232" t="s">
        <v>1251</v>
      </c>
      <c r="G232" t="s">
        <v>1462</v>
      </c>
      <c r="H232" t="s">
        <v>1264</v>
      </c>
      <c r="I232" t="s">
        <v>1036</v>
      </c>
      <c r="J232" t="s">
        <v>987</v>
      </c>
      <c r="K232" t="b">
        <v>1</v>
      </c>
      <c r="L232" t="b">
        <v>0</v>
      </c>
      <c r="M232" t="s">
        <v>987</v>
      </c>
      <c r="N232" t="s">
        <v>1183</v>
      </c>
      <c r="O232" t="s">
        <v>990</v>
      </c>
      <c r="P232" t="s">
        <v>1022</v>
      </c>
      <c r="Q232" t="s">
        <v>1463</v>
      </c>
    </row>
    <row r="233" spans="1:17">
      <c r="A233" t="s">
        <v>42</v>
      </c>
      <c r="B233" t="s">
        <v>1464</v>
      </c>
      <c r="C233" t="s">
        <v>346</v>
      </c>
      <c r="D233" t="s">
        <v>1010</v>
      </c>
      <c r="E233">
        <v>14453.206</v>
      </c>
      <c r="F233" t="s">
        <v>1251</v>
      </c>
      <c r="G233" t="s">
        <v>1465</v>
      </c>
      <c r="H233" t="s">
        <v>1264</v>
      </c>
      <c r="I233" t="s">
        <v>1039</v>
      </c>
      <c r="J233" t="s">
        <v>987</v>
      </c>
      <c r="K233" t="b">
        <v>1</v>
      </c>
      <c r="L233" t="b">
        <v>0</v>
      </c>
      <c r="M233" t="s">
        <v>987</v>
      </c>
      <c r="N233" t="s">
        <v>1183</v>
      </c>
      <c r="O233" t="s">
        <v>990</v>
      </c>
      <c r="P233" t="s">
        <v>1022</v>
      </c>
      <c r="Q233" t="s">
        <v>1463</v>
      </c>
    </row>
    <row r="234" spans="1:17">
      <c r="A234" t="s">
        <v>42</v>
      </c>
      <c r="B234" t="s">
        <v>1466</v>
      </c>
      <c r="C234" t="s">
        <v>346</v>
      </c>
      <c r="D234" t="s">
        <v>1012</v>
      </c>
      <c r="E234">
        <v>14463.02</v>
      </c>
      <c r="F234" t="s">
        <v>1251</v>
      </c>
      <c r="G234" t="s">
        <v>1467</v>
      </c>
      <c r="H234" t="s">
        <v>1264</v>
      </c>
      <c r="I234" t="s">
        <v>1042</v>
      </c>
      <c r="J234" t="s">
        <v>987</v>
      </c>
      <c r="K234" t="b">
        <v>1</v>
      </c>
      <c r="L234" t="b">
        <v>0</v>
      </c>
      <c r="M234" t="s">
        <v>987</v>
      </c>
      <c r="N234" t="s">
        <v>1183</v>
      </c>
      <c r="O234" t="s">
        <v>990</v>
      </c>
      <c r="P234" t="s">
        <v>1022</v>
      </c>
      <c r="Q234" t="s">
        <v>1463</v>
      </c>
    </row>
    <row r="235" spans="1:17">
      <c r="A235" t="s">
        <v>42</v>
      </c>
      <c r="B235" t="s">
        <v>1468</v>
      </c>
      <c r="C235" t="s">
        <v>346</v>
      </c>
      <c r="D235" t="s">
        <v>1014</v>
      </c>
      <c r="E235">
        <v>14462.835999999999</v>
      </c>
      <c r="F235" t="s">
        <v>1251</v>
      </c>
      <c r="G235" t="s">
        <v>1469</v>
      </c>
      <c r="H235" t="s">
        <v>1264</v>
      </c>
      <c r="I235" t="s">
        <v>1281</v>
      </c>
      <c r="J235" t="s">
        <v>987</v>
      </c>
      <c r="K235" t="b">
        <v>1</v>
      </c>
      <c r="L235" t="b">
        <v>0</v>
      </c>
      <c r="M235" t="s">
        <v>987</v>
      </c>
      <c r="N235" t="s">
        <v>1183</v>
      </c>
      <c r="O235" t="s">
        <v>990</v>
      </c>
      <c r="P235" t="s">
        <v>1022</v>
      </c>
      <c r="Q235" t="s">
        <v>1470</v>
      </c>
    </row>
    <row r="236" spans="1:17">
      <c r="A236" t="s">
        <v>42</v>
      </c>
      <c r="B236" t="s">
        <v>1471</v>
      </c>
      <c r="C236" t="s">
        <v>346</v>
      </c>
      <c r="D236" t="s">
        <v>1016</v>
      </c>
      <c r="E236">
        <v>23244</v>
      </c>
      <c r="F236" t="s">
        <v>1065</v>
      </c>
      <c r="G236" t="s">
        <v>987</v>
      </c>
      <c r="H236" t="s">
        <v>1264</v>
      </c>
      <c r="I236" t="s">
        <v>987</v>
      </c>
      <c r="J236" t="s">
        <v>987</v>
      </c>
      <c r="K236" t="b">
        <v>0</v>
      </c>
      <c r="L236" t="b">
        <v>1</v>
      </c>
      <c r="M236" t="s">
        <v>1067</v>
      </c>
      <c r="N236" t="s">
        <v>989</v>
      </c>
      <c r="O236" t="s">
        <v>1068</v>
      </c>
      <c r="P236" t="s">
        <v>1069</v>
      </c>
      <c r="Q236" t="s">
        <v>1070</v>
      </c>
    </row>
    <row r="237" spans="1:17">
      <c r="A237" t="s">
        <v>42</v>
      </c>
      <c r="B237" t="s">
        <v>1472</v>
      </c>
      <c r="C237" t="s">
        <v>348</v>
      </c>
      <c r="D237" t="s">
        <v>985</v>
      </c>
      <c r="E237">
        <v>1770</v>
      </c>
      <c r="F237" t="s">
        <v>1065</v>
      </c>
      <c r="G237" t="s">
        <v>987</v>
      </c>
      <c r="H237" t="s">
        <v>1264</v>
      </c>
      <c r="I237" t="s">
        <v>987</v>
      </c>
      <c r="J237" t="s">
        <v>987</v>
      </c>
      <c r="K237" t="b">
        <v>0</v>
      </c>
      <c r="L237" t="b">
        <v>1</v>
      </c>
      <c r="M237" t="s">
        <v>1067</v>
      </c>
      <c r="N237" t="s">
        <v>989</v>
      </c>
      <c r="O237" t="s">
        <v>1068</v>
      </c>
      <c r="P237" t="s">
        <v>1069</v>
      </c>
      <c r="Q237" t="s">
        <v>1070</v>
      </c>
    </row>
    <row r="238" spans="1:17">
      <c r="A238" t="s">
        <v>42</v>
      </c>
      <c r="B238" t="s">
        <v>1473</v>
      </c>
      <c r="C238" t="s">
        <v>348</v>
      </c>
      <c r="D238" t="s">
        <v>994</v>
      </c>
      <c r="E238">
        <v>1806</v>
      </c>
      <c r="F238" t="s">
        <v>1065</v>
      </c>
      <c r="G238" t="s">
        <v>987</v>
      </c>
      <c r="H238" t="s">
        <v>1264</v>
      </c>
      <c r="I238" t="s">
        <v>987</v>
      </c>
      <c r="J238" t="s">
        <v>987</v>
      </c>
      <c r="K238" t="b">
        <v>0</v>
      </c>
      <c r="L238" t="b">
        <v>1</v>
      </c>
      <c r="M238" t="s">
        <v>1067</v>
      </c>
      <c r="N238" t="s">
        <v>989</v>
      </c>
      <c r="O238" t="s">
        <v>1068</v>
      </c>
      <c r="P238" t="s">
        <v>1069</v>
      </c>
      <c r="Q238" t="s">
        <v>1070</v>
      </c>
    </row>
    <row r="239" spans="1:17">
      <c r="A239" t="s">
        <v>42</v>
      </c>
      <c r="B239" t="s">
        <v>1474</v>
      </c>
      <c r="C239" t="s">
        <v>348</v>
      </c>
      <c r="D239" t="s">
        <v>996</v>
      </c>
      <c r="E239">
        <v>1790</v>
      </c>
      <c r="F239" t="s">
        <v>1065</v>
      </c>
      <c r="G239" t="s">
        <v>987</v>
      </c>
      <c r="H239" t="s">
        <v>1264</v>
      </c>
      <c r="I239" t="s">
        <v>987</v>
      </c>
      <c r="J239" t="s">
        <v>987</v>
      </c>
      <c r="K239" t="b">
        <v>0</v>
      </c>
      <c r="L239" t="b">
        <v>1</v>
      </c>
      <c r="M239" t="s">
        <v>1067</v>
      </c>
      <c r="N239" t="s">
        <v>989</v>
      </c>
      <c r="O239" t="s">
        <v>1068</v>
      </c>
      <c r="P239" t="s">
        <v>1069</v>
      </c>
      <c r="Q239" t="s">
        <v>1070</v>
      </c>
    </row>
    <row r="240" spans="1:17">
      <c r="A240" t="s">
        <v>42</v>
      </c>
      <c r="B240" t="s">
        <v>1475</v>
      </c>
      <c r="C240" t="s">
        <v>348</v>
      </c>
      <c r="D240" t="s">
        <v>998</v>
      </c>
      <c r="E240">
        <v>1976</v>
      </c>
      <c r="F240" t="s">
        <v>1065</v>
      </c>
      <c r="G240" t="s">
        <v>987</v>
      </c>
      <c r="H240" t="s">
        <v>1264</v>
      </c>
      <c r="I240" t="s">
        <v>987</v>
      </c>
      <c r="J240" t="s">
        <v>987</v>
      </c>
      <c r="K240" t="b">
        <v>0</v>
      </c>
      <c r="L240" t="b">
        <v>1</v>
      </c>
      <c r="M240" t="s">
        <v>1067</v>
      </c>
      <c r="N240" t="s">
        <v>989</v>
      </c>
      <c r="O240" t="s">
        <v>1068</v>
      </c>
      <c r="P240" t="s">
        <v>1069</v>
      </c>
      <c r="Q240" t="s">
        <v>1070</v>
      </c>
    </row>
    <row r="241" spans="1:17">
      <c r="A241" t="s">
        <v>42</v>
      </c>
      <c r="B241" t="s">
        <v>1476</v>
      </c>
      <c r="C241" t="s">
        <v>348</v>
      </c>
      <c r="D241" t="s">
        <v>1000</v>
      </c>
      <c r="E241">
        <v>5660</v>
      </c>
      <c r="F241" t="s">
        <v>1065</v>
      </c>
      <c r="G241" t="s">
        <v>987</v>
      </c>
      <c r="H241" t="s">
        <v>1264</v>
      </c>
      <c r="I241" t="s">
        <v>987</v>
      </c>
      <c r="J241" t="s">
        <v>987</v>
      </c>
      <c r="K241" t="b">
        <v>0</v>
      </c>
      <c r="L241" t="b">
        <v>1</v>
      </c>
      <c r="M241" t="s">
        <v>1067</v>
      </c>
      <c r="N241" t="s">
        <v>989</v>
      </c>
      <c r="O241" t="s">
        <v>1068</v>
      </c>
      <c r="P241" t="s">
        <v>1069</v>
      </c>
      <c r="Q241" t="s">
        <v>1070</v>
      </c>
    </row>
    <row r="242" spans="1:17">
      <c r="A242" t="s">
        <v>42</v>
      </c>
      <c r="B242" t="s">
        <v>1477</v>
      </c>
      <c r="C242" t="s">
        <v>348</v>
      </c>
      <c r="D242" t="s">
        <v>1002</v>
      </c>
      <c r="E242">
        <v>5682</v>
      </c>
      <c r="F242" t="s">
        <v>1065</v>
      </c>
      <c r="G242" t="s">
        <v>987</v>
      </c>
      <c r="H242" t="s">
        <v>1264</v>
      </c>
      <c r="I242" t="s">
        <v>987</v>
      </c>
      <c r="J242" t="s">
        <v>987</v>
      </c>
      <c r="K242" t="b">
        <v>0</v>
      </c>
      <c r="L242" t="b">
        <v>1</v>
      </c>
      <c r="M242" t="s">
        <v>1067</v>
      </c>
      <c r="N242" t="s">
        <v>989</v>
      </c>
      <c r="O242" t="s">
        <v>1068</v>
      </c>
      <c r="P242" t="s">
        <v>1069</v>
      </c>
      <c r="Q242" t="s">
        <v>1070</v>
      </c>
    </row>
    <row r="243" spans="1:17">
      <c r="A243" t="s">
        <v>42</v>
      </c>
      <c r="B243" t="s">
        <v>1478</v>
      </c>
      <c r="C243" t="s">
        <v>348</v>
      </c>
      <c r="D243" t="s">
        <v>1004</v>
      </c>
      <c r="E243">
        <v>5608</v>
      </c>
      <c r="F243" t="s">
        <v>1065</v>
      </c>
      <c r="G243" t="s">
        <v>987</v>
      </c>
      <c r="H243" t="s">
        <v>1264</v>
      </c>
      <c r="I243" t="s">
        <v>987</v>
      </c>
      <c r="J243" t="s">
        <v>987</v>
      </c>
      <c r="K243" t="b">
        <v>0</v>
      </c>
      <c r="L243" t="b">
        <v>1</v>
      </c>
      <c r="M243" t="s">
        <v>1067</v>
      </c>
      <c r="N243" t="s">
        <v>989</v>
      </c>
      <c r="O243" t="s">
        <v>1068</v>
      </c>
      <c r="P243" t="s">
        <v>1069</v>
      </c>
      <c r="Q243" t="s">
        <v>1070</v>
      </c>
    </row>
    <row r="244" spans="1:17">
      <c r="A244" t="s">
        <v>42</v>
      </c>
      <c r="B244" t="s">
        <v>1479</v>
      </c>
      <c r="C244" t="s">
        <v>348</v>
      </c>
      <c r="D244" t="s">
        <v>1006</v>
      </c>
      <c r="E244">
        <v>5549</v>
      </c>
      <c r="F244" t="s">
        <v>1065</v>
      </c>
      <c r="G244" t="s">
        <v>987</v>
      </c>
      <c r="H244" t="s">
        <v>1264</v>
      </c>
      <c r="I244" t="s">
        <v>987</v>
      </c>
      <c r="J244" t="s">
        <v>987</v>
      </c>
      <c r="K244" t="b">
        <v>0</v>
      </c>
      <c r="L244" t="b">
        <v>1</v>
      </c>
      <c r="M244" t="s">
        <v>1067</v>
      </c>
      <c r="N244" t="s">
        <v>989</v>
      </c>
      <c r="O244" t="s">
        <v>1068</v>
      </c>
      <c r="P244" t="s">
        <v>1069</v>
      </c>
      <c r="Q244" t="s">
        <v>1070</v>
      </c>
    </row>
    <row r="245" spans="1:17">
      <c r="A245" t="s">
        <v>42</v>
      </c>
      <c r="B245" t="s">
        <v>1480</v>
      </c>
      <c r="C245" t="s">
        <v>348</v>
      </c>
      <c r="D245" t="s">
        <v>1008</v>
      </c>
      <c r="E245">
        <v>4330.0150000000003</v>
      </c>
      <c r="F245" t="s">
        <v>1251</v>
      </c>
      <c r="G245" t="s">
        <v>1481</v>
      </c>
      <c r="H245" t="s">
        <v>1264</v>
      </c>
      <c r="I245" t="s">
        <v>1482</v>
      </c>
      <c r="J245" t="s">
        <v>987</v>
      </c>
      <c r="K245" t="b">
        <v>1</v>
      </c>
      <c r="L245" t="b">
        <v>0</v>
      </c>
      <c r="M245" t="s">
        <v>987</v>
      </c>
      <c r="N245" t="s">
        <v>1183</v>
      </c>
      <c r="O245" t="s">
        <v>990</v>
      </c>
      <c r="P245" t="s">
        <v>1022</v>
      </c>
      <c r="Q245" t="s">
        <v>1483</v>
      </c>
    </row>
    <row r="246" spans="1:17">
      <c r="A246" t="s">
        <v>42</v>
      </c>
      <c r="B246" t="s">
        <v>1484</v>
      </c>
      <c r="C246" t="s">
        <v>348</v>
      </c>
      <c r="D246" t="s">
        <v>1010</v>
      </c>
      <c r="E246">
        <v>4752.2240000000002</v>
      </c>
      <c r="F246" t="s">
        <v>1251</v>
      </c>
      <c r="G246" t="s">
        <v>1485</v>
      </c>
      <c r="H246" t="s">
        <v>1264</v>
      </c>
      <c r="I246" t="s">
        <v>1486</v>
      </c>
      <c r="J246" t="s">
        <v>987</v>
      </c>
      <c r="K246" t="b">
        <v>1</v>
      </c>
      <c r="L246" t="b">
        <v>0</v>
      </c>
      <c r="M246" t="s">
        <v>987</v>
      </c>
      <c r="N246" t="s">
        <v>1183</v>
      </c>
      <c r="O246" t="s">
        <v>990</v>
      </c>
      <c r="P246" t="s">
        <v>1022</v>
      </c>
      <c r="Q246" t="s">
        <v>1483</v>
      </c>
    </row>
    <row r="247" spans="1:17">
      <c r="A247" t="s">
        <v>42</v>
      </c>
      <c r="B247" t="s">
        <v>1487</v>
      </c>
      <c r="C247" t="s">
        <v>348</v>
      </c>
      <c r="D247" t="s">
        <v>1012</v>
      </c>
      <c r="E247">
        <v>4785.9210000000003</v>
      </c>
      <c r="F247" t="s">
        <v>1251</v>
      </c>
      <c r="G247" t="s">
        <v>1488</v>
      </c>
      <c r="H247" t="s">
        <v>1264</v>
      </c>
      <c r="I247" t="s">
        <v>1042</v>
      </c>
      <c r="J247" t="s">
        <v>987</v>
      </c>
      <c r="K247" t="b">
        <v>1</v>
      </c>
      <c r="L247" t="b">
        <v>0</v>
      </c>
      <c r="M247" t="s">
        <v>987</v>
      </c>
      <c r="N247" t="s">
        <v>1183</v>
      </c>
      <c r="O247" t="s">
        <v>990</v>
      </c>
      <c r="P247" t="s">
        <v>1022</v>
      </c>
      <c r="Q247" t="s">
        <v>1483</v>
      </c>
    </row>
    <row r="248" spans="1:17">
      <c r="A248" t="s">
        <v>42</v>
      </c>
      <c r="B248" t="s">
        <v>1489</v>
      </c>
      <c r="C248" t="s">
        <v>348</v>
      </c>
      <c r="D248" t="s">
        <v>1014</v>
      </c>
      <c r="E248">
        <v>4536.6040000000003</v>
      </c>
      <c r="F248" t="s">
        <v>1251</v>
      </c>
      <c r="G248" t="s">
        <v>1490</v>
      </c>
      <c r="H248" t="s">
        <v>1264</v>
      </c>
      <c r="I248" t="s">
        <v>1281</v>
      </c>
      <c r="J248" t="s">
        <v>987</v>
      </c>
      <c r="K248" t="b">
        <v>1</v>
      </c>
      <c r="L248" t="b">
        <v>0</v>
      </c>
      <c r="M248" t="s">
        <v>987</v>
      </c>
      <c r="N248" t="s">
        <v>1183</v>
      </c>
      <c r="O248" t="s">
        <v>990</v>
      </c>
      <c r="P248" t="s">
        <v>1022</v>
      </c>
      <c r="Q248" t="s">
        <v>1491</v>
      </c>
    </row>
    <row r="249" spans="1:17">
      <c r="A249" t="s">
        <v>42</v>
      </c>
      <c r="B249" t="s">
        <v>1492</v>
      </c>
      <c r="C249" t="s">
        <v>348</v>
      </c>
      <c r="D249" t="s">
        <v>1016</v>
      </c>
      <c r="E249">
        <v>5957</v>
      </c>
      <c r="F249" t="s">
        <v>1065</v>
      </c>
      <c r="G249" t="s">
        <v>987</v>
      </c>
      <c r="H249" t="s">
        <v>1264</v>
      </c>
      <c r="I249" t="s">
        <v>987</v>
      </c>
      <c r="J249" t="s">
        <v>987</v>
      </c>
      <c r="K249" t="b">
        <v>0</v>
      </c>
      <c r="L249" t="b">
        <v>1</v>
      </c>
      <c r="M249" t="s">
        <v>1067</v>
      </c>
      <c r="N249" t="s">
        <v>989</v>
      </c>
      <c r="O249" t="s">
        <v>1068</v>
      </c>
      <c r="P249" t="s">
        <v>1069</v>
      </c>
      <c r="Q249" t="s">
        <v>1070</v>
      </c>
    </row>
    <row r="250" spans="1:17">
      <c r="A250" t="s">
        <v>42</v>
      </c>
      <c r="B250" t="s">
        <v>1493</v>
      </c>
      <c r="C250" t="s">
        <v>351</v>
      </c>
      <c r="D250" t="s">
        <v>985</v>
      </c>
      <c r="E250">
        <v>3533.4749999999999</v>
      </c>
      <c r="F250" t="s">
        <v>1251</v>
      </c>
      <c r="G250" t="s">
        <v>1494</v>
      </c>
      <c r="H250" t="s">
        <v>1264</v>
      </c>
      <c r="I250" t="s">
        <v>1495</v>
      </c>
      <c r="J250" t="s">
        <v>987</v>
      </c>
      <c r="K250" t="b">
        <v>1</v>
      </c>
      <c r="L250" t="b">
        <v>0</v>
      </c>
      <c r="M250" t="s">
        <v>987</v>
      </c>
      <c r="N250" t="s">
        <v>1183</v>
      </c>
      <c r="O250" t="s">
        <v>990</v>
      </c>
      <c r="P250" t="s">
        <v>1022</v>
      </c>
      <c r="Q250" t="s">
        <v>1496</v>
      </c>
    </row>
    <row r="251" spans="1:17">
      <c r="A251" t="s">
        <v>42</v>
      </c>
      <c r="B251" t="s">
        <v>1497</v>
      </c>
      <c r="C251" t="s">
        <v>351</v>
      </c>
      <c r="D251" t="s">
        <v>994</v>
      </c>
      <c r="E251">
        <v>2997.4549999999999</v>
      </c>
      <c r="F251" t="s">
        <v>1251</v>
      </c>
      <c r="G251" t="s">
        <v>1498</v>
      </c>
      <c r="H251" t="s">
        <v>1264</v>
      </c>
      <c r="I251" t="s">
        <v>1499</v>
      </c>
      <c r="J251" t="s">
        <v>987</v>
      </c>
      <c r="K251" t="b">
        <v>1</v>
      </c>
      <c r="L251" t="b">
        <v>0</v>
      </c>
      <c r="M251" t="s">
        <v>987</v>
      </c>
      <c r="N251" t="s">
        <v>1183</v>
      </c>
      <c r="O251" t="s">
        <v>990</v>
      </c>
      <c r="P251" t="s">
        <v>1022</v>
      </c>
      <c r="Q251" t="s">
        <v>1496</v>
      </c>
    </row>
    <row r="252" spans="1:17">
      <c r="A252" t="s">
        <v>42</v>
      </c>
      <c r="B252" t="s">
        <v>1500</v>
      </c>
      <c r="C252" t="s">
        <v>351</v>
      </c>
      <c r="D252" t="s">
        <v>996</v>
      </c>
      <c r="E252">
        <v>611.75</v>
      </c>
      <c r="F252" t="s">
        <v>1251</v>
      </c>
      <c r="G252" t="s">
        <v>1501</v>
      </c>
      <c r="H252" t="s">
        <v>1264</v>
      </c>
      <c r="I252" t="s">
        <v>1502</v>
      </c>
      <c r="J252" t="s">
        <v>987</v>
      </c>
      <c r="K252" t="b">
        <v>1</v>
      </c>
      <c r="L252" t="b">
        <v>0</v>
      </c>
      <c r="M252" t="s">
        <v>987</v>
      </c>
      <c r="N252" t="s">
        <v>1183</v>
      </c>
      <c r="O252" t="s">
        <v>990</v>
      </c>
      <c r="P252" t="s">
        <v>1022</v>
      </c>
      <c r="Q252" t="s">
        <v>1496</v>
      </c>
    </row>
    <row r="253" spans="1:17">
      <c r="A253" t="s">
        <v>42</v>
      </c>
      <c r="B253" t="s">
        <v>1503</v>
      </c>
      <c r="C253" t="s">
        <v>351</v>
      </c>
      <c r="D253" t="s">
        <v>998</v>
      </c>
      <c r="E253">
        <v>-1777.028</v>
      </c>
      <c r="F253" t="s">
        <v>1251</v>
      </c>
      <c r="G253" t="s">
        <v>1504</v>
      </c>
      <c r="H253" t="s">
        <v>1264</v>
      </c>
      <c r="I253" t="s">
        <v>1505</v>
      </c>
      <c r="J253" t="s">
        <v>987</v>
      </c>
      <c r="K253" t="b">
        <v>1</v>
      </c>
      <c r="L253" t="b">
        <v>0</v>
      </c>
      <c r="M253" t="s">
        <v>987</v>
      </c>
      <c r="N253" t="s">
        <v>1183</v>
      </c>
      <c r="O253" t="s">
        <v>990</v>
      </c>
      <c r="P253" t="s">
        <v>1022</v>
      </c>
      <c r="Q253" t="s">
        <v>1496</v>
      </c>
    </row>
    <row r="254" spans="1:17">
      <c r="A254" t="s">
        <v>42</v>
      </c>
      <c r="B254" t="s">
        <v>1506</v>
      </c>
      <c r="C254" t="s">
        <v>351</v>
      </c>
      <c r="D254" t="s">
        <v>1000</v>
      </c>
      <c r="E254">
        <v>-3444.2060000000001</v>
      </c>
      <c r="F254" t="s">
        <v>1251</v>
      </c>
      <c r="G254" t="s">
        <v>1507</v>
      </c>
      <c r="H254" t="s">
        <v>1264</v>
      </c>
      <c r="I254" t="s">
        <v>1508</v>
      </c>
      <c r="J254" t="s">
        <v>987</v>
      </c>
      <c r="K254" t="b">
        <v>1</v>
      </c>
      <c r="L254" t="b">
        <v>0</v>
      </c>
      <c r="M254" t="s">
        <v>987</v>
      </c>
      <c r="N254" t="s">
        <v>1183</v>
      </c>
      <c r="O254" t="s">
        <v>990</v>
      </c>
      <c r="P254" t="s">
        <v>1022</v>
      </c>
      <c r="Q254" t="s">
        <v>1496</v>
      </c>
    </row>
    <row r="255" spans="1:17">
      <c r="A255" t="s">
        <v>42</v>
      </c>
      <c r="B255" t="s">
        <v>1509</v>
      </c>
      <c r="C255" t="s">
        <v>351</v>
      </c>
      <c r="D255" t="s">
        <v>1002</v>
      </c>
      <c r="E255">
        <v>-4866.9939999999997</v>
      </c>
      <c r="F255" t="s">
        <v>1251</v>
      </c>
      <c r="G255" t="s">
        <v>1510</v>
      </c>
      <c r="H255" t="s">
        <v>1264</v>
      </c>
      <c r="I255" t="s">
        <v>1511</v>
      </c>
      <c r="J255" t="s">
        <v>987</v>
      </c>
      <c r="K255" t="b">
        <v>1</v>
      </c>
      <c r="L255" t="b">
        <v>0</v>
      </c>
      <c r="M255" t="s">
        <v>987</v>
      </c>
      <c r="N255" t="s">
        <v>1183</v>
      </c>
      <c r="O255" t="s">
        <v>990</v>
      </c>
      <c r="P255" t="s">
        <v>1022</v>
      </c>
      <c r="Q255" t="s">
        <v>1496</v>
      </c>
    </row>
    <row r="256" spans="1:17">
      <c r="A256" t="s">
        <v>42</v>
      </c>
      <c r="B256" t="s">
        <v>1512</v>
      </c>
      <c r="C256" t="s">
        <v>351</v>
      </c>
      <c r="D256" t="s">
        <v>1004</v>
      </c>
      <c r="E256">
        <v>-6366.9520000000002</v>
      </c>
      <c r="F256" t="s">
        <v>1251</v>
      </c>
      <c r="G256" t="s">
        <v>1513</v>
      </c>
      <c r="H256" t="s">
        <v>1264</v>
      </c>
      <c r="I256" t="s">
        <v>1514</v>
      </c>
      <c r="J256" t="s">
        <v>987</v>
      </c>
      <c r="K256" t="b">
        <v>1</v>
      </c>
      <c r="L256" t="b">
        <v>0</v>
      </c>
      <c r="M256" t="s">
        <v>987</v>
      </c>
      <c r="N256" t="s">
        <v>1183</v>
      </c>
      <c r="O256" t="s">
        <v>990</v>
      </c>
      <c r="P256" t="s">
        <v>1022</v>
      </c>
      <c r="Q256" t="s">
        <v>1496</v>
      </c>
    </row>
    <row r="257" spans="1:17">
      <c r="A257" t="s">
        <v>42</v>
      </c>
      <c r="B257" t="s">
        <v>1515</v>
      </c>
      <c r="C257" t="s">
        <v>351</v>
      </c>
      <c r="D257" t="s">
        <v>1006</v>
      </c>
      <c r="E257">
        <v>-6919.5119999999997</v>
      </c>
      <c r="F257" t="s">
        <v>1251</v>
      </c>
      <c r="G257" t="s">
        <v>1516</v>
      </c>
      <c r="H257" t="s">
        <v>1264</v>
      </c>
      <c r="I257" t="s">
        <v>1281</v>
      </c>
      <c r="J257" t="s">
        <v>987</v>
      </c>
      <c r="K257" t="b">
        <v>1</v>
      </c>
      <c r="L257" t="b">
        <v>0</v>
      </c>
      <c r="M257" t="s">
        <v>987</v>
      </c>
      <c r="N257" t="s">
        <v>1183</v>
      </c>
      <c r="O257" t="s">
        <v>990</v>
      </c>
      <c r="P257" t="s">
        <v>1022</v>
      </c>
      <c r="Q257" t="s">
        <v>1517</v>
      </c>
    </row>
    <row r="258" spans="1:17">
      <c r="A258" t="s">
        <v>42</v>
      </c>
      <c r="B258" t="s">
        <v>1518</v>
      </c>
      <c r="C258" t="s">
        <v>351</v>
      </c>
      <c r="D258" t="s">
        <v>1008</v>
      </c>
      <c r="E258">
        <v>-10077.459999999999</v>
      </c>
      <c r="F258" t="s">
        <v>1251</v>
      </c>
      <c r="G258" t="s">
        <v>1519</v>
      </c>
      <c r="H258" t="s">
        <v>1264</v>
      </c>
      <c r="I258" t="s">
        <v>1520</v>
      </c>
      <c r="J258" t="s">
        <v>987</v>
      </c>
      <c r="K258" t="b">
        <v>1</v>
      </c>
      <c r="L258" t="b">
        <v>0</v>
      </c>
      <c r="M258" t="s">
        <v>987</v>
      </c>
      <c r="N258" t="s">
        <v>1183</v>
      </c>
      <c r="O258" t="s">
        <v>990</v>
      </c>
      <c r="P258" t="s">
        <v>1022</v>
      </c>
      <c r="Q258" t="s">
        <v>1496</v>
      </c>
    </row>
    <row r="259" spans="1:17">
      <c r="A259" t="s">
        <v>42</v>
      </c>
      <c r="B259" t="s">
        <v>1521</v>
      </c>
      <c r="C259" t="s">
        <v>351</v>
      </c>
      <c r="D259" t="s">
        <v>1010</v>
      </c>
      <c r="E259">
        <v>-11460.114</v>
      </c>
      <c r="F259" t="s">
        <v>1251</v>
      </c>
      <c r="G259" t="s">
        <v>1522</v>
      </c>
      <c r="H259" t="s">
        <v>1264</v>
      </c>
      <c r="I259" t="s">
        <v>1523</v>
      </c>
      <c r="J259" t="s">
        <v>987</v>
      </c>
      <c r="K259" t="b">
        <v>1</v>
      </c>
      <c r="L259" t="b">
        <v>0</v>
      </c>
      <c r="M259" t="s">
        <v>987</v>
      </c>
      <c r="N259" t="s">
        <v>1183</v>
      </c>
      <c r="O259" t="s">
        <v>990</v>
      </c>
      <c r="P259" t="s">
        <v>1022</v>
      </c>
      <c r="Q259" t="s">
        <v>1496</v>
      </c>
    </row>
    <row r="260" spans="1:17">
      <c r="A260" t="s">
        <v>42</v>
      </c>
      <c r="B260" t="s">
        <v>1524</v>
      </c>
      <c r="C260" t="s">
        <v>351</v>
      </c>
      <c r="D260" t="s">
        <v>1012</v>
      </c>
      <c r="E260">
        <v>-13190.306</v>
      </c>
      <c r="F260" t="s">
        <v>1251</v>
      </c>
      <c r="G260" t="s">
        <v>1525</v>
      </c>
      <c r="H260" t="s">
        <v>1264</v>
      </c>
      <c r="I260" t="s">
        <v>1042</v>
      </c>
      <c r="J260" t="s">
        <v>987</v>
      </c>
      <c r="K260" t="b">
        <v>1</v>
      </c>
      <c r="L260" t="b">
        <v>0</v>
      </c>
      <c r="M260" t="s">
        <v>987</v>
      </c>
      <c r="N260" t="s">
        <v>1183</v>
      </c>
      <c r="O260" t="s">
        <v>990</v>
      </c>
      <c r="P260" t="s">
        <v>1022</v>
      </c>
      <c r="Q260" t="s">
        <v>1496</v>
      </c>
    </row>
    <row r="261" spans="1:17">
      <c r="A261" t="s">
        <v>42</v>
      </c>
      <c r="B261" t="s">
        <v>1526</v>
      </c>
      <c r="C261" t="s">
        <v>351</v>
      </c>
      <c r="D261" t="s">
        <v>1014</v>
      </c>
      <c r="E261">
        <v>-15086.248</v>
      </c>
      <c r="F261" t="s">
        <v>1251</v>
      </c>
      <c r="G261" t="s">
        <v>1527</v>
      </c>
      <c r="H261" t="s">
        <v>1264</v>
      </c>
      <c r="I261" t="s">
        <v>1281</v>
      </c>
      <c r="J261" t="s">
        <v>987</v>
      </c>
      <c r="K261" t="b">
        <v>1</v>
      </c>
      <c r="L261" t="b">
        <v>0</v>
      </c>
      <c r="M261" t="s">
        <v>987</v>
      </c>
      <c r="N261" t="s">
        <v>1183</v>
      </c>
      <c r="O261" t="s">
        <v>990</v>
      </c>
      <c r="P261" t="s">
        <v>1022</v>
      </c>
      <c r="Q261" t="s">
        <v>1528</v>
      </c>
    </row>
    <row r="262" spans="1:17">
      <c r="A262" t="s">
        <v>42</v>
      </c>
      <c r="B262" t="s">
        <v>1529</v>
      </c>
      <c r="C262" t="s">
        <v>351</v>
      </c>
      <c r="D262" t="s">
        <v>1016</v>
      </c>
      <c r="E262">
        <v>-16203.478999999999</v>
      </c>
      <c r="F262" t="s">
        <v>1251</v>
      </c>
      <c r="G262" t="s">
        <v>1530</v>
      </c>
      <c r="H262" t="s">
        <v>1264</v>
      </c>
      <c r="I262" t="s">
        <v>1048</v>
      </c>
      <c r="J262" t="s">
        <v>987</v>
      </c>
      <c r="K262" t="b">
        <v>1</v>
      </c>
      <c r="L262" t="b">
        <v>0</v>
      </c>
      <c r="M262" t="s">
        <v>987</v>
      </c>
      <c r="N262" t="s">
        <v>1183</v>
      </c>
      <c r="O262" t="s">
        <v>990</v>
      </c>
      <c r="P262" t="s">
        <v>1022</v>
      </c>
      <c r="Q262" t="s">
        <v>1496</v>
      </c>
    </row>
    <row r="263" spans="1:17">
      <c r="A263" t="s">
        <v>42</v>
      </c>
      <c r="B263" t="s">
        <v>1531</v>
      </c>
      <c r="C263" t="s">
        <v>352</v>
      </c>
      <c r="D263" t="s">
        <v>985</v>
      </c>
      <c r="E263">
        <v>18486.416000000001</v>
      </c>
      <c r="F263" t="s">
        <v>1018</v>
      </c>
      <c r="G263" t="s">
        <v>1532</v>
      </c>
      <c r="H263" t="s">
        <v>1264</v>
      </c>
      <c r="I263" t="s">
        <v>1285</v>
      </c>
      <c r="J263" t="s">
        <v>987</v>
      </c>
      <c r="K263" t="b">
        <v>1</v>
      </c>
      <c r="L263" t="b">
        <v>0</v>
      </c>
      <c r="M263" t="s">
        <v>987</v>
      </c>
      <c r="N263" t="s">
        <v>1183</v>
      </c>
      <c r="O263" t="s">
        <v>990</v>
      </c>
      <c r="P263" t="s">
        <v>1022</v>
      </c>
      <c r="Q263" t="s">
        <v>987</v>
      </c>
    </row>
    <row r="264" spans="1:17">
      <c r="A264" t="s">
        <v>42</v>
      </c>
      <c r="B264" t="s">
        <v>1533</v>
      </c>
      <c r="C264" t="s">
        <v>352</v>
      </c>
      <c r="D264" t="s">
        <v>994</v>
      </c>
      <c r="E264">
        <v>19974.026000000002</v>
      </c>
      <c r="F264" t="s">
        <v>1018</v>
      </c>
      <c r="G264" t="s">
        <v>1534</v>
      </c>
      <c r="H264" t="s">
        <v>1264</v>
      </c>
      <c r="I264" t="s">
        <v>1289</v>
      </c>
      <c r="J264" t="s">
        <v>987</v>
      </c>
      <c r="K264" t="b">
        <v>1</v>
      </c>
      <c r="L264" t="b">
        <v>0</v>
      </c>
      <c r="M264" t="s">
        <v>987</v>
      </c>
      <c r="N264" t="s">
        <v>1183</v>
      </c>
      <c r="O264" t="s">
        <v>990</v>
      </c>
      <c r="P264" t="s">
        <v>1022</v>
      </c>
      <c r="Q264" t="s">
        <v>987</v>
      </c>
    </row>
    <row r="265" spans="1:17">
      <c r="A265" t="s">
        <v>42</v>
      </c>
      <c r="B265" t="s">
        <v>1535</v>
      </c>
      <c r="C265" t="s">
        <v>352</v>
      </c>
      <c r="D265" t="s">
        <v>996</v>
      </c>
      <c r="E265">
        <v>21651.448</v>
      </c>
      <c r="F265" t="s">
        <v>1018</v>
      </c>
      <c r="G265" t="s">
        <v>1536</v>
      </c>
      <c r="H265" t="s">
        <v>1264</v>
      </c>
      <c r="I265" t="s">
        <v>1292</v>
      </c>
      <c r="J265" t="s">
        <v>987</v>
      </c>
      <c r="K265" t="b">
        <v>1</v>
      </c>
      <c r="L265" t="b">
        <v>0</v>
      </c>
      <c r="M265" t="s">
        <v>987</v>
      </c>
      <c r="N265" t="s">
        <v>1183</v>
      </c>
      <c r="O265" t="s">
        <v>990</v>
      </c>
      <c r="P265" t="s">
        <v>1022</v>
      </c>
      <c r="Q265" t="s">
        <v>987</v>
      </c>
    </row>
    <row r="266" spans="1:17">
      <c r="A266" t="s">
        <v>42</v>
      </c>
      <c r="B266" t="s">
        <v>1537</v>
      </c>
      <c r="C266" t="s">
        <v>352</v>
      </c>
      <c r="D266" t="s">
        <v>998</v>
      </c>
      <c r="E266">
        <v>22589.286</v>
      </c>
      <c r="F266" t="s">
        <v>1018</v>
      </c>
      <c r="G266" t="s">
        <v>1538</v>
      </c>
      <c r="H266" t="s">
        <v>1264</v>
      </c>
      <c r="I266" t="s">
        <v>1182</v>
      </c>
      <c r="J266" t="s">
        <v>987</v>
      </c>
      <c r="K266" t="b">
        <v>1</v>
      </c>
      <c r="L266" t="b">
        <v>0</v>
      </c>
      <c r="M266" t="s">
        <v>987</v>
      </c>
      <c r="N266" t="s">
        <v>1183</v>
      </c>
      <c r="O266" t="s">
        <v>990</v>
      </c>
      <c r="P266" t="s">
        <v>1022</v>
      </c>
      <c r="Q266" t="s">
        <v>987</v>
      </c>
    </row>
    <row r="267" spans="1:17">
      <c r="A267" t="s">
        <v>42</v>
      </c>
      <c r="B267" t="s">
        <v>1539</v>
      </c>
      <c r="C267" t="s">
        <v>352</v>
      </c>
      <c r="D267" t="s">
        <v>1000</v>
      </c>
      <c r="E267">
        <v>24921.494999999999</v>
      </c>
      <c r="F267" t="s">
        <v>1018</v>
      </c>
      <c r="G267" t="s">
        <v>1540</v>
      </c>
      <c r="H267" t="s">
        <v>1264</v>
      </c>
      <c r="I267" t="s">
        <v>1020</v>
      </c>
      <c r="J267" t="s">
        <v>987</v>
      </c>
      <c r="K267" t="b">
        <v>1</v>
      </c>
      <c r="L267" t="b">
        <v>0</v>
      </c>
      <c r="M267" t="s">
        <v>987</v>
      </c>
      <c r="N267" t="s">
        <v>1183</v>
      </c>
      <c r="O267" t="s">
        <v>990</v>
      </c>
      <c r="P267" t="s">
        <v>1022</v>
      </c>
      <c r="Q267" t="s">
        <v>987</v>
      </c>
    </row>
    <row r="268" spans="1:17">
      <c r="A268" t="s">
        <v>42</v>
      </c>
      <c r="B268" t="s">
        <v>1541</v>
      </c>
      <c r="C268" t="s">
        <v>352</v>
      </c>
      <c r="D268" t="s">
        <v>1002</v>
      </c>
      <c r="E268">
        <v>27068.800999999999</v>
      </c>
      <c r="F268" t="s">
        <v>1018</v>
      </c>
      <c r="G268" t="s">
        <v>1542</v>
      </c>
      <c r="H268" t="s">
        <v>1264</v>
      </c>
      <c r="I268" t="s">
        <v>1026</v>
      </c>
      <c r="J268" t="s">
        <v>987</v>
      </c>
      <c r="K268" t="b">
        <v>1</v>
      </c>
      <c r="L268" t="b">
        <v>0</v>
      </c>
      <c r="M268" t="s">
        <v>987</v>
      </c>
      <c r="N268" t="s">
        <v>1183</v>
      </c>
      <c r="O268" t="s">
        <v>990</v>
      </c>
      <c r="P268" t="s">
        <v>1022</v>
      </c>
      <c r="Q268" t="s">
        <v>987</v>
      </c>
    </row>
    <row r="269" spans="1:17">
      <c r="A269" t="s">
        <v>42</v>
      </c>
      <c r="B269" t="s">
        <v>1543</v>
      </c>
      <c r="C269" t="s">
        <v>352</v>
      </c>
      <c r="D269" t="s">
        <v>1004</v>
      </c>
      <c r="E269">
        <v>29432.31</v>
      </c>
      <c r="F269" t="s">
        <v>1018</v>
      </c>
      <c r="G269" t="s">
        <v>1544</v>
      </c>
      <c r="H269" t="s">
        <v>1264</v>
      </c>
      <c r="I269" t="s">
        <v>1029</v>
      </c>
      <c r="J269" t="s">
        <v>987</v>
      </c>
      <c r="K269" t="b">
        <v>1</v>
      </c>
      <c r="L269" t="b">
        <v>0</v>
      </c>
      <c r="M269" t="s">
        <v>987</v>
      </c>
      <c r="N269" t="s">
        <v>1183</v>
      </c>
      <c r="O269" t="s">
        <v>990</v>
      </c>
      <c r="P269" t="s">
        <v>1022</v>
      </c>
      <c r="Q269" t="s">
        <v>987</v>
      </c>
    </row>
    <row r="270" spans="1:17">
      <c r="A270" t="s">
        <v>42</v>
      </c>
      <c r="B270" t="s">
        <v>1545</v>
      </c>
      <c r="C270" t="s">
        <v>352</v>
      </c>
      <c r="D270" t="s">
        <v>1006</v>
      </c>
      <c r="E270">
        <v>31300.917000000001</v>
      </c>
      <c r="F270" t="s">
        <v>1018</v>
      </c>
      <c r="G270" t="s">
        <v>1546</v>
      </c>
      <c r="H270" t="s">
        <v>1264</v>
      </c>
      <c r="I270" t="s">
        <v>1281</v>
      </c>
      <c r="J270" t="s">
        <v>987</v>
      </c>
      <c r="K270" t="b">
        <v>1</v>
      </c>
      <c r="L270" t="b">
        <v>0</v>
      </c>
      <c r="M270" t="s">
        <v>987</v>
      </c>
      <c r="N270" t="s">
        <v>1183</v>
      </c>
      <c r="O270" t="s">
        <v>990</v>
      </c>
      <c r="P270" t="s">
        <v>1022</v>
      </c>
      <c r="Q270" t="s">
        <v>987</v>
      </c>
    </row>
    <row r="271" spans="1:17">
      <c r="A271" t="s">
        <v>42</v>
      </c>
      <c r="B271" t="s">
        <v>1547</v>
      </c>
      <c r="C271" t="s">
        <v>352</v>
      </c>
      <c r="D271" t="s">
        <v>1008</v>
      </c>
      <c r="E271">
        <v>34191.267999999996</v>
      </c>
      <c r="F271" t="s">
        <v>1018</v>
      </c>
      <c r="G271" t="s">
        <v>1548</v>
      </c>
      <c r="H271" t="s">
        <v>1264</v>
      </c>
      <c r="I271" t="s">
        <v>1036</v>
      </c>
      <c r="J271" t="s">
        <v>987</v>
      </c>
      <c r="K271" t="b">
        <v>1</v>
      </c>
      <c r="L271" t="b">
        <v>0</v>
      </c>
      <c r="M271" t="s">
        <v>987</v>
      </c>
      <c r="N271" t="s">
        <v>1183</v>
      </c>
      <c r="O271" t="s">
        <v>990</v>
      </c>
      <c r="P271" t="s">
        <v>1022</v>
      </c>
      <c r="Q271" t="s">
        <v>987</v>
      </c>
    </row>
    <row r="272" spans="1:17">
      <c r="A272" t="s">
        <v>42</v>
      </c>
      <c r="B272" t="s">
        <v>1549</v>
      </c>
      <c r="C272" t="s">
        <v>352</v>
      </c>
      <c r="D272" t="s">
        <v>1010</v>
      </c>
      <c r="E272">
        <v>37316.680999999997</v>
      </c>
      <c r="F272" t="s">
        <v>1018</v>
      </c>
      <c r="G272" t="s">
        <v>1550</v>
      </c>
      <c r="H272" t="s">
        <v>1264</v>
      </c>
      <c r="I272" t="s">
        <v>1039</v>
      </c>
      <c r="J272" t="s">
        <v>987</v>
      </c>
      <c r="K272" t="b">
        <v>1</v>
      </c>
      <c r="L272" t="b">
        <v>0</v>
      </c>
      <c r="M272" t="s">
        <v>987</v>
      </c>
      <c r="N272" t="s">
        <v>1183</v>
      </c>
      <c r="O272" t="s">
        <v>990</v>
      </c>
      <c r="P272" t="s">
        <v>1022</v>
      </c>
      <c r="Q272" t="s">
        <v>987</v>
      </c>
    </row>
    <row r="273" spans="1:17">
      <c r="A273" t="s">
        <v>42</v>
      </c>
      <c r="B273" t="s">
        <v>1551</v>
      </c>
      <c r="C273" t="s">
        <v>352</v>
      </c>
      <c r="D273" t="s">
        <v>1012</v>
      </c>
      <c r="E273">
        <v>39863.597000000002</v>
      </c>
      <c r="F273" t="s">
        <v>1018</v>
      </c>
      <c r="G273" t="s">
        <v>1552</v>
      </c>
      <c r="H273" t="s">
        <v>1264</v>
      </c>
      <c r="I273" t="s">
        <v>1042</v>
      </c>
      <c r="J273" t="s">
        <v>987</v>
      </c>
      <c r="K273" t="b">
        <v>1</v>
      </c>
      <c r="L273" t="b">
        <v>0</v>
      </c>
      <c r="M273" t="s">
        <v>987</v>
      </c>
      <c r="N273" t="s">
        <v>1183</v>
      </c>
      <c r="O273" t="s">
        <v>990</v>
      </c>
      <c r="P273" t="s">
        <v>1022</v>
      </c>
      <c r="Q273" t="s">
        <v>987</v>
      </c>
    </row>
    <row r="274" spans="1:17">
      <c r="A274" t="s">
        <v>42</v>
      </c>
      <c r="B274" t="s">
        <v>1553</v>
      </c>
      <c r="C274" t="s">
        <v>352</v>
      </c>
      <c r="D274" t="s">
        <v>1014</v>
      </c>
      <c r="E274">
        <v>42282.118000000002</v>
      </c>
      <c r="F274" t="s">
        <v>1018</v>
      </c>
      <c r="G274" t="s">
        <v>1554</v>
      </c>
      <c r="H274" t="s">
        <v>1264</v>
      </c>
      <c r="I274" t="s">
        <v>1281</v>
      </c>
      <c r="J274" t="s">
        <v>987</v>
      </c>
      <c r="K274" t="b">
        <v>1</v>
      </c>
      <c r="L274" t="b">
        <v>0</v>
      </c>
      <c r="M274" t="s">
        <v>987</v>
      </c>
      <c r="N274" t="s">
        <v>1183</v>
      </c>
      <c r="O274" t="s">
        <v>990</v>
      </c>
      <c r="P274" t="s">
        <v>1022</v>
      </c>
      <c r="Q274" t="s">
        <v>987</v>
      </c>
    </row>
    <row r="275" spans="1:17">
      <c r="A275" t="s">
        <v>42</v>
      </c>
      <c r="B275" t="s">
        <v>1555</v>
      </c>
      <c r="C275" t="s">
        <v>352</v>
      </c>
      <c r="D275" t="s">
        <v>1016</v>
      </c>
      <c r="E275">
        <v>47564.909</v>
      </c>
      <c r="F275" t="s">
        <v>1018</v>
      </c>
      <c r="G275" t="s">
        <v>1556</v>
      </c>
      <c r="H275" t="s">
        <v>1264</v>
      </c>
      <c r="I275" t="s">
        <v>1048</v>
      </c>
      <c r="J275" t="s">
        <v>987</v>
      </c>
      <c r="K275" t="b">
        <v>1</v>
      </c>
      <c r="L275" t="b">
        <v>0</v>
      </c>
      <c r="M275" t="s">
        <v>987</v>
      </c>
      <c r="N275" t="s">
        <v>1183</v>
      </c>
      <c r="O275" t="s">
        <v>990</v>
      </c>
      <c r="P275" t="s">
        <v>1022</v>
      </c>
      <c r="Q275" t="s">
        <v>987</v>
      </c>
    </row>
    <row r="276" spans="1:17">
      <c r="A276" t="s">
        <v>42</v>
      </c>
      <c r="B276" t="s">
        <v>1557</v>
      </c>
      <c r="C276" t="s">
        <v>353</v>
      </c>
      <c r="D276" t="s">
        <v>985</v>
      </c>
      <c r="E276">
        <v>0</v>
      </c>
      <c r="F276" t="s">
        <v>1251</v>
      </c>
      <c r="G276" t="s">
        <v>1558</v>
      </c>
      <c r="H276" t="s">
        <v>1264</v>
      </c>
      <c r="I276" t="s">
        <v>987</v>
      </c>
      <c r="J276" t="s">
        <v>987</v>
      </c>
      <c r="K276" t="b">
        <v>1</v>
      </c>
      <c r="L276" t="b">
        <v>0</v>
      </c>
      <c r="M276" t="s">
        <v>987</v>
      </c>
      <c r="N276" t="s">
        <v>1183</v>
      </c>
      <c r="O276" t="s">
        <v>990</v>
      </c>
      <c r="P276" t="s">
        <v>1022</v>
      </c>
      <c r="Q276" t="s">
        <v>1559</v>
      </c>
    </row>
    <row r="277" spans="1:17">
      <c r="A277" t="s">
        <v>42</v>
      </c>
      <c r="B277" t="s">
        <v>1560</v>
      </c>
      <c r="C277" t="s">
        <v>353</v>
      </c>
      <c r="D277" t="s">
        <v>994</v>
      </c>
      <c r="E277">
        <v>0</v>
      </c>
      <c r="F277" t="s">
        <v>1251</v>
      </c>
      <c r="G277" t="s">
        <v>1558</v>
      </c>
      <c r="H277" t="s">
        <v>1264</v>
      </c>
      <c r="I277" t="s">
        <v>987</v>
      </c>
      <c r="J277" t="s">
        <v>987</v>
      </c>
      <c r="K277" t="b">
        <v>1</v>
      </c>
      <c r="L277" t="b">
        <v>0</v>
      </c>
      <c r="M277" t="s">
        <v>987</v>
      </c>
      <c r="N277" t="s">
        <v>1183</v>
      </c>
      <c r="O277" t="s">
        <v>990</v>
      </c>
      <c r="P277" t="s">
        <v>1022</v>
      </c>
      <c r="Q277" t="s">
        <v>1559</v>
      </c>
    </row>
    <row r="278" spans="1:17">
      <c r="A278" t="s">
        <v>42</v>
      </c>
      <c r="B278" t="s">
        <v>1561</v>
      </c>
      <c r="C278" t="s">
        <v>353</v>
      </c>
      <c r="D278" t="s">
        <v>996</v>
      </c>
      <c r="E278">
        <v>0</v>
      </c>
      <c r="F278" t="s">
        <v>1251</v>
      </c>
      <c r="G278" t="s">
        <v>1558</v>
      </c>
      <c r="H278" t="s">
        <v>1264</v>
      </c>
      <c r="I278" t="s">
        <v>987</v>
      </c>
      <c r="J278" t="s">
        <v>987</v>
      </c>
      <c r="K278" t="b">
        <v>1</v>
      </c>
      <c r="L278" t="b">
        <v>0</v>
      </c>
      <c r="M278" t="s">
        <v>987</v>
      </c>
      <c r="N278" t="s">
        <v>1183</v>
      </c>
      <c r="O278" t="s">
        <v>990</v>
      </c>
      <c r="P278" t="s">
        <v>1022</v>
      </c>
      <c r="Q278" t="s">
        <v>1559</v>
      </c>
    </row>
    <row r="279" spans="1:17">
      <c r="A279" t="s">
        <v>42</v>
      </c>
      <c r="B279" t="s">
        <v>1562</v>
      </c>
      <c r="C279" t="s">
        <v>353</v>
      </c>
      <c r="D279" t="s">
        <v>998</v>
      </c>
      <c r="E279">
        <v>0</v>
      </c>
      <c r="F279" t="s">
        <v>1251</v>
      </c>
      <c r="G279" t="s">
        <v>1558</v>
      </c>
      <c r="H279" t="s">
        <v>1264</v>
      </c>
      <c r="I279" t="s">
        <v>987</v>
      </c>
      <c r="J279" t="s">
        <v>987</v>
      </c>
      <c r="K279" t="b">
        <v>1</v>
      </c>
      <c r="L279" t="b">
        <v>0</v>
      </c>
      <c r="M279" t="s">
        <v>987</v>
      </c>
      <c r="N279" t="s">
        <v>1183</v>
      </c>
      <c r="O279" t="s">
        <v>990</v>
      </c>
      <c r="P279" t="s">
        <v>1022</v>
      </c>
      <c r="Q279" t="s">
        <v>1559</v>
      </c>
    </row>
    <row r="280" spans="1:17">
      <c r="A280" t="s">
        <v>42</v>
      </c>
      <c r="B280" t="s">
        <v>1563</v>
      </c>
      <c r="C280" t="s">
        <v>353</v>
      </c>
      <c r="D280" t="s">
        <v>1000</v>
      </c>
      <c r="E280">
        <v>0</v>
      </c>
      <c r="F280" t="s">
        <v>1251</v>
      </c>
      <c r="G280" t="s">
        <v>1558</v>
      </c>
      <c r="H280" t="s">
        <v>1264</v>
      </c>
      <c r="I280" t="s">
        <v>987</v>
      </c>
      <c r="J280" t="s">
        <v>987</v>
      </c>
      <c r="K280" t="b">
        <v>1</v>
      </c>
      <c r="L280" t="b">
        <v>0</v>
      </c>
      <c r="M280" t="s">
        <v>987</v>
      </c>
      <c r="N280" t="s">
        <v>1183</v>
      </c>
      <c r="O280" t="s">
        <v>990</v>
      </c>
      <c r="P280" t="s">
        <v>1022</v>
      </c>
      <c r="Q280" t="s">
        <v>1559</v>
      </c>
    </row>
    <row r="281" spans="1:17">
      <c r="A281" t="s">
        <v>42</v>
      </c>
      <c r="B281" t="s">
        <v>1564</v>
      </c>
      <c r="C281" t="s">
        <v>353</v>
      </c>
      <c r="D281" t="s">
        <v>1002</v>
      </c>
      <c r="E281">
        <v>0</v>
      </c>
      <c r="F281" t="s">
        <v>1251</v>
      </c>
      <c r="G281" t="s">
        <v>1558</v>
      </c>
      <c r="H281" t="s">
        <v>1264</v>
      </c>
      <c r="I281" t="s">
        <v>987</v>
      </c>
      <c r="J281" t="s">
        <v>987</v>
      </c>
      <c r="K281" t="b">
        <v>1</v>
      </c>
      <c r="L281" t="b">
        <v>0</v>
      </c>
      <c r="M281" t="s">
        <v>987</v>
      </c>
      <c r="N281" t="s">
        <v>1183</v>
      </c>
      <c r="O281" t="s">
        <v>990</v>
      </c>
      <c r="P281" t="s">
        <v>1022</v>
      </c>
      <c r="Q281" t="s">
        <v>1559</v>
      </c>
    </row>
    <row r="282" spans="1:17">
      <c r="A282" t="s">
        <v>42</v>
      </c>
      <c r="B282" t="s">
        <v>1565</v>
      </c>
      <c r="C282" t="s">
        <v>353</v>
      </c>
      <c r="D282" t="s">
        <v>1004</v>
      </c>
      <c r="E282">
        <v>0</v>
      </c>
      <c r="F282" t="s">
        <v>1251</v>
      </c>
      <c r="G282" t="s">
        <v>1558</v>
      </c>
      <c r="H282" t="s">
        <v>1264</v>
      </c>
      <c r="I282" t="s">
        <v>987</v>
      </c>
      <c r="J282" t="s">
        <v>987</v>
      </c>
      <c r="K282" t="b">
        <v>1</v>
      </c>
      <c r="L282" t="b">
        <v>0</v>
      </c>
      <c r="M282" t="s">
        <v>987</v>
      </c>
      <c r="N282" t="s">
        <v>1183</v>
      </c>
      <c r="O282" t="s">
        <v>990</v>
      </c>
      <c r="P282" t="s">
        <v>1022</v>
      </c>
      <c r="Q282" t="s">
        <v>1559</v>
      </c>
    </row>
    <row r="283" spans="1:17">
      <c r="A283" t="s">
        <v>42</v>
      </c>
      <c r="B283" t="s">
        <v>1566</v>
      </c>
      <c r="C283" t="s">
        <v>353</v>
      </c>
      <c r="D283" t="s">
        <v>1006</v>
      </c>
      <c r="E283">
        <v>0</v>
      </c>
      <c r="F283" t="s">
        <v>1251</v>
      </c>
      <c r="G283" t="s">
        <v>1558</v>
      </c>
      <c r="H283" t="s">
        <v>1264</v>
      </c>
      <c r="I283" t="s">
        <v>987</v>
      </c>
      <c r="J283" t="s">
        <v>987</v>
      </c>
      <c r="K283" t="b">
        <v>1</v>
      </c>
      <c r="L283" t="b">
        <v>0</v>
      </c>
      <c r="M283" t="s">
        <v>987</v>
      </c>
      <c r="N283" t="s">
        <v>1183</v>
      </c>
      <c r="O283" t="s">
        <v>990</v>
      </c>
      <c r="P283" t="s">
        <v>1022</v>
      </c>
      <c r="Q283" t="s">
        <v>1559</v>
      </c>
    </row>
    <row r="284" spans="1:17">
      <c r="A284" t="s">
        <v>42</v>
      </c>
      <c r="B284" t="s">
        <v>1567</v>
      </c>
      <c r="C284" t="s">
        <v>353</v>
      </c>
      <c r="D284" t="s">
        <v>1008</v>
      </c>
      <c r="E284">
        <v>0</v>
      </c>
      <c r="F284" t="s">
        <v>1251</v>
      </c>
      <c r="G284" t="s">
        <v>1558</v>
      </c>
      <c r="H284" t="s">
        <v>1264</v>
      </c>
      <c r="I284" t="s">
        <v>987</v>
      </c>
      <c r="J284" t="s">
        <v>987</v>
      </c>
      <c r="K284" t="b">
        <v>1</v>
      </c>
      <c r="L284" t="b">
        <v>0</v>
      </c>
      <c r="M284" t="s">
        <v>987</v>
      </c>
      <c r="N284" t="s">
        <v>1183</v>
      </c>
      <c r="O284" t="s">
        <v>990</v>
      </c>
      <c r="P284" t="s">
        <v>1022</v>
      </c>
      <c r="Q284" t="s">
        <v>1559</v>
      </c>
    </row>
    <row r="285" spans="1:17">
      <c r="A285" t="s">
        <v>42</v>
      </c>
      <c r="B285" t="s">
        <v>1568</v>
      </c>
      <c r="C285" t="s">
        <v>353</v>
      </c>
      <c r="D285" t="s">
        <v>1010</v>
      </c>
      <c r="E285">
        <v>0</v>
      </c>
      <c r="F285" t="s">
        <v>1251</v>
      </c>
      <c r="G285" t="s">
        <v>1558</v>
      </c>
      <c r="H285" t="s">
        <v>1264</v>
      </c>
      <c r="I285" t="s">
        <v>987</v>
      </c>
      <c r="J285" t="s">
        <v>987</v>
      </c>
      <c r="K285" t="b">
        <v>1</v>
      </c>
      <c r="L285" t="b">
        <v>0</v>
      </c>
      <c r="M285" t="s">
        <v>987</v>
      </c>
      <c r="N285" t="s">
        <v>1183</v>
      </c>
      <c r="O285" t="s">
        <v>990</v>
      </c>
      <c r="P285" t="s">
        <v>1022</v>
      </c>
      <c r="Q285" t="s">
        <v>1559</v>
      </c>
    </row>
    <row r="286" spans="1:17">
      <c r="A286" t="s">
        <v>42</v>
      </c>
      <c r="B286" t="s">
        <v>1569</v>
      </c>
      <c r="C286" t="s">
        <v>353</v>
      </c>
      <c r="D286" t="s">
        <v>1012</v>
      </c>
      <c r="E286">
        <v>0</v>
      </c>
      <c r="F286" t="s">
        <v>1251</v>
      </c>
      <c r="G286" t="s">
        <v>1558</v>
      </c>
      <c r="H286" t="s">
        <v>1264</v>
      </c>
      <c r="I286" t="s">
        <v>987</v>
      </c>
      <c r="J286" t="s">
        <v>987</v>
      </c>
      <c r="K286" t="b">
        <v>1</v>
      </c>
      <c r="L286" t="b">
        <v>0</v>
      </c>
      <c r="M286" t="s">
        <v>987</v>
      </c>
      <c r="N286" t="s">
        <v>1183</v>
      </c>
      <c r="O286" t="s">
        <v>990</v>
      </c>
      <c r="P286" t="s">
        <v>1022</v>
      </c>
      <c r="Q286" t="s">
        <v>1559</v>
      </c>
    </row>
    <row r="287" spans="1:17">
      <c r="A287" t="s">
        <v>42</v>
      </c>
      <c r="B287" t="s">
        <v>1570</v>
      </c>
      <c r="C287" t="s">
        <v>353</v>
      </c>
      <c r="D287" t="s">
        <v>1014</v>
      </c>
      <c r="E287">
        <v>0</v>
      </c>
      <c r="F287" t="s">
        <v>1251</v>
      </c>
      <c r="G287" t="s">
        <v>1558</v>
      </c>
      <c r="H287" t="s">
        <v>1264</v>
      </c>
      <c r="I287" t="s">
        <v>987</v>
      </c>
      <c r="J287" t="s">
        <v>987</v>
      </c>
      <c r="K287" t="b">
        <v>1</v>
      </c>
      <c r="L287" t="b">
        <v>0</v>
      </c>
      <c r="M287" t="s">
        <v>987</v>
      </c>
      <c r="N287" t="s">
        <v>1183</v>
      </c>
      <c r="O287" t="s">
        <v>990</v>
      </c>
      <c r="P287" t="s">
        <v>1022</v>
      </c>
      <c r="Q287" t="s">
        <v>1559</v>
      </c>
    </row>
    <row r="288" spans="1:17">
      <c r="A288" t="s">
        <v>42</v>
      </c>
      <c r="B288" t="s">
        <v>1571</v>
      </c>
      <c r="C288" t="s">
        <v>353</v>
      </c>
      <c r="D288" t="s">
        <v>1016</v>
      </c>
      <c r="E288">
        <v>0</v>
      </c>
      <c r="F288" t="s">
        <v>1251</v>
      </c>
      <c r="G288" t="s">
        <v>1558</v>
      </c>
      <c r="H288" t="s">
        <v>1264</v>
      </c>
      <c r="I288" t="s">
        <v>987</v>
      </c>
      <c r="J288" t="s">
        <v>987</v>
      </c>
      <c r="K288" t="b">
        <v>1</v>
      </c>
      <c r="L288" t="b">
        <v>0</v>
      </c>
      <c r="M288" t="s">
        <v>987</v>
      </c>
      <c r="N288" t="s">
        <v>1183</v>
      </c>
      <c r="O288" t="s">
        <v>990</v>
      </c>
      <c r="P288" t="s">
        <v>1022</v>
      </c>
      <c r="Q288" t="s">
        <v>1559</v>
      </c>
    </row>
    <row r="289" spans="1:17">
      <c r="A289" t="s">
        <v>42</v>
      </c>
      <c r="B289" t="s">
        <v>1572</v>
      </c>
      <c r="C289" t="s">
        <v>354</v>
      </c>
      <c r="D289" t="s">
        <v>985</v>
      </c>
      <c r="E289">
        <v>-191.69499999999999</v>
      </c>
      <c r="F289" t="s">
        <v>1018</v>
      </c>
      <c r="G289" t="s">
        <v>1573</v>
      </c>
      <c r="H289" t="s">
        <v>1264</v>
      </c>
      <c r="I289" t="s">
        <v>1285</v>
      </c>
      <c r="J289" t="s">
        <v>987</v>
      </c>
      <c r="K289" t="b">
        <v>1</v>
      </c>
      <c r="L289" t="b">
        <v>0</v>
      </c>
      <c r="M289" t="s">
        <v>987</v>
      </c>
      <c r="N289" t="s">
        <v>1183</v>
      </c>
      <c r="O289" t="s">
        <v>990</v>
      </c>
      <c r="P289" t="s">
        <v>1022</v>
      </c>
      <c r="Q289" t="s">
        <v>987</v>
      </c>
    </row>
    <row r="290" spans="1:17">
      <c r="A290" t="s">
        <v>42</v>
      </c>
      <c r="B290" t="s">
        <v>1574</v>
      </c>
      <c r="C290" t="s">
        <v>354</v>
      </c>
      <c r="D290" t="s">
        <v>994</v>
      </c>
      <c r="E290">
        <v>-139.26599999999999</v>
      </c>
      <c r="F290" t="s">
        <v>1018</v>
      </c>
      <c r="G290" t="s">
        <v>1575</v>
      </c>
      <c r="H290" t="s">
        <v>1264</v>
      </c>
      <c r="I290" t="s">
        <v>1289</v>
      </c>
      <c r="J290" t="s">
        <v>987</v>
      </c>
      <c r="K290" t="b">
        <v>1</v>
      </c>
      <c r="L290" t="b">
        <v>0</v>
      </c>
      <c r="M290" t="s">
        <v>987</v>
      </c>
      <c r="N290" t="s">
        <v>1183</v>
      </c>
      <c r="O290" t="s">
        <v>990</v>
      </c>
      <c r="P290" t="s">
        <v>1022</v>
      </c>
      <c r="Q290" t="s">
        <v>987</v>
      </c>
    </row>
    <row r="291" spans="1:17">
      <c r="A291" t="s">
        <v>42</v>
      </c>
      <c r="B291" t="s">
        <v>1576</v>
      </c>
      <c r="C291" t="s">
        <v>354</v>
      </c>
      <c r="D291" t="s">
        <v>996</v>
      </c>
      <c r="E291">
        <v>-155.571</v>
      </c>
      <c r="F291" t="s">
        <v>1018</v>
      </c>
      <c r="G291" t="s">
        <v>1577</v>
      </c>
      <c r="H291" t="s">
        <v>1264</v>
      </c>
      <c r="I291" t="s">
        <v>1292</v>
      </c>
      <c r="J291" t="s">
        <v>987</v>
      </c>
      <c r="K291" t="b">
        <v>1</v>
      </c>
      <c r="L291" t="b">
        <v>0</v>
      </c>
      <c r="M291" t="s">
        <v>987</v>
      </c>
      <c r="N291" t="s">
        <v>1183</v>
      </c>
      <c r="O291" t="s">
        <v>990</v>
      </c>
      <c r="P291" t="s">
        <v>1022</v>
      </c>
      <c r="Q291" t="s">
        <v>987</v>
      </c>
    </row>
    <row r="292" spans="1:17">
      <c r="A292" t="s">
        <v>42</v>
      </c>
      <c r="B292" t="s">
        <v>1578</v>
      </c>
      <c r="C292" t="s">
        <v>354</v>
      </c>
      <c r="D292" t="s">
        <v>998</v>
      </c>
      <c r="E292">
        <v>-223.94499999999999</v>
      </c>
      <c r="F292" t="s">
        <v>1018</v>
      </c>
      <c r="G292" t="s">
        <v>1579</v>
      </c>
      <c r="H292" t="s">
        <v>1264</v>
      </c>
      <c r="I292" t="s">
        <v>1182</v>
      </c>
      <c r="J292" t="s">
        <v>987</v>
      </c>
      <c r="K292" t="b">
        <v>1</v>
      </c>
      <c r="L292" t="b">
        <v>0</v>
      </c>
      <c r="M292" t="s">
        <v>987</v>
      </c>
      <c r="N292" t="s">
        <v>1183</v>
      </c>
      <c r="O292" t="s">
        <v>990</v>
      </c>
      <c r="P292" t="s">
        <v>1022</v>
      </c>
      <c r="Q292" t="s">
        <v>987</v>
      </c>
    </row>
    <row r="293" spans="1:17">
      <c r="A293" t="s">
        <v>42</v>
      </c>
      <c r="B293" t="s">
        <v>1580</v>
      </c>
      <c r="C293" t="s">
        <v>354</v>
      </c>
      <c r="D293" t="s">
        <v>1000</v>
      </c>
      <c r="E293">
        <v>-111.879</v>
      </c>
      <c r="F293" t="s">
        <v>1018</v>
      </c>
      <c r="G293" t="s">
        <v>1581</v>
      </c>
      <c r="H293" t="s">
        <v>1264</v>
      </c>
      <c r="I293" t="s">
        <v>1020</v>
      </c>
      <c r="J293" t="s">
        <v>987</v>
      </c>
      <c r="K293" t="b">
        <v>1</v>
      </c>
      <c r="L293" t="b">
        <v>0</v>
      </c>
      <c r="M293" t="s">
        <v>987</v>
      </c>
      <c r="N293" t="s">
        <v>1183</v>
      </c>
      <c r="O293" t="s">
        <v>990</v>
      </c>
      <c r="P293" t="s">
        <v>1022</v>
      </c>
      <c r="Q293" t="s">
        <v>987</v>
      </c>
    </row>
    <row r="294" spans="1:17">
      <c r="A294" t="s">
        <v>42</v>
      </c>
      <c r="B294" t="s">
        <v>1582</v>
      </c>
      <c r="C294" t="s">
        <v>354</v>
      </c>
      <c r="D294" t="s">
        <v>1002</v>
      </c>
      <c r="E294">
        <v>-89.114000000000004</v>
      </c>
      <c r="F294" t="s">
        <v>1018</v>
      </c>
      <c r="G294" t="s">
        <v>1583</v>
      </c>
      <c r="H294" t="s">
        <v>1264</v>
      </c>
      <c r="I294" t="s">
        <v>1026</v>
      </c>
      <c r="J294" t="s">
        <v>987</v>
      </c>
      <c r="K294" t="b">
        <v>1</v>
      </c>
      <c r="L294" t="b">
        <v>0</v>
      </c>
      <c r="M294" t="s">
        <v>987</v>
      </c>
      <c r="N294" t="s">
        <v>1183</v>
      </c>
      <c r="O294" t="s">
        <v>990</v>
      </c>
      <c r="P294" t="s">
        <v>1022</v>
      </c>
      <c r="Q294" t="s">
        <v>987</v>
      </c>
    </row>
    <row r="295" spans="1:17">
      <c r="A295" t="s">
        <v>42</v>
      </c>
      <c r="B295" t="s">
        <v>1584</v>
      </c>
      <c r="C295" t="s">
        <v>354</v>
      </c>
      <c r="D295" t="s">
        <v>1004</v>
      </c>
      <c r="E295">
        <v>-344.62200000000001</v>
      </c>
      <c r="F295" t="s">
        <v>1018</v>
      </c>
      <c r="G295" t="s">
        <v>1585</v>
      </c>
      <c r="H295" t="s">
        <v>1264</v>
      </c>
      <c r="I295" t="s">
        <v>1029</v>
      </c>
      <c r="J295" t="s">
        <v>987</v>
      </c>
      <c r="K295" t="b">
        <v>1</v>
      </c>
      <c r="L295" t="b">
        <v>0</v>
      </c>
      <c r="M295" t="s">
        <v>987</v>
      </c>
      <c r="N295" t="s">
        <v>1183</v>
      </c>
      <c r="O295" t="s">
        <v>990</v>
      </c>
      <c r="P295" t="s">
        <v>1022</v>
      </c>
      <c r="Q295" t="s">
        <v>987</v>
      </c>
    </row>
    <row r="296" spans="1:17">
      <c r="A296" t="s">
        <v>42</v>
      </c>
      <c r="B296" t="s">
        <v>1586</v>
      </c>
      <c r="C296" t="s">
        <v>354</v>
      </c>
      <c r="D296" t="s">
        <v>1006</v>
      </c>
      <c r="E296">
        <v>362.16199999999998</v>
      </c>
      <c r="F296" t="s">
        <v>1018</v>
      </c>
      <c r="G296" t="s">
        <v>1587</v>
      </c>
      <c r="H296" t="s">
        <v>1264</v>
      </c>
      <c r="I296" t="s">
        <v>1281</v>
      </c>
      <c r="J296" t="s">
        <v>987</v>
      </c>
      <c r="K296" t="b">
        <v>1</v>
      </c>
      <c r="L296" t="b">
        <v>0</v>
      </c>
      <c r="M296" t="s">
        <v>987</v>
      </c>
      <c r="N296" t="s">
        <v>1183</v>
      </c>
      <c r="O296" t="s">
        <v>990</v>
      </c>
      <c r="P296" t="s">
        <v>1022</v>
      </c>
      <c r="Q296" t="s">
        <v>987</v>
      </c>
    </row>
    <row r="297" spans="1:17">
      <c r="A297" t="s">
        <v>42</v>
      </c>
      <c r="B297" t="s">
        <v>1588</v>
      </c>
      <c r="C297" t="s">
        <v>354</v>
      </c>
      <c r="D297" t="s">
        <v>1008</v>
      </c>
      <c r="E297">
        <v>-85.734999999999999</v>
      </c>
      <c r="F297" t="s">
        <v>1018</v>
      </c>
      <c r="G297" t="s">
        <v>1589</v>
      </c>
      <c r="H297" t="s">
        <v>1264</v>
      </c>
      <c r="I297" t="s">
        <v>1036</v>
      </c>
      <c r="J297" t="s">
        <v>987</v>
      </c>
      <c r="K297" t="b">
        <v>1</v>
      </c>
      <c r="L297" t="b">
        <v>0</v>
      </c>
      <c r="M297" t="s">
        <v>987</v>
      </c>
      <c r="N297" t="s">
        <v>1183</v>
      </c>
      <c r="O297" t="s">
        <v>990</v>
      </c>
      <c r="P297" t="s">
        <v>1022</v>
      </c>
      <c r="Q297" t="s">
        <v>987</v>
      </c>
    </row>
    <row r="298" spans="1:17">
      <c r="A298" t="s">
        <v>42</v>
      </c>
      <c r="B298" t="s">
        <v>1590</v>
      </c>
      <c r="C298" t="s">
        <v>354</v>
      </c>
      <c r="D298" t="s">
        <v>1010</v>
      </c>
      <c r="E298">
        <v>-904.66800000000001</v>
      </c>
      <c r="F298" t="s">
        <v>1018</v>
      </c>
      <c r="G298" t="s">
        <v>1591</v>
      </c>
      <c r="H298" t="s">
        <v>1264</v>
      </c>
      <c r="I298" t="s">
        <v>1039</v>
      </c>
      <c r="J298" t="s">
        <v>987</v>
      </c>
      <c r="K298" t="b">
        <v>1</v>
      </c>
      <c r="L298" t="b">
        <v>0</v>
      </c>
      <c r="M298" t="s">
        <v>987</v>
      </c>
      <c r="N298" t="s">
        <v>1183</v>
      </c>
      <c r="O298" t="s">
        <v>990</v>
      </c>
      <c r="P298" t="s">
        <v>1022</v>
      </c>
      <c r="Q298" t="s">
        <v>987</v>
      </c>
    </row>
    <row r="299" spans="1:17">
      <c r="A299" t="s">
        <v>42</v>
      </c>
      <c r="B299" t="s">
        <v>1592</v>
      </c>
      <c r="C299" t="s">
        <v>354</v>
      </c>
      <c r="D299" t="s">
        <v>1012</v>
      </c>
      <c r="E299">
        <v>-719.25599999999997</v>
      </c>
      <c r="F299" t="s">
        <v>1018</v>
      </c>
      <c r="G299" t="s">
        <v>1593</v>
      </c>
      <c r="H299" t="s">
        <v>1264</v>
      </c>
      <c r="I299" t="s">
        <v>1042</v>
      </c>
      <c r="J299" t="s">
        <v>987</v>
      </c>
      <c r="K299" t="b">
        <v>1</v>
      </c>
      <c r="L299" t="b">
        <v>0</v>
      </c>
      <c r="M299" t="s">
        <v>987</v>
      </c>
      <c r="N299" t="s">
        <v>1183</v>
      </c>
      <c r="O299" t="s">
        <v>990</v>
      </c>
      <c r="P299" t="s">
        <v>1022</v>
      </c>
      <c r="Q299" t="s">
        <v>987</v>
      </c>
    </row>
    <row r="300" spans="1:17">
      <c r="A300" t="s">
        <v>42</v>
      </c>
      <c r="B300" t="s">
        <v>1594</v>
      </c>
      <c r="C300" t="s">
        <v>354</v>
      </c>
      <c r="D300" t="s">
        <v>1014</v>
      </c>
      <c r="E300">
        <v>-580.38199999999995</v>
      </c>
      <c r="F300" t="s">
        <v>1018</v>
      </c>
      <c r="G300" t="s">
        <v>1595</v>
      </c>
      <c r="H300" t="s">
        <v>1264</v>
      </c>
      <c r="I300" t="s">
        <v>1281</v>
      </c>
      <c r="J300" t="s">
        <v>987</v>
      </c>
      <c r="K300" t="b">
        <v>1</v>
      </c>
      <c r="L300" t="b">
        <v>0</v>
      </c>
      <c r="M300" t="s">
        <v>987</v>
      </c>
      <c r="N300" t="s">
        <v>1183</v>
      </c>
      <c r="O300" t="s">
        <v>990</v>
      </c>
      <c r="P300" t="s">
        <v>1022</v>
      </c>
      <c r="Q300" t="s">
        <v>987</v>
      </c>
    </row>
    <row r="301" spans="1:17">
      <c r="A301" t="s">
        <v>42</v>
      </c>
      <c r="B301" t="s">
        <v>1596</v>
      </c>
      <c r="C301" t="s">
        <v>354</v>
      </c>
      <c r="D301" t="s">
        <v>1016</v>
      </c>
      <c r="E301">
        <v>-235.03100000000001</v>
      </c>
      <c r="F301" t="s">
        <v>1018</v>
      </c>
      <c r="G301" t="s">
        <v>1597</v>
      </c>
      <c r="H301" t="s">
        <v>1264</v>
      </c>
      <c r="I301" t="s">
        <v>1048</v>
      </c>
      <c r="J301" t="s">
        <v>987</v>
      </c>
      <c r="K301" t="b">
        <v>1</v>
      </c>
      <c r="L301" t="b">
        <v>0</v>
      </c>
      <c r="M301" t="s">
        <v>987</v>
      </c>
      <c r="N301" t="s">
        <v>1183</v>
      </c>
      <c r="O301" t="s">
        <v>990</v>
      </c>
      <c r="P301" t="s">
        <v>1022</v>
      </c>
      <c r="Q301" t="s">
        <v>987</v>
      </c>
    </row>
    <row r="302" spans="1:17">
      <c r="A302" t="s">
        <v>42</v>
      </c>
      <c r="B302" t="s">
        <v>1598</v>
      </c>
      <c r="C302" t="s">
        <v>405</v>
      </c>
      <c r="D302" t="s">
        <v>985</v>
      </c>
      <c r="E302">
        <v>99.099000000000004</v>
      </c>
      <c r="F302" t="s">
        <v>1018</v>
      </c>
      <c r="G302" t="s">
        <v>1599</v>
      </c>
      <c r="H302" t="s">
        <v>1600</v>
      </c>
      <c r="I302" t="s">
        <v>1020</v>
      </c>
      <c r="J302" t="s">
        <v>987</v>
      </c>
      <c r="K302" t="b">
        <v>1</v>
      </c>
      <c r="L302" t="b">
        <v>0</v>
      </c>
      <c r="M302" t="s">
        <v>987</v>
      </c>
      <c r="N302" t="s">
        <v>1183</v>
      </c>
      <c r="O302" t="s">
        <v>990</v>
      </c>
      <c r="P302" t="s">
        <v>1022</v>
      </c>
      <c r="Q302" t="s">
        <v>987</v>
      </c>
    </row>
    <row r="303" spans="1:17">
      <c r="A303" t="s">
        <v>42</v>
      </c>
      <c r="B303" t="s">
        <v>1601</v>
      </c>
      <c r="C303" t="s">
        <v>405</v>
      </c>
      <c r="D303" t="s">
        <v>994</v>
      </c>
      <c r="E303">
        <v>38</v>
      </c>
      <c r="F303" t="s">
        <v>1065</v>
      </c>
      <c r="G303" t="s">
        <v>1602</v>
      </c>
      <c r="H303" t="s">
        <v>1600</v>
      </c>
      <c r="I303" t="s">
        <v>987</v>
      </c>
      <c r="J303" t="s">
        <v>987</v>
      </c>
      <c r="K303" t="b">
        <v>0</v>
      </c>
      <c r="L303" t="b">
        <v>1</v>
      </c>
      <c r="M303" t="s">
        <v>1067</v>
      </c>
      <c r="N303" t="s">
        <v>989</v>
      </c>
      <c r="O303" t="s">
        <v>1068</v>
      </c>
      <c r="P303" t="s">
        <v>1069</v>
      </c>
      <c r="Q303" t="s">
        <v>1070</v>
      </c>
    </row>
    <row r="304" spans="1:17">
      <c r="A304" t="s">
        <v>42</v>
      </c>
      <c r="B304" t="s">
        <v>1603</v>
      </c>
      <c r="C304" t="s">
        <v>405</v>
      </c>
      <c r="D304" t="s">
        <v>996</v>
      </c>
      <c r="E304">
        <v>17</v>
      </c>
      <c r="F304" t="s">
        <v>1065</v>
      </c>
      <c r="G304" t="s">
        <v>1602</v>
      </c>
      <c r="H304" t="s">
        <v>1600</v>
      </c>
      <c r="I304" t="s">
        <v>987</v>
      </c>
      <c r="J304" t="s">
        <v>987</v>
      </c>
      <c r="K304" t="b">
        <v>0</v>
      </c>
      <c r="L304" t="b">
        <v>1</v>
      </c>
      <c r="M304" t="s">
        <v>1067</v>
      </c>
      <c r="N304" t="s">
        <v>989</v>
      </c>
      <c r="O304" t="s">
        <v>1068</v>
      </c>
      <c r="P304" t="s">
        <v>1069</v>
      </c>
      <c r="Q304" t="s">
        <v>1070</v>
      </c>
    </row>
    <row r="305" spans="1:17">
      <c r="A305" t="s">
        <v>42</v>
      </c>
      <c r="B305" t="s">
        <v>1604</v>
      </c>
      <c r="C305" t="s">
        <v>405</v>
      </c>
      <c r="D305" t="s">
        <v>998</v>
      </c>
      <c r="E305">
        <v>82.519000000000005</v>
      </c>
      <c r="F305" t="s">
        <v>1018</v>
      </c>
      <c r="G305" t="s">
        <v>1605</v>
      </c>
      <c r="H305" t="s">
        <v>1600</v>
      </c>
      <c r="I305" t="s">
        <v>987</v>
      </c>
      <c r="J305" t="s">
        <v>987</v>
      </c>
      <c r="K305" t="b">
        <v>1</v>
      </c>
      <c r="L305" t="b">
        <v>0</v>
      </c>
      <c r="M305" t="s">
        <v>987</v>
      </c>
      <c r="N305" t="s">
        <v>1183</v>
      </c>
      <c r="O305" t="s">
        <v>990</v>
      </c>
      <c r="P305" t="s">
        <v>1022</v>
      </c>
      <c r="Q305" t="s">
        <v>1606</v>
      </c>
    </row>
    <row r="306" spans="1:17">
      <c r="A306" t="s">
        <v>42</v>
      </c>
      <c r="B306" t="s">
        <v>1607</v>
      </c>
      <c r="C306" t="s">
        <v>405</v>
      </c>
      <c r="D306" t="s">
        <v>1000</v>
      </c>
      <c r="E306">
        <v>76.344999999999999</v>
      </c>
      <c r="F306" t="s">
        <v>1018</v>
      </c>
      <c r="G306" t="s">
        <v>1608</v>
      </c>
      <c r="H306" t="s">
        <v>1600</v>
      </c>
      <c r="I306" t="s">
        <v>1036</v>
      </c>
      <c r="J306" t="s">
        <v>987</v>
      </c>
      <c r="K306" t="b">
        <v>1</v>
      </c>
      <c r="L306" t="b">
        <v>0</v>
      </c>
      <c r="M306" t="s">
        <v>987</v>
      </c>
      <c r="N306" t="s">
        <v>1183</v>
      </c>
      <c r="O306" t="s">
        <v>990</v>
      </c>
      <c r="P306" t="s">
        <v>1022</v>
      </c>
      <c r="Q306" t="s">
        <v>987</v>
      </c>
    </row>
    <row r="307" spans="1:17">
      <c r="A307" t="s">
        <v>42</v>
      </c>
      <c r="B307" t="s">
        <v>1609</v>
      </c>
      <c r="C307" t="s">
        <v>405</v>
      </c>
      <c r="D307" t="s">
        <v>1002</v>
      </c>
      <c r="E307">
        <v>9</v>
      </c>
      <c r="F307" t="s">
        <v>1065</v>
      </c>
      <c r="G307" t="s">
        <v>1602</v>
      </c>
      <c r="H307" t="s">
        <v>1600</v>
      </c>
      <c r="I307" t="s">
        <v>987</v>
      </c>
      <c r="J307" t="s">
        <v>987</v>
      </c>
      <c r="K307" t="b">
        <v>0</v>
      </c>
      <c r="L307" t="b">
        <v>1</v>
      </c>
      <c r="M307" t="s">
        <v>1067</v>
      </c>
      <c r="N307" t="s">
        <v>989</v>
      </c>
      <c r="O307" t="s">
        <v>1068</v>
      </c>
      <c r="P307" t="s">
        <v>1069</v>
      </c>
      <c r="Q307" t="s">
        <v>1070</v>
      </c>
    </row>
    <row r="308" spans="1:17">
      <c r="A308" t="s">
        <v>42</v>
      </c>
      <c r="B308" t="s">
        <v>1610</v>
      </c>
      <c r="C308" t="s">
        <v>405</v>
      </c>
      <c r="D308" t="s">
        <v>1004</v>
      </c>
      <c r="E308">
        <v>65.650000000000006</v>
      </c>
      <c r="F308" t="s">
        <v>1018</v>
      </c>
      <c r="G308" t="s">
        <v>1611</v>
      </c>
      <c r="H308" t="s">
        <v>1600</v>
      </c>
      <c r="I308" t="s">
        <v>1042</v>
      </c>
      <c r="J308" t="s">
        <v>987</v>
      </c>
      <c r="K308" t="b">
        <v>1</v>
      </c>
      <c r="L308" t="b">
        <v>0</v>
      </c>
      <c r="M308" t="s">
        <v>987</v>
      </c>
      <c r="N308" t="s">
        <v>1183</v>
      </c>
      <c r="O308" t="s">
        <v>990</v>
      </c>
      <c r="P308" t="s">
        <v>1022</v>
      </c>
      <c r="Q308" t="s">
        <v>987</v>
      </c>
    </row>
    <row r="309" spans="1:17">
      <c r="A309" t="s">
        <v>42</v>
      </c>
      <c r="B309" t="s">
        <v>1612</v>
      </c>
      <c r="C309" t="s">
        <v>405</v>
      </c>
      <c r="D309" t="s">
        <v>1006</v>
      </c>
      <c r="E309">
        <v>61.826999999999998</v>
      </c>
      <c r="F309" t="s">
        <v>1018</v>
      </c>
      <c r="G309" t="s">
        <v>1613</v>
      </c>
      <c r="H309" t="s">
        <v>1600</v>
      </c>
      <c r="I309" t="s">
        <v>987</v>
      </c>
      <c r="J309" t="s">
        <v>987</v>
      </c>
      <c r="K309" t="b">
        <v>1</v>
      </c>
      <c r="L309" t="b">
        <v>1</v>
      </c>
      <c r="M309" t="s">
        <v>1032</v>
      </c>
      <c r="N309" t="s">
        <v>1183</v>
      </c>
      <c r="O309" t="s">
        <v>990</v>
      </c>
      <c r="P309" t="s">
        <v>1022</v>
      </c>
      <c r="Q309" t="s">
        <v>1614</v>
      </c>
    </row>
    <row r="310" spans="1:17">
      <c r="A310" t="s">
        <v>42</v>
      </c>
      <c r="B310" t="s">
        <v>1615</v>
      </c>
      <c r="C310" t="s">
        <v>405</v>
      </c>
      <c r="D310" t="s">
        <v>1008</v>
      </c>
      <c r="E310">
        <v>71.977000000000004</v>
      </c>
      <c r="F310" t="s">
        <v>1018</v>
      </c>
      <c r="G310" t="s">
        <v>1616</v>
      </c>
      <c r="H310" t="s">
        <v>1600</v>
      </c>
      <c r="I310" t="s">
        <v>1048</v>
      </c>
      <c r="J310" t="s">
        <v>987</v>
      </c>
      <c r="K310" t="b">
        <v>1</v>
      </c>
      <c r="L310" t="b">
        <v>0</v>
      </c>
      <c r="M310" t="s">
        <v>987</v>
      </c>
      <c r="N310" t="s">
        <v>1183</v>
      </c>
      <c r="O310" t="s">
        <v>990</v>
      </c>
      <c r="P310" t="s">
        <v>1022</v>
      </c>
      <c r="Q310" t="s">
        <v>987</v>
      </c>
    </row>
    <row r="311" spans="1:17">
      <c r="A311" t="s">
        <v>42</v>
      </c>
      <c r="B311" t="s">
        <v>1617</v>
      </c>
      <c r="C311" t="s">
        <v>405</v>
      </c>
      <c r="D311" t="s">
        <v>1010</v>
      </c>
      <c r="E311">
        <v>80.861999999999995</v>
      </c>
      <c r="F311" t="s">
        <v>1018</v>
      </c>
      <c r="G311" t="s">
        <v>1618</v>
      </c>
      <c r="H311" t="s">
        <v>1600</v>
      </c>
      <c r="I311" t="s">
        <v>1039</v>
      </c>
      <c r="J311" t="s">
        <v>987</v>
      </c>
      <c r="K311" t="b">
        <v>1</v>
      </c>
      <c r="L311" t="b">
        <v>0</v>
      </c>
      <c r="M311" t="s">
        <v>987</v>
      </c>
      <c r="N311" t="s">
        <v>1183</v>
      </c>
      <c r="O311" t="s">
        <v>990</v>
      </c>
      <c r="P311" t="s">
        <v>1022</v>
      </c>
      <c r="Q311" t="s">
        <v>987</v>
      </c>
    </row>
    <row r="312" spans="1:17">
      <c r="A312" t="s">
        <v>42</v>
      </c>
      <c r="B312" t="s">
        <v>1619</v>
      </c>
      <c r="C312" t="s">
        <v>405</v>
      </c>
      <c r="D312" t="s">
        <v>1012</v>
      </c>
      <c r="E312">
        <v>80.986000000000004</v>
      </c>
      <c r="F312" t="s">
        <v>1018</v>
      </c>
      <c r="G312" t="s">
        <v>1620</v>
      </c>
      <c r="H312" t="s">
        <v>1600</v>
      </c>
      <c r="I312" t="s">
        <v>1042</v>
      </c>
      <c r="J312" t="s">
        <v>987</v>
      </c>
      <c r="K312" t="b">
        <v>1</v>
      </c>
      <c r="L312" t="b">
        <v>0</v>
      </c>
      <c r="M312" t="s">
        <v>987</v>
      </c>
      <c r="N312" t="s">
        <v>1183</v>
      </c>
      <c r="O312" t="s">
        <v>990</v>
      </c>
      <c r="P312" t="s">
        <v>1022</v>
      </c>
      <c r="Q312" t="s">
        <v>987</v>
      </c>
    </row>
    <row r="313" spans="1:17">
      <c r="A313" t="s">
        <v>42</v>
      </c>
      <c r="B313" t="s">
        <v>1621</v>
      </c>
      <c r="C313" t="s">
        <v>405</v>
      </c>
      <c r="D313" t="s">
        <v>1014</v>
      </c>
      <c r="E313">
        <v>134.624</v>
      </c>
      <c r="F313" t="s">
        <v>1018</v>
      </c>
      <c r="G313" t="s">
        <v>1622</v>
      </c>
      <c r="H313" t="s">
        <v>1600</v>
      </c>
      <c r="I313" t="s">
        <v>987</v>
      </c>
      <c r="J313" t="s">
        <v>987</v>
      </c>
      <c r="K313" t="b">
        <v>1</v>
      </c>
      <c r="L313" t="b">
        <v>1</v>
      </c>
      <c r="M313" t="s">
        <v>1032</v>
      </c>
      <c r="N313" t="s">
        <v>1183</v>
      </c>
      <c r="O313" t="s">
        <v>990</v>
      </c>
      <c r="P313" t="s">
        <v>1022</v>
      </c>
      <c r="Q313" t="s">
        <v>1623</v>
      </c>
    </row>
    <row r="314" spans="1:17">
      <c r="A314" t="s">
        <v>42</v>
      </c>
      <c r="B314" t="s">
        <v>1624</v>
      </c>
      <c r="C314" t="s">
        <v>405</v>
      </c>
      <c r="D314" t="s">
        <v>1016</v>
      </c>
      <c r="E314">
        <v>140.405</v>
      </c>
      <c r="F314" t="s">
        <v>1018</v>
      </c>
      <c r="G314" t="s">
        <v>1625</v>
      </c>
      <c r="H314" t="s">
        <v>1600</v>
      </c>
      <c r="I314" t="s">
        <v>1048</v>
      </c>
      <c r="J314" t="s">
        <v>987</v>
      </c>
      <c r="K314" t="b">
        <v>1</v>
      </c>
      <c r="L314" t="b">
        <v>0</v>
      </c>
      <c r="M314" t="s">
        <v>987</v>
      </c>
      <c r="N314" t="s">
        <v>1183</v>
      </c>
      <c r="O314" t="s">
        <v>990</v>
      </c>
      <c r="P314" t="s">
        <v>1022</v>
      </c>
      <c r="Q314" t="s">
        <v>987</v>
      </c>
    </row>
    <row r="315" spans="1:17">
      <c r="A315" t="s">
        <v>42</v>
      </c>
      <c r="B315" t="s">
        <v>1626</v>
      </c>
      <c r="C315" t="s">
        <v>403</v>
      </c>
      <c r="D315" t="s">
        <v>985</v>
      </c>
      <c r="E315">
        <v>0</v>
      </c>
      <c r="F315" t="s">
        <v>1065</v>
      </c>
      <c r="G315" t="s">
        <v>987</v>
      </c>
      <c r="H315" t="s">
        <v>1600</v>
      </c>
      <c r="I315" t="s">
        <v>987</v>
      </c>
      <c r="J315" t="s">
        <v>987</v>
      </c>
      <c r="K315" t="b">
        <v>0</v>
      </c>
      <c r="L315" t="b">
        <v>1</v>
      </c>
      <c r="M315" t="s">
        <v>1067</v>
      </c>
      <c r="N315" t="s">
        <v>989</v>
      </c>
      <c r="O315" t="s">
        <v>1068</v>
      </c>
      <c r="P315" t="s">
        <v>1069</v>
      </c>
      <c r="Q315" t="s">
        <v>1070</v>
      </c>
    </row>
    <row r="316" spans="1:17">
      <c r="A316" t="s">
        <v>42</v>
      </c>
      <c r="B316" t="s">
        <v>1627</v>
      </c>
      <c r="C316" t="s">
        <v>403</v>
      </c>
      <c r="D316" t="s">
        <v>994</v>
      </c>
      <c r="E316">
        <v>5405</v>
      </c>
      <c r="F316" t="s">
        <v>1065</v>
      </c>
      <c r="G316" t="s">
        <v>987</v>
      </c>
      <c r="H316" t="s">
        <v>1600</v>
      </c>
      <c r="I316" t="s">
        <v>987</v>
      </c>
      <c r="J316" t="s">
        <v>987</v>
      </c>
      <c r="K316" t="b">
        <v>0</v>
      </c>
      <c r="L316" t="b">
        <v>1</v>
      </c>
      <c r="M316" t="s">
        <v>1067</v>
      </c>
      <c r="N316" t="s">
        <v>989</v>
      </c>
      <c r="O316" t="s">
        <v>1068</v>
      </c>
      <c r="P316" t="s">
        <v>1069</v>
      </c>
      <c r="Q316" t="s">
        <v>1070</v>
      </c>
    </row>
    <row r="317" spans="1:17">
      <c r="A317" t="s">
        <v>42</v>
      </c>
      <c r="B317" t="s">
        <v>1628</v>
      </c>
      <c r="C317" t="s">
        <v>403</v>
      </c>
      <c r="D317" t="s">
        <v>996</v>
      </c>
      <c r="E317">
        <v>5517</v>
      </c>
      <c r="F317" t="s">
        <v>1065</v>
      </c>
      <c r="G317" t="s">
        <v>987</v>
      </c>
      <c r="H317" t="s">
        <v>1600</v>
      </c>
      <c r="I317" t="s">
        <v>987</v>
      </c>
      <c r="J317" t="s">
        <v>987</v>
      </c>
      <c r="K317" t="b">
        <v>0</v>
      </c>
      <c r="L317" t="b">
        <v>1</v>
      </c>
      <c r="M317" t="s">
        <v>1067</v>
      </c>
      <c r="N317" t="s">
        <v>989</v>
      </c>
      <c r="O317" t="s">
        <v>1068</v>
      </c>
      <c r="P317" t="s">
        <v>1069</v>
      </c>
      <c r="Q317" t="s">
        <v>1070</v>
      </c>
    </row>
    <row r="318" spans="1:17">
      <c r="A318" t="s">
        <v>42</v>
      </c>
      <c r="B318" t="s">
        <v>1629</v>
      </c>
      <c r="C318" t="s">
        <v>403</v>
      </c>
      <c r="D318" t="s">
        <v>998</v>
      </c>
      <c r="E318">
        <v>5156</v>
      </c>
      <c r="F318" t="s">
        <v>1065</v>
      </c>
      <c r="G318" t="s">
        <v>987</v>
      </c>
      <c r="H318" t="s">
        <v>1600</v>
      </c>
      <c r="I318" t="s">
        <v>987</v>
      </c>
      <c r="J318" t="s">
        <v>987</v>
      </c>
      <c r="K318" t="b">
        <v>0</v>
      </c>
      <c r="L318" t="b">
        <v>1</v>
      </c>
      <c r="M318" t="s">
        <v>1067</v>
      </c>
      <c r="N318" t="s">
        <v>989</v>
      </c>
      <c r="O318" t="s">
        <v>1068</v>
      </c>
      <c r="P318" t="s">
        <v>1069</v>
      </c>
      <c r="Q318" t="s">
        <v>1070</v>
      </c>
    </row>
    <row r="319" spans="1:17">
      <c r="A319" t="s">
        <v>42</v>
      </c>
      <c r="B319" t="s">
        <v>1630</v>
      </c>
      <c r="C319" t="s">
        <v>403</v>
      </c>
      <c r="D319" t="s">
        <v>1000</v>
      </c>
      <c r="E319">
        <v>3452</v>
      </c>
      <c r="F319" t="s">
        <v>1065</v>
      </c>
      <c r="G319" t="s">
        <v>987</v>
      </c>
      <c r="H319" t="s">
        <v>1600</v>
      </c>
      <c r="I319" t="s">
        <v>987</v>
      </c>
      <c r="J319" t="s">
        <v>987</v>
      </c>
      <c r="K319" t="b">
        <v>0</v>
      </c>
      <c r="L319" t="b">
        <v>1</v>
      </c>
      <c r="M319" t="s">
        <v>1067</v>
      </c>
      <c r="N319" t="s">
        <v>989</v>
      </c>
      <c r="O319" t="s">
        <v>1068</v>
      </c>
      <c r="P319" t="s">
        <v>1069</v>
      </c>
      <c r="Q319" t="s">
        <v>1070</v>
      </c>
    </row>
    <row r="320" spans="1:17">
      <c r="A320" t="s">
        <v>42</v>
      </c>
      <c r="B320" t="s">
        <v>1631</v>
      </c>
      <c r="C320" t="s">
        <v>403</v>
      </c>
      <c r="D320" t="s">
        <v>1002</v>
      </c>
      <c r="E320">
        <v>3095</v>
      </c>
      <c r="F320" t="s">
        <v>1065</v>
      </c>
      <c r="G320" t="s">
        <v>987</v>
      </c>
      <c r="H320" t="s">
        <v>1600</v>
      </c>
      <c r="I320" t="s">
        <v>987</v>
      </c>
      <c r="J320" t="s">
        <v>987</v>
      </c>
      <c r="K320" t="b">
        <v>0</v>
      </c>
      <c r="L320" t="b">
        <v>1</v>
      </c>
      <c r="M320" t="s">
        <v>1067</v>
      </c>
      <c r="N320" t="s">
        <v>989</v>
      </c>
      <c r="O320" t="s">
        <v>1068</v>
      </c>
      <c r="P320" t="s">
        <v>1069</v>
      </c>
      <c r="Q320" t="s">
        <v>1070</v>
      </c>
    </row>
    <row r="321" spans="1:17">
      <c r="A321" t="s">
        <v>42</v>
      </c>
      <c r="B321" t="s">
        <v>1632</v>
      </c>
      <c r="C321" t="s">
        <v>403</v>
      </c>
      <c r="D321" t="s">
        <v>1004</v>
      </c>
      <c r="E321">
        <v>2439</v>
      </c>
      <c r="F321" t="s">
        <v>1065</v>
      </c>
      <c r="G321" t="s">
        <v>987</v>
      </c>
      <c r="H321" t="s">
        <v>1600</v>
      </c>
      <c r="I321" t="s">
        <v>987</v>
      </c>
      <c r="J321" t="s">
        <v>987</v>
      </c>
      <c r="K321" t="b">
        <v>0</v>
      </c>
      <c r="L321" t="b">
        <v>1</v>
      </c>
      <c r="M321" t="s">
        <v>1067</v>
      </c>
      <c r="N321" t="s">
        <v>989</v>
      </c>
      <c r="O321" t="s">
        <v>1068</v>
      </c>
      <c r="P321" t="s">
        <v>1069</v>
      </c>
      <c r="Q321" t="s">
        <v>1070</v>
      </c>
    </row>
    <row r="322" spans="1:17">
      <c r="A322" t="s">
        <v>42</v>
      </c>
      <c r="B322" t="s">
        <v>1633</v>
      </c>
      <c r="C322" t="s">
        <v>403</v>
      </c>
      <c r="D322" t="s">
        <v>1006</v>
      </c>
      <c r="E322">
        <v>2238</v>
      </c>
      <c r="F322" t="s">
        <v>1065</v>
      </c>
      <c r="G322" t="s">
        <v>987</v>
      </c>
      <c r="H322" t="s">
        <v>1600</v>
      </c>
      <c r="I322" t="s">
        <v>987</v>
      </c>
      <c r="J322" t="s">
        <v>987</v>
      </c>
      <c r="K322" t="b">
        <v>0</v>
      </c>
      <c r="L322" t="b">
        <v>1</v>
      </c>
      <c r="M322" t="s">
        <v>1067</v>
      </c>
      <c r="N322" t="s">
        <v>989</v>
      </c>
      <c r="O322" t="s">
        <v>1068</v>
      </c>
      <c r="P322" t="s">
        <v>1069</v>
      </c>
      <c r="Q322" t="s">
        <v>1070</v>
      </c>
    </row>
    <row r="323" spans="1:17">
      <c r="A323" t="s">
        <v>42</v>
      </c>
      <c r="B323" t="s">
        <v>1634</v>
      </c>
      <c r="C323" t="s">
        <v>403</v>
      </c>
      <c r="D323" t="s">
        <v>1008</v>
      </c>
      <c r="E323">
        <v>1727</v>
      </c>
      <c r="F323" t="s">
        <v>1065</v>
      </c>
      <c r="G323" t="s">
        <v>987</v>
      </c>
      <c r="H323" t="s">
        <v>1600</v>
      </c>
      <c r="I323" t="s">
        <v>987</v>
      </c>
      <c r="J323" t="s">
        <v>987</v>
      </c>
      <c r="K323" t="b">
        <v>0</v>
      </c>
      <c r="L323" t="b">
        <v>1</v>
      </c>
      <c r="M323" t="s">
        <v>1067</v>
      </c>
      <c r="N323" t="s">
        <v>989</v>
      </c>
      <c r="O323" t="s">
        <v>1068</v>
      </c>
      <c r="P323" t="s">
        <v>1069</v>
      </c>
      <c r="Q323" t="s">
        <v>1070</v>
      </c>
    </row>
    <row r="324" spans="1:17">
      <c r="A324" t="s">
        <v>42</v>
      </c>
      <c r="B324" t="s">
        <v>1635</v>
      </c>
      <c r="C324" t="s">
        <v>403</v>
      </c>
      <c r="D324" t="s">
        <v>1010</v>
      </c>
      <c r="E324">
        <v>1722</v>
      </c>
      <c r="F324" t="s">
        <v>1065</v>
      </c>
      <c r="G324" t="s">
        <v>987</v>
      </c>
      <c r="H324" t="s">
        <v>1600</v>
      </c>
      <c r="I324" t="s">
        <v>987</v>
      </c>
      <c r="J324" t="s">
        <v>987</v>
      </c>
      <c r="K324" t="b">
        <v>0</v>
      </c>
      <c r="L324" t="b">
        <v>1</v>
      </c>
      <c r="M324" t="s">
        <v>1067</v>
      </c>
      <c r="N324" t="s">
        <v>989</v>
      </c>
      <c r="O324" t="s">
        <v>1068</v>
      </c>
      <c r="P324" t="s">
        <v>1069</v>
      </c>
      <c r="Q324" t="s">
        <v>1070</v>
      </c>
    </row>
    <row r="325" spans="1:17">
      <c r="A325" t="s">
        <v>42</v>
      </c>
      <c r="B325" t="s">
        <v>1636</v>
      </c>
      <c r="C325" t="s">
        <v>403</v>
      </c>
      <c r="D325" t="s">
        <v>1012</v>
      </c>
      <c r="E325">
        <v>4134</v>
      </c>
      <c r="F325" t="s">
        <v>1065</v>
      </c>
      <c r="G325" t="s">
        <v>987</v>
      </c>
      <c r="H325" t="s">
        <v>1600</v>
      </c>
      <c r="I325" t="s">
        <v>987</v>
      </c>
      <c r="J325" t="s">
        <v>987</v>
      </c>
      <c r="K325" t="b">
        <v>0</v>
      </c>
      <c r="L325" t="b">
        <v>1</v>
      </c>
      <c r="M325" t="s">
        <v>1067</v>
      </c>
      <c r="N325" t="s">
        <v>989</v>
      </c>
      <c r="O325" t="s">
        <v>1068</v>
      </c>
      <c r="P325" t="s">
        <v>1069</v>
      </c>
      <c r="Q325" t="s">
        <v>1070</v>
      </c>
    </row>
    <row r="326" spans="1:17">
      <c r="A326" t="s">
        <v>42</v>
      </c>
      <c r="B326" t="s">
        <v>1637</v>
      </c>
      <c r="C326" t="s">
        <v>403</v>
      </c>
      <c r="D326" t="s">
        <v>1014</v>
      </c>
      <c r="E326">
        <v>3942</v>
      </c>
      <c r="F326" t="s">
        <v>1065</v>
      </c>
      <c r="G326" t="s">
        <v>987</v>
      </c>
      <c r="H326" t="s">
        <v>1600</v>
      </c>
      <c r="I326" t="s">
        <v>987</v>
      </c>
      <c r="J326" t="s">
        <v>987</v>
      </c>
      <c r="K326" t="b">
        <v>0</v>
      </c>
      <c r="L326" t="b">
        <v>1</v>
      </c>
      <c r="M326" t="s">
        <v>1067</v>
      </c>
      <c r="N326" t="s">
        <v>989</v>
      </c>
      <c r="O326" t="s">
        <v>1068</v>
      </c>
      <c r="P326" t="s">
        <v>1069</v>
      </c>
      <c r="Q326" t="s">
        <v>1070</v>
      </c>
    </row>
    <row r="327" spans="1:17">
      <c r="A327" t="s">
        <v>42</v>
      </c>
      <c r="B327" t="s">
        <v>1638</v>
      </c>
      <c r="C327" t="s">
        <v>403</v>
      </c>
      <c r="D327" t="s">
        <v>1016</v>
      </c>
      <c r="E327">
        <v>1117</v>
      </c>
      <c r="F327" t="s">
        <v>1065</v>
      </c>
      <c r="G327" t="s">
        <v>987</v>
      </c>
      <c r="H327" t="s">
        <v>1600</v>
      </c>
      <c r="I327" t="s">
        <v>987</v>
      </c>
      <c r="J327" t="s">
        <v>987</v>
      </c>
      <c r="K327" t="b">
        <v>0</v>
      </c>
      <c r="L327" t="b">
        <v>1</v>
      </c>
      <c r="M327" t="s">
        <v>1067</v>
      </c>
      <c r="N327" t="s">
        <v>989</v>
      </c>
      <c r="O327" t="s">
        <v>1068</v>
      </c>
      <c r="P327" t="s">
        <v>1069</v>
      </c>
      <c r="Q327" t="s">
        <v>1070</v>
      </c>
    </row>
    <row r="328" spans="1:17">
      <c r="A328" t="s">
        <v>42</v>
      </c>
      <c r="B328" t="s">
        <v>1639</v>
      </c>
      <c r="C328" t="s">
        <v>403</v>
      </c>
      <c r="D328" t="s">
        <v>985</v>
      </c>
      <c r="E328">
        <v>0</v>
      </c>
      <c r="F328" t="s">
        <v>1065</v>
      </c>
      <c r="G328" t="s">
        <v>987</v>
      </c>
      <c r="H328" t="s">
        <v>1600</v>
      </c>
      <c r="I328" t="s">
        <v>987</v>
      </c>
      <c r="J328" t="s">
        <v>987</v>
      </c>
      <c r="K328" t="b">
        <v>0</v>
      </c>
      <c r="L328" t="b">
        <v>1</v>
      </c>
      <c r="M328" t="s">
        <v>1067</v>
      </c>
      <c r="N328" t="s">
        <v>989</v>
      </c>
      <c r="O328" t="s">
        <v>1068</v>
      </c>
      <c r="P328" t="s">
        <v>1069</v>
      </c>
      <c r="Q328" t="s">
        <v>1070</v>
      </c>
    </row>
    <row r="329" spans="1:17">
      <c r="A329" t="s">
        <v>42</v>
      </c>
      <c r="B329" t="s">
        <v>1640</v>
      </c>
      <c r="C329" t="s">
        <v>403</v>
      </c>
      <c r="D329" t="s">
        <v>994</v>
      </c>
      <c r="E329">
        <v>-71</v>
      </c>
      <c r="F329" t="s">
        <v>1065</v>
      </c>
      <c r="G329" t="s">
        <v>987</v>
      </c>
      <c r="H329" t="s">
        <v>1600</v>
      </c>
      <c r="I329" t="s">
        <v>987</v>
      </c>
      <c r="J329" t="s">
        <v>987</v>
      </c>
      <c r="K329" t="b">
        <v>0</v>
      </c>
      <c r="L329" t="b">
        <v>1</v>
      </c>
      <c r="M329" t="s">
        <v>1067</v>
      </c>
      <c r="N329" t="s">
        <v>989</v>
      </c>
      <c r="O329" t="s">
        <v>1068</v>
      </c>
      <c r="P329" t="s">
        <v>1069</v>
      </c>
      <c r="Q329" t="s">
        <v>1070</v>
      </c>
    </row>
    <row r="330" spans="1:17">
      <c r="A330" t="s">
        <v>42</v>
      </c>
      <c r="B330" t="s">
        <v>1641</v>
      </c>
      <c r="C330" t="s">
        <v>403</v>
      </c>
      <c r="D330" t="s">
        <v>996</v>
      </c>
      <c r="E330">
        <v>-142</v>
      </c>
      <c r="F330" t="s">
        <v>1065</v>
      </c>
      <c r="G330" t="s">
        <v>987</v>
      </c>
      <c r="H330" t="s">
        <v>1600</v>
      </c>
      <c r="I330" t="s">
        <v>987</v>
      </c>
      <c r="J330" t="s">
        <v>987</v>
      </c>
      <c r="K330" t="b">
        <v>0</v>
      </c>
      <c r="L330" t="b">
        <v>1</v>
      </c>
      <c r="M330" t="s">
        <v>1067</v>
      </c>
      <c r="N330" t="s">
        <v>989</v>
      </c>
      <c r="O330" t="s">
        <v>1068</v>
      </c>
      <c r="P330" t="s">
        <v>1069</v>
      </c>
      <c r="Q330" t="s">
        <v>1070</v>
      </c>
    </row>
    <row r="331" spans="1:17">
      <c r="A331" t="s">
        <v>42</v>
      </c>
      <c r="B331" t="s">
        <v>1642</v>
      </c>
      <c r="C331" t="s">
        <v>403</v>
      </c>
      <c r="D331" t="s">
        <v>998</v>
      </c>
      <c r="E331">
        <v>-165</v>
      </c>
      <c r="F331" t="s">
        <v>1065</v>
      </c>
      <c r="G331" t="s">
        <v>987</v>
      </c>
      <c r="H331" t="s">
        <v>1600</v>
      </c>
      <c r="I331" t="s">
        <v>987</v>
      </c>
      <c r="J331" t="s">
        <v>987</v>
      </c>
      <c r="K331" t="b">
        <v>0</v>
      </c>
      <c r="L331" t="b">
        <v>1</v>
      </c>
      <c r="M331" t="s">
        <v>1067</v>
      </c>
      <c r="N331" t="s">
        <v>989</v>
      </c>
      <c r="O331" t="s">
        <v>1068</v>
      </c>
      <c r="P331" t="s">
        <v>1069</v>
      </c>
      <c r="Q331" t="s">
        <v>1070</v>
      </c>
    </row>
    <row r="332" spans="1:17">
      <c r="A332" t="s">
        <v>42</v>
      </c>
      <c r="B332" t="s">
        <v>1643</v>
      </c>
      <c r="C332" t="s">
        <v>403</v>
      </c>
      <c r="D332" t="s">
        <v>1000</v>
      </c>
      <c r="E332">
        <v>-209</v>
      </c>
      <c r="F332" t="s">
        <v>1065</v>
      </c>
      <c r="G332" t="s">
        <v>987</v>
      </c>
      <c r="H332" t="s">
        <v>1600</v>
      </c>
      <c r="I332" t="s">
        <v>987</v>
      </c>
      <c r="J332" t="s">
        <v>987</v>
      </c>
      <c r="K332" t="b">
        <v>0</v>
      </c>
      <c r="L332" t="b">
        <v>1</v>
      </c>
      <c r="M332" t="s">
        <v>1067</v>
      </c>
      <c r="N332" t="s">
        <v>989</v>
      </c>
      <c r="O332" t="s">
        <v>1068</v>
      </c>
      <c r="P332" t="s">
        <v>1069</v>
      </c>
      <c r="Q332" t="s">
        <v>1070</v>
      </c>
    </row>
    <row r="333" spans="1:17">
      <c r="A333" t="s">
        <v>42</v>
      </c>
      <c r="B333" t="s">
        <v>1644</v>
      </c>
      <c r="C333" t="s">
        <v>403</v>
      </c>
      <c r="D333" t="s">
        <v>1002</v>
      </c>
      <c r="E333">
        <v>-256</v>
      </c>
      <c r="F333" t="s">
        <v>1065</v>
      </c>
      <c r="G333" t="s">
        <v>987</v>
      </c>
      <c r="H333" t="s">
        <v>1600</v>
      </c>
      <c r="I333" t="s">
        <v>987</v>
      </c>
      <c r="J333" t="s">
        <v>987</v>
      </c>
      <c r="K333" t="b">
        <v>0</v>
      </c>
      <c r="L333" t="b">
        <v>1</v>
      </c>
      <c r="M333" t="s">
        <v>1067</v>
      </c>
      <c r="N333" t="s">
        <v>989</v>
      </c>
      <c r="O333" t="s">
        <v>1068</v>
      </c>
      <c r="P333" t="s">
        <v>1069</v>
      </c>
      <c r="Q333" t="s">
        <v>1070</v>
      </c>
    </row>
    <row r="334" spans="1:17">
      <c r="A334" t="s">
        <v>42</v>
      </c>
      <c r="B334" t="s">
        <v>1645</v>
      </c>
      <c r="C334" t="s">
        <v>403</v>
      </c>
      <c r="D334" t="s">
        <v>1004</v>
      </c>
      <c r="E334">
        <v>-187</v>
      </c>
      <c r="F334" t="s">
        <v>1065</v>
      </c>
      <c r="G334" t="s">
        <v>987</v>
      </c>
      <c r="H334" t="s">
        <v>1600</v>
      </c>
      <c r="I334" t="s">
        <v>987</v>
      </c>
      <c r="J334" t="s">
        <v>987</v>
      </c>
      <c r="K334" t="b">
        <v>0</v>
      </c>
      <c r="L334" t="b">
        <v>1</v>
      </c>
      <c r="M334" t="s">
        <v>1067</v>
      </c>
      <c r="N334" t="s">
        <v>989</v>
      </c>
      <c r="O334" t="s">
        <v>1068</v>
      </c>
      <c r="P334" t="s">
        <v>1069</v>
      </c>
      <c r="Q334" t="s">
        <v>1070</v>
      </c>
    </row>
    <row r="335" spans="1:17">
      <c r="A335" t="s">
        <v>42</v>
      </c>
      <c r="B335" t="s">
        <v>1646</v>
      </c>
      <c r="C335" t="s">
        <v>403</v>
      </c>
      <c r="D335" t="s">
        <v>1006</v>
      </c>
      <c r="E335">
        <v>-164</v>
      </c>
      <c r="F335" t="s">
        <v>1065</v>
      </c>
      <c r="G335" t="s">
        <v>987</v>
      </c>
      <c r="H335" t="s">
        <v>1600</v>
      </c>
      <c r="I335" t="s">
        <v>987</v>
      </c>
      <c r="J335" t="s">
        <v>987</v>
      </c>
      <c r="K335" t="b">
        <v>0</v>
      </c>
      <c r="L335" t="b">
        <v>1</v>
      </c>
      <c r="M335" t="s">
        <v>1067</v>
      </c>
      <c r="N335" t="s">
        <v>989</v>
      </c>
      <c r="O335" t="s">
        <v>1068</v>
      </c>
      <c r="P335" t="s">
        <v>1069</v>
      </c>
      <c r="Q335" t="s">
        <v>1070</v>
      </c>
    </row>
    <row r="336" spans="1:17">
      <c r="A336" t="s">
        <v>42</v>
      </c>
      <c r="B336" t="s">
        <v>1647</v>
      </c>
      <c r="C336" t="s">
        <v>403</v>
      </c>
      <c r="D336" t="s">
        <v>1008</v>
      </c>
      <c r="E336">
        <v>-136</v>
      </c>
      <c r="F336" t="s">
        <v>1065</v>
      </c>
      <c r="G336" t="s">
        <v>987</v>
      </c>
      <c r="H336" t="s">
        <v>1600</v>
      </c>
      <c r="I336" t="s">
        <v>987</v>
      </c>
      <c r="J336" t="s">
        <v>987</v>
      </c>
      <c r="K336" t="b">
        <v>0</v>
      </c>
      <c r="L336" t="b">
        <v>1</v>
      </c>
      <c r="M336" t="s">
        <v>1067</v>
      </c>
      <c r="N336" t="s">
        <v>989</v>
      </c>
      <c r="O336" t="s">
        <v>1068</v>
      </c>
      <c r="P336" t="s">
        <v>1069</v>
      </c>
      <c r="Q336" t="s">
        <v>1070</v>
      </c>
    </row>
    <row r="337" spans="1:17">
      <c r="A337" t="s">
        <v>42</v>
      </c>
      <c r="B337" t="s">
        <v>1648</v>
      </c>
      <c r="C337" t="s">
        <v>403</v>
      </c>
      <c r="D337" t="s">
        <v>1010</v>
      </c>
      <c r="E337">
        <v>-393</v>
      </c>
      <c r="F337" t="s">
        <v>1065</v>
      </c>
      <c r="G337" t="s">
        <v>987</v>
      </c>
      <c r="H337" t="s">
        <v>1600</v>
      </c>
      <c r="I337" t="s">
        <v>987</v>
      </c>
      <c r="J337" t="s">
        <v>987</v>
      </c>
      <c r="K337" t="b">
        <v>0</v>
      </c>
      <c r="L337" t="b">
        <v>1</v>
      </c>
      <c r="M337" t="s">
        <v>1067</v>
      </c>
      <c r="N337" t="s">
        <v>989</v>
      </c>
      <c r="O337" t="s">
        <v>1068</v>
      </c>
      <c r="P337" t="s">
        <v>1069</v>
      </c>
      <c r="Q337" t="s">
        <v>1070</v>
      </c>
    </row>
    <row r="338" spans="1:17">
      <c r="A338" t="s">
        <v>42</v>
      </c>
      <c r="B338" t="s">
        <v>1649</v>
      </c>
      <c r="C338" t="s">
        <v>403</v>
      </c>
      <c r="D338" t="s">
        <v>1012</v>
      </c>
      <c r="E338">
        <v>-285</v>
      </c>
      <c r="F338" t="s">
        <v>1065</v>
      </c>
      <c r="G338" t="s">
        <v>987</v>
      </c>
      <c r="H338" t="s">
        <v>1600</v>
      </c>
      <c r="I338" t="s">
        <v>987</v>
      </c>
      <c r="J338" t="s">
        <v>987</v>
      </c>
      <c r="K338" t="b">
        <v>0</v>
      </c>
      <c r="L338" t="b">
        <v>1</v>
      </c>
      <c r="M338" t="s">
        <v>1067</v>
      </c>
      <c r="N338" t="s">
        <v>989</v>
      </c>
      <c r="O338" t="s">
        <v>1068</v>
      </c>
      <c r="P338" t="s">
        <v>1069</v>
      </c>
      <c r="Q338" t="s">
        <v>1070</v>
      </c>
    </row>
    <row r="339" spans="1:17">
      <c r="A339" t="s">
        <v>42</v>
      </c>
      <c r="B339" t="s">
        <v>1650</v>
      </c>
      <c r="C339" t="s">
        <v>403</v>
      </c>
      <c r="D339" t="s">
        <v>1014</v>
      </c>
      <c r="E339">
        <v>-245</v>
      </c>
      <c r="F339" t="s">
        <v>1065</v>
      </c>
      <c r="G339" t="s">
        <v>987</v>
      </c>
      <c r="H339" t="s">
        <v>1600</v>
      </c>
      <c r="I339" t="s">
        <v>987</v>
      </c>
      <c r="J339" t="s">
        <v>987</v>
      </c>
      <c r="K339" t="b">
        <v>0</v>
      </c>
      <c r="L339" t="b">
        <v>1</v>
      </c>
      <c r="M339" t="s">
        <v>1067</v>
      </c>
      <c r="N339" t="s">
        <v>989</v>
      </c>
      <c r="O339" t="s">
        <v>1068</v>
      </c>
      <c r="P339" t="s">
        <v>1069</v>
      </c>
      <c r="Q339" t="s">
        <v>1070</v>
      </c>
    </row>
    <row r="340" spans="1:17">
      <c r="A340" t="s">
        <v>42</v>
      </c>
      <c r="B340" t="s">
        <v>1651</v>
      </c>
      <c r="C340" t="s">
        <v>403</v>
      </c>
      <c r="D340" t="s">
        <v>1016</v>
      </c>
      <c r="E340">
        <v>-136</v>
      </c>
      <c r="F340" t="s">
        <v>1065</v>
      </c>
      <c r="G340" t="s">
        <v>987</v>
      </c>
      <c r="H340" t="s">
        <v>1600</v>
      </c>
      <c r="I340" t="s">
        <v>987</v>
      </c>
      <c r="J340" t="s">
        <v>987</v>
      </c>
      <c r="K340" t="b">
        <v>0</v>
      </c>
      <c r="L340" t="b">
        <v>1</v>
      </c>
      <c r="M340" t="s">
        <v>1067</v>
      </c>
      <c r="N340" t="s">
        <v>989</v>
      </c>
      <c r="O340" t="s">
        <v>1068</v>
      </c>
      <c r="P340" t="s">
        <v>1069</v>
      </c>
      <c r="Q340" t="s">
        <v>1070</v>
      </c>
    </row>
    <row r="341" spans="1:17">
      <c r="A341" t="s">
        <v>42</v>
      </c>
      <c r="B341" t="s">
        <v>1652</v>
      </c>
      <c r="C341" t="s">
        <v>403</v>
      </c>
      <c r="D341" t="s">
        <v>985</v>
      </c>
      <c r="E341">
        <v>0</v>
      </c>
      <c r="F341" t="s">
        <v>1065</v>
      </c>
      <c r="G341" t="s">
        <v>987</v>
      </c>
      <c r="H341" t="s">
        <v>1600</v>
      </c>
      <c r="I341" t="s">
        <v>987</v>
      </c>
      <c r="J341" t="s">
        <v>987</v>
      </c>
      <c r="K341" t="b">
        <v>0</v>
      </c>
      <c r="L341" t="b">
        <v>1</v>
      </c>
      <c r="M341" t="s">
        <v>1067</v>
      </c>
      <c r="N341" t="s">
        <v>989</v>
      </c>
      <c r="O341" t="s">
        <v>1068</v>
      </c>
      <c r="P341" t="s">
        <v>1069</v>
      </c>
      <c r="Q341" t="s">
        <v>1070</v>
      </c>
    </row>
    <row r="342" spans="1:17">
      <c r="A342" t="s">
        <v>42</v>
      </c>
      <c r="B342" t="s">
        <v>1653</v>
      </c>
      <c r="C342" t="s">
        <v>403</v>
      </c>
      <c r="D342" t="s">
        <v>994</v>
      </c>
      <c r="E342">
        <v>0</v>
      </c>
      <c r="F342" t="s">
        <v>1065</v>
      </c>
      <c r="G342" t="s">
        <v>987</v>
      </c>
      <c r="H342" t="s">
        <v>1600</v>
      </c>
      <c r="I342" t="s">
        <v>987</v>
      </c>
      <c r="J342" t="s">
        <v>987</v>
      </c>
      <c r="K342" t="b">
        <v>0</v>
      </c>
      <c r="L342" t="b">
        <v>1</v>
      </c>
      <c r="M342" t="s">
        <v>1067</v>
      </c>
      <c r="N342" t="s">
        <v>989</v>
      </c>
      <c r="O342" t="s">
        <v>1068</v>
      </c>
      <c r="P342" t="s">
        <v>1069</v>
      </c>
      <c r="Q342" t="s">
        <v>1070</v>
      </c>
    </row>
    <row r="343" spans="1:17">
      <c r="A343" t="s">
        <v>42</v>
      </c>
      <c r="B343" t="s">
        <v>1654</v>
      </c>
      <c r="C343" t="s">
        <v>403</v>
      </c>
      <c r="D343" t="s">
        <v>996</v>
      </c>
      <c r="E343">
        <v>0</v>
      </c>
      <c r="F343" t="s">
        <v>1065</v>
      </c>
      <c r="G343" t="s">
        <v>987</v>
      </c>
      <c r="H343" t="s">
        <v>1600</v>
      </c>
      <c r="I343" t="s">
        <v>987</v>
      </c>
      <c r="J343" t="s">
        <v>987</v>
      </c>
      <c r="K343" t="b">
        <v>0</v>
      </c>
      <c r="L343" t="b">
        <v>1</v>
      </c>
      <c r="M343" t="s">
        <v>1067</v>
      </c>
      <c r="N343" t="s">
        <v>989</v>
      </c>
      <c r="O343" t="s">
        <v>1068</v>
      </c>
      <c r="P343" t="s">
        <v>1069</v>
      </c>
      <c r="Q343" t="s">
        <v>1070</v>
      </c>
    </row>
    <row r="344" spans="1:17">
      <c r="A344" t="s">
        <v>42</v>
      </c>
      <c r="B344" t="s">
        <v>1655</v>
      </c>
      <c r="C344" t="s">
        <v>403</v>
      </c>
      <c r="D344" t="s">
        <v>998</v>
      </c>
      <c r="E344">
        <v>0</v>
      </c>
      <c r="F344" t="s">
        <v>1065</v>
      </c>
      <c r="G344" t="s">
        <v>987</v>
      </c>
      <c r="H344" t="s">
        <v>1600</v>
      </c>
      <c r="I344" t="s">
        <v>987</v>
      </c>
      <c r="J344" t="s">
        <v>987</v>
      </c>
      <c r="K344" t="b">
        <v>0</v>
      </c>
      <c r="L344" t="b">
        <v>1</v>
      </c>
      <c r="M344" t="s">
        <v>1067</v>
      </c>
      <c r="N344" t="s">
        <v>989</v>
      </c>
      <c r="O344" t="s">
        <v>1068</v>
      </c>
      <c r="P344" t="s">
        <v>1069</v>
      </c>
      <c r="Q344" t="s">
        <v>1070</v>
      </c>
    </row>
    <row r="345" spans="1:17">
      <c r="A345" t="s">
        <v>42</v>
      </c>
      <c r="B345" t="s">
        <v>1656</v>
      </c>
      <c r="C345" t="s">
        <v>403</v>
      </c>
      <c r="D345" t="s">
        <v>1000</v>
      </c>
      <c r="E345">
        <v>0</v>
      </c>
      <c r="F345" t="s">
        <v>1065</v>
      </c>
      <c r="G345" t="s">
        <v>987</v>
      </c>
      <c r="H345" t="s">
        <v>1600</v>
      </c>
      <c r="I345" t="s">
        <v>987</v>
      </c>
      <c r="J345" t="s">
        <v>987</v>
      </c>
      <c r="K345" t="b">
        <v>0</v>
      </c>
      <c r="L345" t="b">
        <v>1</v>
      </c>
      <c r="M345" t="s">
        <v>1067</v>
      </c>
      <c r="N345" t="s">
        <v>989</v>
      </c>
      <c r="O345" t="s">
        <v>1068</v>
      </c>
      <c r="P345" t="s">
        <v>1069</v>
      </c>
      <c r="Q345" t="s">
        <v>1070</v>
      </c>
    </row>
    <row r="346" spans="1:17">
      <c r="A346" t="s">
        <v>42</v>
      </c>
      <c r="B346" t="s">
        <v>1657</v>
      </c>
      <c r="C346" t="s">
        <v>403</v>
      </c>
      <c r="D346" t="s">
        <v>1002</v>
      </c>
      <c r="E346">
        <v>0</v>
      </c>
      <c r="F346" t="s">
        <v>1065</v>
      </c>
      <c r="G346" t="s">
        <v>987</v>
      </c>
      <c r="H346" t="s">
        <v>1600</v>
      </c>
      <c r="I346" t="s">
        <v>987</v>
      </c>
      <c r="J346" t="s">
        <v>987</v>
      </c>
      <c r="K346" t="b">
        <v>0</v>
      </c>
      <c r="L346" t="b">
        <v>1</v>
      </c>
      <c r="M346" t="s">
        <v>1067</v>
      </c>
      <c r="N346" t="s">
        <v>989</v>
      </c>
      <c r="O346" t="s">
        <v>1068</v>
      </c>
      <c r="P346" t="s">
        <v>1069</v>
      </c>
      <c r="Q346" t="s">
        <v>1070</v>
      </c>
    </row>
    <row r="347" spans="1:17">
      <c r="A347" t="s">
        <v>42</v>
      </c>
      <c r="B347" t="s">
        <v>1658</v>
      </c>
      <c r="C347" t="s">
        <v>403</v>
      </c>
      <c r="D347" t="s">
        <v>1004</v>
      </c>
      <c r="E347">
        <v>0</v>
      </c>
      <c r="F347" t="s">
        <v>1065</v>
      </c>
      <c r="G347" t="s">
        <v>987</v>
      </c>
      <c r="H347" t="s">
        <v>1600</v>
      </c>
      <c r="I347" t="s">
        <v>987</v>
      </c>
      <c r="J347" t="s">
        <v>987</v>
      </c>
      <c r="K347" t="b">
        <v>0</v>
      </c>
      <c r="L347" t="b">
        <v>1</v>
      </c>
      <c r="M347" t="s">
        <v>1067</v>
      </c>
      <c r="N347" t="s">
        <v>989</v>
      </c>
      <c r="O347" t="s">
        <v>1068</v>
      </c>
      <c r="P347" t="s">
        <v>1069</v>
      </c>
      <c r="Q347" t="s">
        <v>1070</v>
      </c>
    </row>
    <row r="348" spans="1:17">
      <c r="A348" t="s">
        <v>42</v>
      </c>
      <c r="B348" t="s">
        <v>1659</v>
      </c>
      <c r="C348" t="s">
        <v>403</v>
      </c>
      <c r="D348" t="s">
        <v>1006</v>
      </c>
      <c r="E348">
        <v>0</v>
      </c>
      <c r="F348" t="s">
        <v>1065</v>
      </c>
      <c r="G348" t="s">
        <v>987</v>
      </c>
      <c r="H348" t="s">
        <v>1600</v>
      </c>
      <c r="I348" t="s">
        <v>987</v>
      </c>
      <c r="J348" t="s">
        <v>987</v>
      </c>
      <c r="K348" t="b">
        <v>0</v>
      </c>
      <c r="L348" t="b">
        <v>1</v>
      </c>
      <c r="M348" t="s">
        <v>1067</v>
      </c>
      <c r="N348" t="s">
        <v>989</v>
      </c>
      <c r="O348" t="s">
        <v>1068</v>
      </c>
      <c r="P348" t="s">
        <v>1069</v>
      </c>
      <c r="Q348" t="s">
        <v>1070</v>
      </c>
    </row>
    <row r="349" spans="1:17">
      <c r="A349" t="s">
        <v>42</v>
      </c>
      <c r="B349" t="s">
        <v>1660</v>
      </c>
      <c r="C349" t="s">
        <v>403</v>
      </c>
      <c r="D349" t="s">
        <v>1008</v>
      </c>
      <c r="E349">
        <v>0</v>
      </c>
      <c r="F349" t="s">
        <v>1065</v>
      </c>
      <c r="G349" t="s">
        <v>987</v>
      </c>
      <c r="H349" t="s">
        <v>1600</v>
      </c>
      <c r="I349" t="s">
        <v>987</v>
      </c>
      <c r="J349" t="s">
        <v>987</v>
      </c>
      <c r="K349" t="b">
        <v>0</v>
      </c>
      <c r="L349" t="b">
        <v>1</v>
      </c>
      <c r="M349" t="s">
        <v>1067</v>
      </c>
      <c r="N349" t="s">
        <v>989</v>
      </c>
      <c r="O349" t="s">
        <v>1068</v>
      </c>
      <c r="P349" t="s">
        <v>1069</v>
      </c>
      <c r="Q349" t="s">
        <v>1070</v>
      </c>
    </row>
    <row r="350" spans="1:17">
      <c r="A350" t="s">
        <v>42</v>
      </c>
      <c r="B350" t="s">
        <v>1661</v>
      </c>
      <c r="C350" t="s">
        <v>403</v>
      </c>
      <c r="D350" t="s">
        <v>1010</v>
      </c>
      <c r="E350">
        <v>0</v>
      </c>
      <c r="F350" t="s">
        <v>1065</v>
      </c>
      <c r="G350" t="s">
        <v>987</v>
      </c>
      <c r="H350" t="s">
        <v>1600</v>
      </c>
      <c r="I350" t="s">
        <v>987</v>
      </c>
      <c r="J350" t="s">
        <v>987</v>
      </c>
      <c r="K350" t="b">
        <v>0</v>
      </c>
      <c r="L350" t="b">
        <v>1</v>
      </c>
      <c r="M350" t="s">
        <v>1067</v>
      </c>
      <c r="N350" t="s">
        <v>989</v>
      </c>
      <c r="O350" t="s">
        <v>1068</v>
      </c>
      <c r="P350" t="s">
        <v>1069</v>
      </c>
      <c r="Q350" t="s">
        <v>1070</v>
      </c>
    </row>
    <row r="351" spans="1:17">
      <c r="A351" t="s">
        <v>42</v>
      </c>
      <c r="B351" t="s">
        <v>1662</v>
      </c>
      <c r="C351" t="s">
        <v>403</v>
      </c>
      <c r="D351" t="s">
        <v>1012</v>
      </c>
      <c r="E351">
        <v>0</v>
      </c>
      <c r="F351" t="s">
        <v>1065</v>
      </c>
      <c r="G351" t="s">
        <v>987</v>
      </c>
      <c r="H351" t="s">
        <v>1600</v>
      </c>
      <c r="I351" t="s">
        <v>987</v>
      </c>
      <c r="J351" t="s">
        <v>987</v>
      </c>
      <c r="K351" t="b">
        <v>0</v>
      </c>
      <c r="L351" t="b">
        <v>1</v>
      </c>
      <c r="M351" t="s">
        <v>1067</v>
      </c>
      <c r="N351" t="s">
        <v>989</v>
      </c>
      <c r="O351" t="s">
        <v>1068</v>
      </c>
      <c r="P351" t="s">
        <v>1069</v>
      </c>
      <c r="Q351" t="s">
        <v>1070</v>
      </c>
    </row>
    <row r="352" spans="1:17">
      <c r="A352" t="s">
        <v>42</v>
      </c>
      <c r="B352" t="s">
        <v>1663</v>
      </c>
      <c r="C352" t="s">
        <v>403</v>
      </c>
      <c r="D352" t="s">
        <v>1014</v>
      </c>
      <c r="E352">
        <v>0</v>
      </c>
      <c r="F352" t="s">
        <v>1065</v>
      </c>
      <c r="G352" t="s">
        <v>987</v>
      </c>
      <c r="H352" t="s">
        <v>1600</v>
      </c>
      <c r="I352" t="s">
        <v>987</v>
      </c>
      <c r="J352" t="s">
        <v>987</v>
      </c>
      <c r="K352" t="b">
        <v>0</v>
      </c>
      <c r="L352" t="b">
        <v>1</v>
      </c>
      <c r="M352" t="s">
        <v>1067</v>
      </c>
      <c r="N352" t="s">
        <v>989</v>
      </c>
      <c r="O352" t="s">
        <v>1068</v>
      </c>
      <c r="P352" t="s">
        <v>1069</v>
      </c>
      <c r="Q352" t="s">
        <v>1070</v>
      </c>
    </row>
    <row r="353" spans="1:17">
      <c r="A353" t="s">
        <v>42</v>
      </c>
      <c r="B353" t="s">
        <v>1664</v>
      </c>
      <c r="C353" t="s">
        <v>403</v>
      </c>
      <c r="D353" t="s">
        <v>1016</v>
      </c>
      <c r="E353">
        <v>0</v>
      </c>
      <c r="F353" t="s">
        <v>1065</v>
      </c>
      <c r="G353" t="s">
        <v>987</v>
      </c>
      <c r="H353" t="s">
        <v>1600</v>
      </c>
      <c r="I353" t="s">
        <v>987</v>
      </c>
      <c r="J353" t="s">
        <v>987</v>
      </c>
      <c r="K353" t="b">
        <v>0</v>
      </c>
      <c r="L353" t="b">
        <v>1</v>
      </c>
      <c r="M353" t="s">
        <v>1067</v>
      </c>
      <c r="N353" t="s">
        <v>989</v>
      </c>
      <c r="O353" t="s">
        <v>1068</v>
      </c>
      <c r="P353" t="s">
        <v>1069</v>
      </c>
      <c r="Q353" t="s">
        <v>1070</v>
      </c>
    </row>
    <row r="354" spans="1:17">
      <c r="A354" t="s">
        <v>42</v>
      </c>
      <c r="B354" t="s">
        <v>1665</v>
      </c>
      <c r="C354" t="s">
        <v>403</v>
      </c>
      <c r="D354" t="s">
        <v>985</v>
      </c>
      <c r="E354">
        <v>0</v>
      </c>
      <c r="F354" t="s">
        <v>1065</v>
      </c>
      <c r="G354" t="s">
        <v>987</v>
      </c>
      <c r="H354" t="s">
        <v>1600</v>
      </c>
      <c r="I354" t="s">
        <v>987</v>
      </c>
      <c r="J354" t="s">
        <v>987</v>
      </c>
      <c r="K354" t="b">
        <v>0</v>
      </c>
      <c r="L354" t="b">
        <v>1</v>
      </c>
      <c r="M354" t="s">
        <v>1067</v>
      </c>
      <c r="N354" t="s">
        <v>989</v>
      </c>
      <c r="O354" t="s">
        <v>1068</v>
      </c>
      <c r="P354" t="s">
        <v>1069</v>
      </c>
      <c r="Q354" t="s">
        <v>1070</v>
      </c>
    </row>
    <row r="355" spans="1:17">
      <c r="A355" t="s">
        <v>42</v>
      </c>
      <c r="B355" t="s">
        <v>1666</v>
      </c>
      <c r="C355" t="s">
        <v>403</v>
      </c>
      <c r="D355" t="s">
        <v>994</v>
      </c>
      <c r="E355">
        <v>15844</v>
      </c>
      <c r="F355" t="s">
        <v>1065</v>
      </c>
      <c r="G355" t="s">
        <v>987</v>
      </c>
      <c r="H355" t="s">
        <v>1600</v>
      </c>
      <c r="I355" t="s">
        <v>987</v>
      </c>
      <c r="J355" t="s">
        <v>987</v>
      </c>
      <c r="K355" t="b">
        <v>0</v>
      </c>
      <c r="L355" t="b">
        <v>1</v>
      </c>
      <c r="M355" t="s">
        <v>1067</v>
      </c>
      <c r="N355" t="s">
        <v>989</v>
      </c>
      <c r="O355" t="s">
        <v>1068</v>
      </c>
      <c r="P355" t="s">
        <v>1069</v>
      </c>
      <c r="Q355" t="s">
        <v>1070</v>
      </c>
    </row>
    <row r="356" spans="1:17">
      <c r="A356" t="s">
        <v>42</v>
      </c>
      <c r="B356" t="s">
        <v>1667</v>
      </c>
      <c r="C356" t="s">
        <v>403</v>
      </c>
      <c r="D356" t="s">
        <v>996</v>
      </c>
      <c r="E356">
        <v>15831</v>
      </c>
      <c r="F356" t="s">
        <v>1065</v>
      </c>
      <c r="G356" t="s">
        <v>987</v>
      </c>
      <c r="H356" t="s">
        <v>1600</v>
      </c>
      <c r="I356" t="s">
        <v>987</v>
      </c>
      <c r="J356" t="s">
        <v>987</v>
      </c>
      <c r="K356" t="b">
        <v>0</v>
      </c>
      <c r="L356" t="b">
        <v>1</v>
      </c>
      <c r="M356" t="s">
        <v>1067</v>
      </c>
      <c r="N356" t="s">
        <v>989</v>
      </c>
      <c r="O356" t="s">
        <v>1068</v>
      </c>
      <c r="P356" t="s">
        <v>1069</v>
      </c>
      <c r="Q356" t="s">
        <v>1070</v>
      </c>
    </row>
    <row r="357" spans="1:17">
      <c r="A357" t="s">
        <v>42</v>
      </c>
      <c r="B357" t="s">
        <v>1668</v>
      </c>
      <c r="C357" t="s">
        <v>403</v>
      </c>
      <c r="D357" t="s">
        <v>998</v>
      </c>
      <c r="E357">
        <v>15577</v>
      </c>
      <c r="F357" t="s">
        <v>1065</v>
      </c>
      <c r="G357" t="s">
        <v>987</v>
      </c>
      <c r="H357" t="s">
        <v>1600</v>
      </c>
      <c r="I357" t="s">
        <v>987</v>
      </c>
      <c r="J357" t="s">
        <v>987</v>
      </c>
      <c r="K357" t="b">
        <v>0</v>
      </c>
      <c r="L357" t="b">
        <v>1</v>
      </c>
      <c r="M357" t="s">
        <v>1067</v>
      </c>
      <c r="N357" t="s">
        <v>989</v>
      </c>
      <c r="O357" t="s">
        <v>1068</v>
      </c>
      <c r="P357" t="s">
        <v>1069</v>
      </c>
      <c r="Q357" t="s">
        <v>1070</v>
      </c>
    </row>
    <row r="358" spans="1:17">
      <c r="A358" t="s">
        <v>42</v>
      </c>
      <c r="B358" t="s">
        <v>1669</v>
      </c>
      <c r="C358" t="s">
        <v>403</v>
      </c>
      <c r="D358" t="s">
        <v>1000</v>
      </c>
      <c r="E358">
        <v>15501</v>
      </c>
      <c r="F358" t="s">
        <v>1065</v>
      </c>
      <c r="G358" t="s">
        <v>987</v>
      </c>
      <c r="H358" t="s">
        <v>1600</v>
      </c>
      <c r="I358" t="s">
        <v>987</v>
      </c>
      <c r="J358" t="s">
        <v>987</v>
      </c>
      <c r="K358" t="b">
        <v>0</v>
      </c>
      <c r="L358" t="b">
        <v>1</v>
      </c>
      <c r="M358" t="s">
        <v>1067</v>
      </c>
      <c r="N358" t="s">
        <v>989</v>
      </c>
      <c r="O358" t="s">
        <v>1068</v>
      </c>
      <c r="P358" t="s">
        <v>1069</v>
      </c>
      <c r="Q358" t="s">
        <v>1070</v>
      </c>
    </row>
    <row r="359" spans="1:17">
      <c r="A359" t="s">
        <v>42</v>
      </c>
      <c r="B359" t="s">
        <v>1670</v>
      </c>
      <c r="C359" t="s">
        <v>403</v>
      </c>
      <c r="D359" t="s">
        <v>1002</v>
      </c>
      <c r="E359">
        <v>17550</v>
      </c>
      <c r="F359" t="s">
        <v>1065</v>
      </c>
      <c r="G359" t="s">
        <v>987</v>
      </c>
      <c r="H359" t="s">
        <v>1600</v>
      </c>
      <c r="I359" t="s">
        <v>987</v>
      </c>
      <c r="J359" t="s">
        <v>987</v>
      </c>
      <c r="K359" t="b">
        <v>0</v>
      </c>
      <c r="L359" t="b">
        <v>1</v>
      </c>
      <c r="M359" t="s">
        <v>1067</v>
      </c>
      <c r="N359" t="s">
        <v>989</v>
      </c>
      <c r="O359" t="s">
        <v>1068</v>
      </c>
      <c r="P359" t="s">
        <v>1069</v>
      </c>
      <c r="Q359" t="s">
        <v>1070</v>
      </c>
    </row>
    <row r="360" spans="1:17">
      <c r="A360" t="s">
        <v>42</v>
      </c>
      <c r="B360" t="s">
        <v>1671</v>
      </c>
      <c r="C360" t="s">
        <v>403</v>
      </c>
      <c r="D360" t="s">
        <v>1004</v>
      </c>
      <c r="E360">
        <v>17547</v>
      </c>
      <c r="F360" t="s">
        <v>1065</v>
      </c>
      <c r="G360" t="s">
        <v>987</v>
      </c>
      <c r="H360" t="s">
        <v>1600</v>
      </c>
      <c r="I360" t="s">
        <v>987</v>
      </c>
      <c r="J360" t="s">
        <v>987</v>
      </c>
      <c r="K360" t="b">
        <v>0</v>
      </c>
      <c r="L360" t="b">
        <v>1</v>
      </c>
      <c r="M360" t="s">
        <v>1067</v>
      </c>
      <c r="N360" t="s">
        <v>989</v>
      </c>
      <c r="O360" t="s">
        <v>1068</v>
      </c>
      <c r="P360" t="s">
        <v>1069</v>
      </c>
      <c r="Q360" t="s">
        <v>1070</v>
      </c>
    </row>
    <row r="361" spans="1:17">
      <c r="A361" t="s">
        <v>42</v>
      </c>
      <c r="B361" t="s">
        <v>1672</v>
      </c>
      <c r="C361" t="s">
        <v>403</v>
      </c>
      <c r="D361" t="s">
        <v>1006</v>
      </c>
      <c r="E361">
        <v>17209</v>
      </c>
      <c r="F361" t="s">
        <v>1065</v>
      </c>
      <c r="G361" t="s">
        <v>987</v>
      </c>
      <c r="H361" t="s">
        <v>1600</v>
      </c>
      <c r="I361" t="s">
        <v>987</v>
      </c>
      <c r="J361" t="s">
        <v>987</v>
      </c>
      <c r="K361" t="b">
        <v>0</v>
      </c>
      <c r="L361" t="b">
        <v>1</v>
      </c>
      <c r="M361" t="s">
        <v>1067</v>
      </c>
      <c r="N361" t="s">
        <v>989</v>
      </c>
      <c r="O361" t="s">
        <v>1068</v>
      </c>
      <c r="P361" t="s">
        <v>1069</v>
      </c>
      <c r="Q361" t="s">
        <v>1070</v>
      </c>
    </row>
    <row r="362" spans="1:17">
      <c r="A362" t="s">
        <v>42</v>
      </c>
      <c r="B362" t="s">
        <v>1673</v>
      </c>
      <c r="C362" t="s">
        <v>403</v>
      </c>
      <c r="D362" t="s">
        <v>1008</v>
      </c>
      <c r="E362">
        <v>17365</v>
      </c>
      <c r="F362" t="s">
        <v>1065</v>
      </c>
      <c r="G362" t="s">
        <v>987</v>
      </c>
      <c r="H362" t="s">
        <v>1600</v>
      </c>
      <c r="I362" t="s">
        <v>987</v>
      </c>
      <c r="J362" t="s">
        <v>987</v>
      </c>
      <c r="K362" t="b">
        <v>0</v>
      </c>
      <c r="L362" t="b">
        <v>1</v>
      </c>
      <c r="M362" t="s">
        <v>1067</v>
      </c>
      <c r="N362" t="s">
        <v>989</v>
      </c>
      <c r="O362" t="s">
        <v>1068</v>
      </c>
      <c r="P362" t="s">
        <v>1069</v>
      </c>
      <c r="Q362" t="s">
        <v>1070</v>
      </c>
    </row>
    <row r="363" spans="1:17">
      <c r="A363" t="s">
        <v>42</v>
      </c>
      <c r="B363" t="s">
        <v>1674</v>
      </c>
      <c r="C363" t="s">
        <v>403</v>
      </c>
      <c r="D363" t="s">
        <v>1010</v>
      </c>
      <c r="E363">
        <v>20804</v>
      </c>
      <c r="F363" t="s">
        <v>1065</v>
      </c>
      <c r="G363" t="s">
        <v>987</v>
      </c>
      <c r="H363" t="s">
        <v>1600</v>
      </c>
      <c r="I363" t="s">
        <v>987</v>
      </c>
      <c r="J363" t="s">
        <v>987</v>
      </c>
      <c r="K363" t="b">
        <v>0</v>
      </c>
      <c r="L363" t="b">
        <v>1</v>
      </c>
      <c r="M363" t="s">
        <v>1067</v>
      </c>
      <c r="N363" t="s">
        <v>989</v>
      </c>
      <c r="O363" t="s">
        <v>1068</v>
      </c>
      <c r="P363" t="s">
        <v>1069</v>
      </c>
      <c r="Q363" t="s">
        <v>1070</v>
      </c>
    </row>
    <row r="364" spans="1:17">
      <c r="A364" t="s">
        <v>42</v>
      </c>
      <c r="B364" t="s">
        <v>1675</v>
      </c>
      <c r="C364" t="s">
        <v>403</v>
      </c>
      <c r="D364" t="s">
        <v>1012</v>
      </c>
      <c r="E364">
        <v>20806</v>
      </c>
      <c r="F364" t="s">
        <v>1065</v>
      </c>
      <c r="G364" t="s">
        <v>987</v>
      </c>
      <c r="H364" t="s">
        <v>1600</v>
      </c>
      <c r="I364" t="s">
        <v>987</v>
      </c>
      <c r="J364" t="s">
        <v>987</v>
      </c>
      <c r="K364" t="b">
        <v>0</v>
      </c>
      <c r="L364" t="b">
        <v>1</v>
      </c>
      <c r="M364" t="s">
        <v>1067</v>
      </c>
      <c r="N364" t="s">
        <v>989</v>
      </c>
      <c r="O364" t="s">
        <v>1068</v>
      </c>
      <c r="P364" t="s">
        <v>1069</v>
      </c>
      <c r="Q364" t="s">
        <v>1070</v>
      </c>
    </row>
    <row r="365" spans="1:17">
      <c r="A365" t="s">
        <v>42</v>
      </c>
      <c r="B365" t="s">
        <v>1676</v>
      </c>
      <c r="C365" t="s">
        <v>403</v>
      </c>
      <c r="D365" t="s">
        <v>1014</v>
      </c>
      <c r="E365">
        <v>21794</v>
      </c>
      <c r="F365" t="s">
        <v>1065</v>
      </c>
      <c r="G365" t="s">
        <v>987</v>
      </c>
      <c r="H365" t="s">
        <v>1600</v>
      </c>
      <c r="I365" t="s">
        <v>987</v>
      </c>
      <c r="J365" t="s">
        <v>987</v>
      </c>
      <c r="K365" t="b">
        <v>0</v>
      </c>
      <c r="L365" t="b">
        <v>1</v>
      </c>
      <c r="M365" t="s">
        <v>1067</v>
      </c>
      <c r="N365" t="s">
        <v>989</v>
      </c>
      <c r="O365" t="s">
        <v>1068</v>
      </c>
      <c r="P365" t="s">
        <v>1069</v>
      </c>
      <c r="Q365" t="s">
        <v>1070</v>
      </c>
    </row>
    <row r="366" spans="1:17">
      <c r="A366" t="s">
        <v>42</v>
      </c>
      <c r="B366" t="s">
        <v>1677</v>
      </c>
      <c r="C366" t="s">
        <v>403</v>
      </c>
      <c r="D366" t="s">
        <v>1016</v>
      </c>
      <c r="E366">
        <v>26211</v>
      </c>
      <c r="F366" t="s">
        <v>1065</v>
      </c>
      <c r="G366" t="s">
        <v>987</v>
      </c>
      <c r="H366" t="s">
        <v>1600</v>
      </c>
      <c r="I366" t="s">
        <v>987</v>
      </c>
      <c r="J366" t="s">
        <v>987</v>
      </c>
      <c r="K366" t="b">
        <v>0</v>
      </c>
      <c r="L366" t="b">
        <v>1</v>
      </c>
      <c r="M366" t="s">
        <v>1067</v>
      </c>
      <c r="N366" t="s">
        <v>989</v>
      </c>
      <c r="O366" t="s">
        <v>1068</v>
      </c>
      <c r="P366" t="s">
        <v>1069</v>
      </c>
      <c r="Q366" t="s">
        <v>1070</v>
      </c>
    </row>
    <row r="367" spans="1:17">
      <c r="A367" t="s">
        <v>44</v>
      </c>
      <c r="B367" t="s">
        <v>1678</v>
      </c>
      <c r="C367" t="s">
        <v>446</v>
      </c>
      <c r="D367" t="s">
        <v>985</v>
      </c>
      <c r="E367">
        <v>0</v>
      </c>
      <c r="F367" t="s">
        <v>986</v>
      </c>
      <c r="G367" t="s">
        <v>987</v>
      </c>
      <c r="H367" t="s">
        <v>1679</v>
      </c>
      <c r="I367" t="s">
        <v>987</v>
      </c>
      <c r="J367" t="s">
        <v>987</v>
      </c>
      <c r="K367" t="b">
        <v>1</v>
      </c>
      <c r="L367" t="b">
        <v>0</v>
      </c>
      <c r="M367" t="s">
        <v>987</v>
      </c>
      <c r="N367" t="s">
        <v>989</v>
      </c>
      <c r="O367" t="s">
        <v>1068</v>
      </c>
      <c r="P367" t="s">
        <v>1680</v>
      </c>
      <c r="Q367" t="s">
        <v>1681</v>
      </c>
    </row>
    <row r="368" spans="1:17">
      <c r="A368" t="s">
        <v>44</v>
      </c>
      <c r="B368" t="s">
        <v>1682</v>
      </c>
      <c r="C368" t="s">
        <v>446</v>
      </c>
      <c r="D368" t="s">
        <v>994</v>
      </c>
      <c r="E368">
        <v>0</v>
      </c>
      <c r="F368" t="s">
        <v>986</v>
      </c>
      <c r="G368" t="s">
        <v>987</v>
      </c>
      <c r="H368" t="s">
        <v>1679</v>
      </c>
      <c r="I368" t="s">
        <v>987</v>
      </c>
      <c r="J368" t="s">
        <v>987</v>
      </c>
      <c r="K368" t="b">
        <v>1</v>
      </c>
      <c r="L368" t="b">
        <v>0</v>
      </c>
      <c r="M368" t="s">
        <v>987</v>
      </c>
      <c r="N368" t="s">
        <v>989</v>
      </c>
      <c r="O368" t="s">
        <v>1068</v>
      </c>
      <c r="P368" t="s">
        <v>1680</v>
      </c>
      <c r="Q368" t="s">
        <v>1681</v>
      </c>
    </row>
    <row r="369" spans="1:17">
      <c r="A369" t="s">
        <v>44</v>
      </c>
      <c r="B369" t="s">
        <v>1683</v>
      </c>
      <c r="C369" t="s">
        <v>446</v>
      </c>
      <c r="D369" t="s">
        <v>996</v>
      </c>
      <c r="E369">
        <v>0</v>
      </c>
      <c r="F369" t="s">
        <v>986</v>
      </c>
      <c r="G369" t="s">
        <v>987</v>
      </c>
      <c r="H369" t="s">
        <v>1679</v>
      </c>
      <c r="I369" t="s">
        <v>987</v>
      </c>
      <c r="J369" t="s">
        <v>987</v>
      </c>
      <c r="K369" t="b">
        <v>1</v>
      </c>
      <c r="L369" t="b">
        <v>0</v>
      </c>
      <c r="M369" t="s">
        <v>987</v>
      </c>
      <c r="N369" t="s">
        <v>989</v>
      </c>
      <c r="O369" t="s">
        <v>1068</v>
      </c>
      <c r="P369" t="s">
        <v>1680</v>
      </c>
      <c r="Q369" t="s">
        <v>1681</v>
      </c>
    </row>
    <row r="370" spans="1:17">
      <c r="A370" t="s">
        <v>44</v>
      </c>
      <c r="B370" t="s">
        <v>1684</v>
      </c>
      <c r="C370" t="s">
        <v>446</v>
      </c>
      <c r="D370" t="s">
        <v>998</v>
      </c>
      <c r="E370">
        <v>0</v>
      </c>
      <c r="F370" t="s">
        <v>986</v>
      </c>
      <c r="G370" t="s">
        <v>987</v>
      </c>
      <c r="H370" t="s">
        <v>1679</v>
      </c>
      <c r="I370" t="s">
        <v>987</v>
      </c>
      <c r="J370" t="s">
        <v>987</v>
      </c>
      <c r="K370" t="b">
        <v>1</v>
      </c>
      <c r="L370" t="b">
        <v>0</v>
      </c>
      <c r="M370" t="s">
        <v>987</v>
      </c>
      <c r="N370" t="s">
        <v>989</v>
      </c>
      <c r="O370" t="s">
        <v>1068</v>
      </c>
      <c r="P370" t="s">
        <v>1680</v>
      </c>
      <c r="Q370" t="s">
        <v>1681</v>
      </c>
    </row>
    <row r="371" spans="1:17">
      <c r="A371" t="s">
        <v>44</v>
      </c>
      <c r="B371" t="s">
        <v>1685</v>
      </c>
      <c r="C371" t="s">
        <v>446</v>
      </c>
      <c r="D371" t="s">
        <v>1000</v>
      </c>
      <c r="E371">
        <v>0</v>
      </c>
      <c r="F371" t="s">
        <v>986</v>
      </c>
      <c r="G371" t="s">
        <v>987</v>
      </c>
      <c r="H371" t="s">
        <v>1679</v>
      </c>
      <c r="I371" t="s">
        <v>987</v>
      </c>
      <c r="J371" t="s">
        <v>987</v>
      </c>
      <c r="K371" t="b">
        <v>1</v>
      </c>
      <c r="L371" t="b">
        <v>0</v>
      </c>
      <c r="M371" t="s">
        <v>987</v>
      </c>
      <c r="N371" t="s">
        <v>989</v>
      </c>
      <c r="O371" t="s">
        <v>1068</v>
      </c>
      <c r="P371" t="s">
        <v>1680</v>
      </c>
      <c r="Q371" t="s">
        <v>1681</v>
      </c>
    </row>
    <row r="372" spans="1:17">
      <c r="A372" t="s">
        <v>44</v>
      </c>
      <c r="B372" t="s">
        <v>1686</v>
      </c>
      <c r="C372" t="s">
        <v>446</v>
      </c>
      <c r="D372" t="s">
        <v>1002</v>
      </c>
      <c r="E372">
        <v>0</v>
      </c>
      <c r="F372" t="s">
        <v>986</v>
      </c>
      <c r="G372" t="s">
        <v>987</v>
      </c>
      <c r="H372" t="s">
        <v>1679</v>
      </c>
      <c r="I372" t="s">
        <v>987</v>
      </c>
      <c r="J372" t="s">
        <v>987</v>
      </c>
      <c r="K372" t="b">
        <v>1</v>
      </c>
      <c r="L372" t="b">
        <v>0</v>
      </c>
      <c r="M372" t="s">
        <v>987</v>
      </c>
      <c r="N372" t="s">
        <v>989</v>
      </c>
      <c r="O372" t="s">
        <v>1068</v>
      </c>
      <c r="P372" t="s">
        <v>1680</v>
      </c>
      <c r="Q372" t="s">
        <v>1681</v>
      </c>
    </row>
    <row r="373" spans="1:17">
      <c r="A373" t="s">
        <v>44</v>
      </c>
      <c r="B373" t="s">
        <v>1687</v>
      </c>
      <c r="C373" t="s">
        <v>446</v>
      </c>
      <c r="D373" t="s">
        <v>1004</v>
      </c>
      <c r="E373">
        <v>0</v>
      </c>
      <c r="F373" t="s">
        <v>986</v>
      </c>
      <c r="G373" t="s">
        <v>987</v>
      </c>
      <c r="H373" t="s">
        <v>1679</v>
      </c>
      <c r="I373" t="s">
        <v>987</v>
      </c>
      <c r="J373" t="s">
        <v>987</v>
      </c>
      <c r="K373" t="b">
        <v>1</v>
      </c>
      <c r="L373" t="b">
        <v>0</v>
      </c>
      <c r="M373" t="s">
        <v>987</v>
      </c>
      <c r="N373" t="s">
        <v>989</v>
      </c>
      <c r="O373" t="s">
        <v>1068</v>
      </c>
      <c r="P373" t="s">
        <v>1680</v>
      </c>
      <c r="Q373" t="s">
        <v>1681</v>
      </c>
    </row>
    <row r="374" spans="1:17">
      <c r="A374" t="s">
        <v>44</v>
      </c>
      <c r="B374" t="s">
        <v>1688</v>
      </c>
      <c r="C374" t="s">
        <v>446</v>
      </c>
      <c r="D374" t="s">
        <v>1006</v>
      </c>
      <c r="E374">
        <v>0</v>
      </c>
      <c r="F374" t="s">
        <v>986</v>
      </c>
      <c r="G374" t="s">
        <v>987</v>
      </c>
      <c r="H374" t="s">
        <v>1679</v>
      </c>
      <c r="I374" t="s">
        <v>987</v>
      </c>
      <c r="J374" t="s">
        <v>987</v>
      </c>
      <c r="K374" t="b">
        <v>1</v>
      </c>
      <c r="L374" t="b">
        <v>0</v>
      </c>
      <c r="M374" t="s">
        <v>987</v>
      </c>
      <c r="N374" t="s">
        <v>989</v>
      </c>
      <c r="O374" t="s">
        <v>1068</v>
      </c>
      <c r="P374" t="s">
        <v>1680</v>
      </c>
      <c r="Q374" t="s">
        <v>1681</v>
      </c>
    </row>
    <row r="375" spans="1:17">
      <c r="A375" t="s">
        <v>44</v>
      </c>
      <c r="B375" t="s">
        <v>1689</v>
      </c>
      <c r="C375" t="s">
        <v>446</v>
      </c>
      <c r="D375" t="s">
        <v>1008</v>
      </c>
      <c r="E375">
        <v>0</v>
      </c>
      <c r="F375" t="s">
        <v>986</v>
      </c>
      <c r="G375" t="s">
        <v>987</v>
      </c>
      <c r="H375" t="s">
        <v>1679</v>
      </c>
      <c r="I375" t="s">
        <v>987</v>
      </c>
      <c r="J375" t="s">
        <v>987</v>
      </c>
      <c r="K375" t="b">
        <v>1</v>
      </c>
      <c r="L375" t="b">
        <v>0</v>
      </c>
      <c r="M375" t="s">
        <v>987</v>
      </c>
      <c r="N375" t="s">
        <v>989</v>
      </c>
      <c r="O375" t="s">
        <v>1068</v>
      </c>
      <c r="P375" t="s">
        <v>1680</v>
      </c>
      <c r="Q375" t="s">
        <v>1681</v>
      </c>
    </row>
    <row r="376" spans="1:17">
      <c r="A376" t="s">
        <v>44</v>
      </c>
      <c r="B376" t="s">
        <v>1690</v>
      </c>
      <c r="C376" t="s">
        <v>446</v>
      </c>
      <c r="D376" t="s">
        <v>1010</v>
      </c>
      <c r="E376">
        <v>0</v>
      </c>
      <c r="F376" t="s">
        <v>986</v>
      </c>
      <c r="G376" t="s">
        <v>987</v>
      </c>
      <c r="H376" t="s">
        <v>1679</v>
      </c>
      <c r="I376" t="s">
        <v>987</v>
      </c>
      <c r="J376" t="s">
        <v>987</v>
      </c>
      <c r="K376" t="b">
        <v>1</v>
      </c>
      <c r="L376" t="b">
        <v>0</v>
      </c>
      <c r="M376" t="s">
        <v>987</v>
      </c>
      <c r="N376" t="s">
        <v>989</v>
      </c>
      <c r="O376" t="s">
        <v>1068</v>
      </c>
      <c r="P376" t="s">
        <v>1680</v>
      </c>
      <c r="Q376" t="s">
        <v>1681</v>
      </c>
    </row>
    <row r="377" spans="1:17">
      <c r="A377" t="s">
        <v>44</v>
      </c>
      <c r="B377" t="s">
        <v>1691</v>
      </c>
      <c r="C377" t="s">
        <v>446</v>
      </c>
      <c r="D377" t="s">
        <v>1012</v>
      </c>
      <c r="E377">
        <v>0</v>
      </c>
      <c r="F377" t="s">
        <v>986</v>
      </c>
      <c r="G377" t="s">
        <v>987</v>
      </c>
      <c r="H377" t="s">
        <v>1679</v>
      </c>
      <c r="I377" t="s">
        <v>987</v>
      </c>
      <c r="J377" t="s">
        <v>987</v>
      </c>
      <c r="K377" t="b">
        <v>1</v>
      </c>
      <c r="L377" t="b">
        <v>0</v>
      </c>
      <c r="M377" t="s">
        <v>987</v>
      </c>
      <c r="N377" t="s">
        <v>989</v>
      </c>
      <c r="O377" t="s">
        <v>1068</v>
      </c>
      <c r="P377" t="s">
        <v>1680</v>
      </c>
      <c r="Q377" t="s">
        <v>1681</v>
      </c>
    </row>
    <row r="378" spans="1:17">
      <c r="A378" t="s">
        <v>44</v>
      </c>
      <c r="B378" t="s">
        <v>1692</v>
      </c>
      <c r="C378" t="s">
        <v>446</v>
      </c>
      <c r="D378" t="s">
        <v>1014</v>
      </c>
      <c r="E378">
        <v>0</v>
      </c>
      <c r="F378" t="s">
        <v>986</v>
      </c>
      <c r="G378" t="s">
        <v>987</v>
      </c>
      <c r="H378" t="s">
        <v>1679</v>
      </c>
      <c r="I378" t="s">
        <v>987</v>
      </c>
      <c r="J378" t="s">
        <v>987</v>
      </c>
      <c r="K378" t="b">
        <v>1</v>
      </c>
      <c r="L378" t="b">
        <v>0</v>
      </c>
      <c r="M378" t="s">
        <v>987</v>
      </c>
      <c r="N378" t="s">
        <v>989</v>
      </c>
      <c r="O378" t="s">
        <v>1068</v>
      </c>
      <c r="P378" t="s">
        <v>1680</v>
      </c>
      <c r="Q378" t="s">
        <v>1681</v>
      </c>
    </row>
    <row r="379" spans="1:17">
      <c r="A379" t="s">
        <v>44</v>
      </c>
      <c r="B379" t="s">
        <v>1693</v>
      </c>
      <c r="C379" t="s">
        <v>446</v>
      </c>
      <c r="D379" t="s">
        <v>1016</v>
      </c>
      <c r="E379">
        <v>0</v>
      </c>
      <c r="F379" t="s">
        <v>986</v>
      </c>
      <c r="G379" t="s">
        <v>987</v>
      </c>
      <c r="H379" t="s">
        <v>1679</v>
      </c>
      <c r="I379" t="s">
        <v>987</v>
      </c>
      <c r="J379" t="s">
        <v>987</v>
      </c>
      <c r="K379" t="b">
        <v>1</v>
      </c>
      <c r="L379" t="b">
        <v>0</v>
      </c>
      <c r="M379" t="s">
        <v>987</v>
      </c>
      <c r="N379" t="s">
        <v>989</v>
      </c>
      <c r="O379" t="s">
        <v>1068</v>
      </c>
      <c r="P379" t="s">
        <v>1680</v>
      </c>
      <c r="Q379" t="s">
        <v>1681</v>
      </c>
    </row>
    <row r="380" spans="1:17">
      <c r="A380" t="s">
        <v>44</v>
      </c>
      <c r="B380" t="s">
        <v>1120</v>
      </c>
      <c r="C380" t="s">
        <v>446</v>
      </c>
      <c r="D380" t="s">
        <v>985</v>
      </c>
      <c r="E380">
        <v>0</v>
      </c>
      <c r="F380" t="s">
        <v>986</v>
      </c>
      <c r="G380" t="s">
        <v>987</v>
      </c>
      <c r="H380" t="s">
        <v>1679</v>
      </c>
      <c r="I380" t="s">
        <v>987</v>
      </c>
      <c r="J380" t="s">
        <v>987</v>
      </c>
      <c r="K380" t="b">
        <v>1</v>
      </c>
      <c r="L380" t="b">
        <v>0</v>
      </c>
      <c r="M380" t="s">
        <v>987</v>
      </c>
      <c r="N380" t="s">
        <v>989</v>
      </c>
      <c r="O380" t="s">
        <v>1068</v>
      </c>
      <c r="P380" t="s">
        <v>1680</v>
      </c>
      <c r="Q380" t="s">
        <v>1681</v>
      </c>
    </row>
    <row r="381" spans="1:17">
      <c r="A381" t="s">
        <v>44</v>
      </c>
      <c r="B381" t="s">
        <v>1122</v>
      </c>
      <c r="C381" t="s">
        <v>446</v>
      </c>
      <c r="D381" t="s">
        <v>994</v>
      </c>
      <c r="E381">
        <v>0</v>
      </c>
      <c r="F381" t="s">
        <v>986</v>
      </c>
      <c r="G381" t="s">
        <v>987</v>
      </c>
      <c r="H381" t="s">
        <v>1679</v>
      </c>
      <c r="I381" t="s">
        <v>987</v>
      </c>
      <c r="J381" t="s">
        <v>987</v>
      </c>
      <c r="K381" t="b">
        <v>1</v>
      </c>
      <c r="L381" t="b">
        <v>0</v>
      </c>
      <c r="M381" t="s">
        <v>987</v>
      </c>
      <c r="N381" t="s">
        <v>989</v>
      </c>
      <c r="O381" t="s">
        <v>1068</v>
      </c>
      <c r="P381" t="s">
        <v>1680</v>
      </c>
      <c r="Q381" t="s">
        <v>1681</v>
      </c>
    </row>
    <row r="382" spans="1:17">
      <c r="A382" t="s">
        <v>44</v>
      </c>
      <c r="B382" t="s">
        <v>1124</v>
      </c>
      <c r="C382" t="s">
        <v>446</v>
      </c>
      <c r="D382" t="s">
        <v>996</v>
      </c>
      <c r="E382">
        <v>0</v>
      </c>
      <c r="F382" t="s">
        <v>986</v>
      </c>
      <c r="G382" t="s">
        <v>987</v>
      </c>
      <c r="H382" t="s">
        <v>1679</v>
      </c>
      <c r="I382" t="s">
        <v>987</v>
      </c>
      <c r="J382" t="s">
        <v>987</v>
      </c>
      <c r="K382" t="b">
        <v>1</v>
      </c>
      <c r="L382" t="b">
        <v>0</v>
      </c>
      <c r="M382" t="s">
        <v>987</v>
      </c>
      <c r="N382" t="s">
        <v>989</v>
      </c>
      <c r="O382" t="s">
        <v>1068</v>
      </c>
      <c r="P382" t="s">
        <v>1680</v>
      </c>
      <c r="Q382" t="s">
        <v>1681</v>
      </c>
    </row>
    <row r="383" spans="1:17">
      <c r="A383" t="s">
        <v>44</v>
      </c>
      <c r="B383" t="s">
        <v>1126</v>
      </c>
      <c r="C383" t="s">
        <v>446</v>
      </c>
      <c r="D383" t="s">
        <v>998</v>
      </c>
      <c r="E383">
        <v>0</v>
      </c>
      <c r="F383" t="s">
        <v>986</v>
      </c>
      <c r="G383" t="s">
        <v>987</v>
      </c>
      <c r="H383" t="s">
        <v>1679</v>
      </c>
      <c r="I383" t="s">
        <v>987</v>
      </c>
      <c r="J383" t="s">
        <v>987</v>
      </c>
      <c r="K383" t="b">
        <v>1</v>
      </c>
      <c r="L383" t="b">
        <v>0</v>
      </c>
      <c r="M383" t="s">
        <v>987</v>
      </c>
      <c r="N383" t="s">
        <v>989</v>
      </c>
      <c r="O383" t="s">
        <v>1068</v>
      </c>
      <c r="P383" t="s">
        <v>1680</v>
      </c>
      <c r="Q383" t="s">
        <v>1681</v>
      </c>
    </row>
    <row r="384" spans="1:17">
      <c r="A384" t="s">
        <v>44</v>
      </c>
      <c r="B384" t="s">
        <v>1129</v>
      </c>
      <c r="C384" t="s">
        <v>446</v>
      </c>
      <c r="D384" t="s">
        <v>1000</v>
      </c>
      <c r="E384">
        <v>0</v>
      </c>
      <c r="F384" t="s">
        <v>986</v>
      </c>
      <c r="G384" t="s">
        <v>987</v>
      </c>
      <c r="H384" t="s">
        <v>1679</v>
      </c>
      <c r="I384" t="s">
        <v>987</v>
      </c>
      <c r="J384" t="s">
        <v>987</v>
      </c>
      <c r="K384" t="b">
        <v>1</v>
      </c>
      <c r="L384" t="b">
        <v>0</v>
      </c>
      <c r="M384" t="s">
        <v>987</v>
      </c>
      <c r="N384" t="s">
        <v>989</v>
      </c>
      <c r="O384" t="s">
        <v>1068</v>
      </c>
      <c r="P384" t="s">
        <v>1680</v>
      </c>
      <c r="Q384" t="s">
        <v>1681</v>
      </c>
    </row>
    <row r="385" spans="1:17">
      <c r="A385" t="s">
        <v>44</v>
      </c>
      <c r="B385" t="s">
        <v>1131</v>
      </c>
      <c r="C385" t="s">
        <v>446</v>
      </c>
      <c r="D385" t="s">
        <v>1002</v>
      </c>
      <c r="E385">
        <v>0</v>
      </c>
      <c r="F385" t="s">
        <v>986</v>
      </c>
      <c r="G385" t="s">
        <v>987</v>
      </c>
      <c r="H385" t="s">
        <v>1679</v>
      </c>
      <c r="I385" t="s">
        <v>987</v>
      </c>
      <c r="J385" t="s">
        <v>987</v>
      </c>
      <c r="K385" t="b">
        <v>1</v>
      </c>
      <c r="L385" t="b">
        <v>0</v>
      </c>
      <c r="M385" t="s">
        <v>987</v>
      </c>
      <c r="N385" t="s">
        <v>989</v>
      </c>
      <c r="O385" t="s">
        <v>1068</v>
      </c>
      <c r="P385" t="s">
        <v>1680</v>
      </c>
      <c r="Q385" t="s">
        <v>1681</v>
      </c>
    </row>
    <row r="386" spans="1:17">
      <c r="A386" t="s">
        <v>44</v>
      </c>
      <c r="B386" t="s">
        <v>1133</v>
      </c>
      <c r="C386" t="s">
        <v>446</v>
      </c>
      <c r="D386" t="s">
        <v>1004</v>
      </c>
      <c r="E386">
        <v>0</v>
      </c>
      <c r="F386" t="s">
        <v>986</v>
      </c>
      <c r="G386" t="s">
        <v>987</v>
      </c>
      <c r="H386" t="s">
        <v>1679</v>
      </c>
      <c r="I386" t="s">
        <v>987</v>
      </c>
      <c r="J386" t="s">
        <v>987</v>
      </c>
      <c r="K386" t="b">
        <v>1</v>
      </c>
      <c r="L386" t="b">
        <v>0</v>
      </c>
      <c r="M386" t="s">
        <v>987</v>
      </c>
      <c r="N386" t="s">
        <v>989</v>
      </c>
      <c r="O386" t="s">
        <v>1068</v>
      </c>
      <c r="P386" t="s">
        <v>1680</v>
      </c>
      <c r="Q386" t="s">
        <v>1681</v>
      </c>
    </row>
    <row r="387" spans="1:17">
      <c r="A387" t="s">
        <v>44</v>
      </c>
      <c r="B387" t="s">
        <v>1135</v>
      </c>
      <c r="C387" t="s">
        <v>446</v>
      </c>
      <c r="D387" t="s">
        <v>1006</v>
      </c>
      <c r="E387">
        <v>0</v>
      </c>
      <c r="F387" t="s">
        <v>986</v>
      </c>
      <c r="G387" t="s">
        <v>987</v>
      </c>
      <c r="H387" t="s">
        <v>1679</v>
      </c>
      <c r="I387" t="s">
        <v>987</v>
      </c>
      <c r="J387" t="s">
        <v>987</v>
      </c>
      <c r="K387" t="b">
        <v>1</v>
      </c>
      <c r="L387" t="b">
        <v>0</v>
      </c>
      <c r="M387" t="s">
        <v>987</v>
      </c>
      <c r="N387" t="s">
        <v>989</v>
      </c>
      <c r="O387" t="s">
        <v>1068</v>
      </c>
      <c r="P387" t="s">
        <v>1680</v>
      </c>
      <c r="Q387" t="s">
        <v>1681</v>
      </c>
    </row>
    <row r="388" spans="1:17">
      <c r="A388" t="s">
        <v>44</v>
      </c>
      <c r="B388" t="s">
        <v>1138</v>
      </c>
      <c r="C388" t="s">
        <v>446</v>
      </c>
      <c r="D388" t="s">
        <v>1008</v>
      </c>
      <c r="E388">
        <v>0</v>
      </c>
      <c r="F388" t="s">
        <v>986</v>
      </c>
      <c r="G388" t="s">
        <v>987</v>
      </c>
      <c r="H388" t="s">
        <v>1679</v>
      </c>
      <c r="I388" t="s">
        <v>987</v>
      </c>
      <c r="J388" t="s">
        <v>987</v>
      </c>
      <c r="K388" t="b">
        <v>1</v>
      </c>
      <c r="L388" t="b">
        <v>0</v>
      </c>
      <c r="M388" t="s">
        <v>987</v>
      </c>
      <c r="N388" t="s">
        <v>989</v>
      </c>
      <c r="O388" t="s">
        <v>1068</v>
      </c>
      <c r="P388" t="s">
        <v>1680</v>
      </c>
      <c r="Q388" t="s">
        <v>1681</v>
      </c>
    </row>
    <row r="389" spans="1:17">
      <c r="A389" t="s">
        <v>44</v>
      </c>
      <c r="B389" t="s">
        <v>1140</v>
      </c>
      <c r="C389" t="s">
        <v>446</v>
      </c>
      <c r="D389" t="s">
        <v>1010</v>
      </c>
      <c r="E389">
        <v>0</v>
      </c>
      <c r="F389" t="s">
        <v>986</v>
      </c>
      <c r="G389" t="s">
        <v>987</v>
      </c>
      <c r="H389" t="s">
        <v>1679</v>
      </c>
      <c r="I389" t="s">
        <v>987</v>
      </c>
      <c r="J389" t="s">
        <v>987</v>
      </c>
      <c r="K389" t="b">
        <v>1</v>
      </c>
      <c r="L389" t="b">
        <v>0</v>
      </c>
      <c r="M389" t="s">
        <v>987</v>
      </c>
      <c r="N389" t="s">
        <v>989</v>
      </c>
      <c r="O389" t="s">
        <v>1068</v>
      </c>
      <c r="P389" t="s">
        <v>1680</v>
      </c>
      <c r="Q389" t="s">
        <v>1681</v>
      </c>
    </row>
    <row r="390" spans="1:17">
      <c r="A390" t="s">
        <v>44</v>
      </c>
      <c r="B390" t="s">
        <v>1142</v>
      </c>
      <c r="C390" t="s">
        <v>446</v>
      </c>
      <c r="D390" t="s">
        <v>1012</v>
      </c>
      <c r="E390">
        <v>0</v>
      </c>
      <c r="F390" t="s">
        <v>986</v>
      </c>
      <c r="G390" t="s">
        <v>987</v>
      </c>
      <c r="H390" t="s">
        <v>1679</v>
      </c>
      <c r="I390" t="s">
        <v>987</v>
      </c>
      <c r="J390" t="s">
        <v>987</v>
      </c>
      <c r="K390" t="b">
        <v>1</v>
      </c>
      <c r="L390" t="b">
        <v>0</v>
      </c>
      <c r="M390" t="s">
        <v>987</v>
      </c>
      <c r="N390" t="s">
        <v>989</v>
      </c>
      <c r="O390" t="s">
        <v>1068</v>
      </c>
      <c r="P390" t="s">
        <v>1680</v>
      </c>
      <c r="Q390" t="s">
        <v>1681</v>
      </c>
    </row>
    <row r="391" spans="1:17">
      <c r="A391" t="s">
        <v>44</v>
      </c>
      <c r="B391" t="s">
        <v>1144</v>
      </c>
      <c r="C391" t="s">
        <v>446</v>
      </c>
      <c r="D391" t="s">
        <v>1014</v>
      </c>
      <c r="E391">
        <v>0</v>
      </c>
      <c r="F391" t="s">
        <v>986</v>
      </c>
      <c r="G391" t="s">
        <v>987</v>
      </c>
      <c r="H391" t="s">
        <v>1679</v>
      </c>
      <c r="I391" t="s">
        <v>987</v>
      </c>
      <c r="J391" t="s">
        <v>987</v>
      </c>
      <c r="K391" t="b">
        <v>1</v>
      </c>
      <c r="L391" t="b">
        <v>0</v>
      </c>
      <c r="M391" t="s">
        <v>987</v>
      </c>
      <c r="N391" t="s">
        <v>989</v>
      </c>
      <c r="O391" t="s">
        <v>1068</v>
      </c>
      <c r="P391" t="s">
        <v>1680</v>
      </c>
      <c r="Q391" t="s">
        <v>1681</v>
      </c>
    </row>
    <row r="392" spans="1:17">
      <c r="A392" t="s">
        <v>44</v>
      </c>
      <c r="B392" t="s">
        <v>1147</v>
      </c>
      <c r="C392" t="s">
        <v>446</v>
      </c>
      <c r="D392" t="s">
        <v>1016</v>
      </c>
      <c r="E392">
        <v>0</v>
      </c>
      <c r="F392" t="s">
        <v>986</v>
      </c>
      <c r="G392" t="s">
        <v>987</v>
      </c>
      <c r="H392" t="s">
        <v>1679</v>
      </c>
      <c r="I392" t="s">
        <v>987</v>
      </c>
      <c r="J392" t="s">
        <v>987</v>
      </c>
      <c r="K392" t="b">
        <v>1</v>
      </c>
      <c r="L392" t="b">
        <v>0</v>
      </c>
      <c r="M392" t="s">
        <v>987</v>
      </c>
      <c r="N392" t="s">
        <v>989</v>
      </c>
      <c r="O392" t="s">
        <v>1068</v>
      </c>
      <c r="P392" t="s">
        <v>1680</v>
      </c>
      <c r="Q392" t="s">
        <v>1681</v>
      </c>
    </row>
    <row r="393" spans="1:17">
      <c r="A393" t="s">
        <v>44</v>
      </c>
      <c r="B393" t="s">
        <v>1694</v>
      </c>
      <c r="C393" t="s">
        <v>446</v>
      </c>
      <c r="D393" t="s">
        <v>985</v>
      </c>
      <c r="E393">
        <v>0</v>
      </c>
      <c r="F393" t="s">
        <v>986</v>
      </c>
      <c r="G393" t="s">
        <v>987</v>
      </c>
      <c r="H393" t="s">
        <v>1679</v>
      </c>
      <c r="I393" t="s">
        <v>987</v>
      </c>
      <c r="J393" t="s">
        <v>987</v>
      </c>
      <c r="K393" t="b">
        <v>1</v>
      </c>
      <c r="L393" t="b">
        <v>0</v>
      </c>
      <c r="M393" t="s">
        <v>987</v>
      </c>
      <c r="N393" t="s">
        <v>989</v>
      </c>
      <c r="O393" t="s">
        <v>1068</v>
      </c>
      <c r="P393" t="s">
        <v>1680</v>
      </c>
      <c r="Q393" t="s">
        <v>1681</v>
      </c>
    </row>
    <row r="394" spans="1:17">
      <c r="A394" t="s">
        <v>44</v>
      </c>
      <c r="B394" t="s">
        <v>1695</v>
      </c>
      <c r="C394" t="s">
        <v>446</v>
      </c>
      <c r="D394" t="s">
        <v>994</v>
      </c>
      <c r="E394">
        <v>0</v>
      </c>
      <c r="F394" t="s">
        <v>986</v>
      </c>
      <c r="G394" t="s">
        <v>987</v>
      </c>
      <c r="H394" t="s">
        <v>1679</v>
      </c>
      <c r="I394" t="s">
        <v>987</v>
      </c>
      <c r="J394" t="s">
        <v>987</v>
      </c>
      <c r="K394" t="b">
        <v>1</v>
      </c>
      <c r="L394" t="b">
        <v>0</v>
      </c>
      <c r="M394" t="s">
        <v>987</v>
      </c>
      <c r="N394" t="s">
        <v>989</v>
      </c>
      <c r="O394" t="s">
        <v>1068</v>
      </c>
      <c r="P394" t="s">
        <v>1680</v>
      </c>
      <c r="Q394" t="s">
        <v>1681</v>
      </c>
    </row>
    <row r="395" spans="1:17">
      <c r="A395" t="s">
        <v>44</v>
      </c>
      <c r="B395" t="s">
        <v>1696</v>
      </c>
      <c r="C395" t="s">
        <v>446</v>
      </c>
      <c r="D395" t="s">
        <v>996</v>
      </c>
      <c r="E395">
        <v>0</v>
      </c>
      <c r="F395" t="s">
        <v>986</v>
      </c>
      <c r="G395" t="s">
        <v>987</v>
      </c>
      <c r="H395" t="s">
        <v>1679</v>
      </c>
      <c r="I395" t="s">
        <v>987</v>
      </c>
      <c r="J395" t="s">
        <v>987</v>
      </c>
      <c r="K395" t="b">
        <v>1</v>
      </c>
      <c r="L395" t="b">
        <v>0</v>
      </c>
      <c r="M395" t="s">
        <v>987</v>
      </c>
      <c r="N395" t="s">
        <v>989</v>
      </c>
      <c r="O395" t="s">
        <v>1068</v>
      </c>
      <c r="P395" t="s">
        <v>1680</v>
      </c>
      <c r="Q395" t="s">
        <v>1681</v>
      </c>
    </row>
    <row r="396" spans="1:17">
      <c r="A396" t="s">
        <v>44</v>
      </c>
      <c r="B396" t="s">
        <v>1697</v>
      </c>
      <c r="C396" t="s">
        <v>446</v>
      </c>
      <c r="D396" t="s">
        <v>998</v>
      </c>
      <c r="E396">
        <v>0</v>
      </c>
      <c r="F396" t="s">
        <v>986</v>
      </c>
      <c r="G396" t="s">
        <v>987</v>
      </c>
      <c r="H396" t="s">
        <v>1679</v>
      </c>
      <c r="I396" t="s">
        <v>987</v>
      </c>
      <c r="J396" t="s">
        <v>987</v>
      </c>
      <c r="K396" t="b">
        <v>1</v>
      </c>
      <c r="L396" t="b">
        <v>0</v>
      </c>
      <c r="M396" t="s">
        <v>987</v>
      </c>
      <c r="N396" t="s">
        <v>989</v>
      </c>
      <c r="O396" t="s">
        <v>1068</v>
      </c>
      <c r="P396" t="s">
        <v>1680</v>
      </c>
      <c r="Q396" t="s">
        <v>1681</v>
      </c>
    </row>
    <row r="397" spans="1:17">
      <c r="A397" t="s">
        <v>44</v>
      </c>
      <c r="B397" t="s">
        <v>1698</v>
      </c>
      <c r="C397" t="s">
        <v>446</v>
      </c>
      <c r="D397" t="s">
        <v>1000</v>
      </c>
      <c r="E397">
        <v>0</v>
      </c>
      <c r="F397" t="s">
        <v>986</v>
      </c>
      <c r="G397" t="s">
        <v>987</v>
      </c>
      <c r="H397" t="s">
        <v>1679</v>
      </c>
      <c r="I397" t="s">
        <v>987</v>
      </c>
      <c r="J397" t="s">
        <v>987</v>
      </c>
      <c r="K397" t="b">
        <v>1</v>
      </c>
      <c r="L397" t="b">
        <v>0</v>
      </c>
      <c r="M397" t="s">
        <v>987</v>
      </c>
      <c r="N397" t="s">
        <v>989</v>
      </c>
      <c r="O397" t="s">
        <v>1068</v>
      </c>
      <c r="P397" t="s">
        <v>1680</v>
      </c>
      <c r="Q397" t="s">
        <v>1681</v>
      </c>
    </row>
    <row r="398" spans="1:17">
      <c r="A398" t="s">
        <v>44</v>
      </c>
      <c r="B398" t="s">
        <v>1699</v>
      </c>
      <c r="C398" t="s">
        <v>446</v>
      </c>
      <c r="D398" t="s">
        <v>1002</v>
      </c>
      <c r="E398">
        <v>0</v>
      </c>
      <c r="F398" t="s">
        <v>986</v>
      </c>
      <c r="G398" t="s">
        <v>987</v>
      </c>
      <c r="H398" t="s">
        <v>1679</v>
      </c>
      <c r="I398" t="s">
        <v>987</v>
      </c>
      <c r="J398" t="s">
        <v>987</v>
      </c>
      <c r="K398" t="b">
        <v>1</v>
      </c>
      <c r="L398" t="b">
        <v>0</v>
      </c>
      <c r="M398" t="s">
        <v>987</v>
      </c>
      <c r="N398" t="s">
        <v>989</v>
      </c>
      <c r="O398" t="s">
        <v>1068</v>
      </c>
      <c r="P398" t="s">
        <v>1680</v>
      </c>
      <c r="Q398" t="s">
        <v>1681</v>
      </c>
    </row>
    <row r="399" spans="1:17">
      <c r="A399" t="s">
        <v>44</v>
      </c>
      <c r="B399" t="s">
        <v>1700</v>
      </c>
      <c r="C399" t="s">
        <v>446</v>
      </c>
      <c r="D399" t="s">
        <v>1004</v>
      </c>
      <c r="E399">
        <v>0</v>
      </c>
      <c r="F399" t="s">
        <v>986</v>
      </c>
      <c r="G399" t="s">
        <v>987</v>
      </c>
      <c r="H399" t="s">
        <v>1679</v>
      </c>
      <c r="I399" t="s">
        <v>987</v>
      </c>
      <c r="J399" t="s">
        <v>987</v>
      </c>
      <c r="K399" t="b">
        <v>1</v>
      </c>
      <c r="L399" t="b">
        <v>0</v>
      </c>
      <c r="M399" t="s">
        <v>987</v>
      </c>
      <c r="N399" t="s">
        <v>989</v>
      </c>
      <c r="O399" t="s">
        <v>1068</v>
      </c>
      <c r="P399" t="s">
        <v>1680</v>
      </c>
      <c r="Q399" t="s">
        <v>1681</v>
      </c>
    </row>
    <row r="400" spans="1:17">
      <c r="A400" t="s">
        <v>44</v>
      </c>
      <c r="B400" t="s">
        <v>1701</v>
      </c>
      <c r="C400" t="s">
        <v>446</v>
      </c>
      <c r="D400" t="s">
        <v>1006</v>
      </c>
      <c r="E400">
        <v>0</v>
      </c>
      <c r="F400" t="s">
        <v>986</v>
      </c>
      <c r="G400" t="s">
        <v>987</v>
      </c>
      <c r="H400" t="s">
        <v>1679</v>
      </c>
      <c r="I400" t="s">
        <v>987</v>
      </c>
      <c r="J400" t="s">
        <v>987</v>
      </c>
      <c r="K400" t="b">
        <v>1</v>
      </c>
      <c r="L400" t="b">
        <v>0</v>
      </c>
      <c r="M400" t="s">
        <v>987</v>
      </c>
      <c r="N400" t="s">
        <v>989</v>
      </c>
      <c r="O400" t="s">
        <v>1068</v>
      </c>
      <c r="P400" t="s">
        <v>1680</v>
      </c>
      <c r="Q400" t="s">
        <v>1681</v>
      </c>
    </row>
    <row r="401" spans="1:17">
      <c r="A401" t="s">
        <v>44</v>
      </c>
      <c r="B401" t="s">
        <v>1702</v>
      </c>
      <c r="C401" t="s">
        <v>446</v>
      </c>
      <c r="D401" t="s">
        <v>1008</v>
      </c>
      <c r="E401">
        <v>0</v>
      </c>
      <c r="F401" t="s">
        <v>986</v>
      </c>
      <c r="G401" t="s">
        <v>987</v>
      </c>
      <c r="H401" t="s">
        <v>1679</v>
      </c>
      <c r="I401" t="s">
        <v>987</v>
      </c>
      <c r="J401" t="s">
        <v>987</v>
      </c>
      <c r="K401" t="b">
        <v>1</v>
      </c>
      <c r="L401" t="b">
        <v>0</v>
      </c>
      <c r="M401" t="s">
        <v>987</v>
      </c>
      <c r="N401" t="s">
        <v>989</v>
      </c>
      <c r="O401" t="s">
        <v>1068</v>
      </c>
      <c r="P401" t="s">
        <v>1680</v>
      </c>
      <c r="Q401" t="s">
        <v>1681</v>
      </c>
    </row>
    <row r="402" spans="1:17">
      <c r="A402" t="s">
        <v>44</v>
      </c>
      <c r="B402" t="s">
        <v>1703</v>
      </c>
      <c r="C402" t="s">
        <v>446</v>
      </c>
      <c r="D402" t="s">
        <v>1010</v>
      </c>
      <c r="E402">
        <v>0</v>
      </c>
      <c r="F402" t="s">
        <v>986</v>
      </c>
      <c r="G402" t="s">
        <v>987</v>
      </c>
      <c r="H402" t="s">
        <v>1679</v>
      </c>
      <c r="I402" t="s">
        <v>987</v>
      </c>
      <c r="J402" t="s">
        <v>987</v>
      </c>
      <c r="K402" t="b">
        <v>1</v>
      </c>
      <c r="L402" t="b">
        <v>0</v>
      </c>
      <c r="M402" t="s">
        <v>987</v>
      </c>
      <c r="N402" t="s">
        <v>989</v>
      </c>
      <c r="O402" t="s">
        <v>1068</v>
      </c>
      <c r="P402" t="s">
        <v>1680</v>
      </c>
      <c r="Q402" t="s">
        <v>1681</v>
      </c>
    </row>
    <row r="403" spans="1:17">
      <c r="A403" t="s">
        <v>44</v>
      </c>
      <c r="B403" t="s">
        <v>1704</v>
      </c>
      <c r="C403" t="s">
        <v>446</v>
      </c>
      <c r="D403" t="s">
        <v>1012</v>
      </c>
      <c r="E403">
        <v>0</v>
      </c>
      <c r="F403" t="s">
        <v>986</v>
      </c>
      <c r="G403" t="s">
        <v>987</v>
      </c>
      <c r="H403" t="s">
        <v>1679</v>
      </c>
      <c r="I403" t="s">
        <v>987</v>
      </c>
      <c r="J403" t="s">
        <v>987</v>
      </c>
      <c r="K403" t="b">
        <v>1</v>
      </c>
      <c r="L403" t="b">
        <v>0</v>
      </c>
      <c r="M403" t="s">
        <v>987</v>
      </c>
      <c r="N403" t="s">
        <v>989</v>
      </c>
      <c r="O403" t="s">
        <v>1068</v>
      </c>
      <c r="P403" t="s">
        <v>1680</v>
      </c>
      <c r="Q403" t="s">
        <v>1681</v>
      </c>
    </row>
    <row r="404" spans="1:17">
      <c r="A404" t="s">
        <v>44</v>
      </c>
      <c r="B404" t="s">
        <v>1705</v>
      </c>
      <c r="C404" t="s">
        <v>446</v>
      </c>
      <c r="D404" t="s">
        <v>1014</v>
      </c>
      <c r="E404">
        <v>0</v>
      </c>
      <c r="F404" t="s">
        <v>986</v>
      </c>
      <c r="G404" t="s">
        <v>987</v>
      </c>
      <c r="H404" t="s">
        <v>1679</v>
      </c>
      <c r="I404" t="s">
        <v>987</v>
      </c>
      <c r="J404" t="s">
        <v>987</v>
      </c>
      <c r="K404" t="b">
        <v>1</v>
      </c>
      <c r="L404" t="b">
        <v>0</v>
      </c>
      <c r="M404" t="s">
        <v>987</v>
      </c>
      <c r="N404" t="s">
        <v>989</v>
      </c>
      <c r="O404" t="s">
        <v>1068</v>
      </c>
      <c r="P404" t="s">
        <v>1680</v>
      </c>
      <c r="Q404" t="s">
        <v>1681</v>
      </c>
    </row>
    <row r="405" spans="1:17">
      <c r="A405" t="s">
        <v>44</v>
      </c>
      <c r="B405" t="s">
        <v>1706</v>
      </c>
      <c r="C405" t="s">
        <v>446</v>
      </c>
      <c r="D405" t="s">
        <v>1016</v>
      </c>
      <c r="E405">
        <v>0</v>
      </c>
      <c r="F405" t="s">
        <v>986</v>
      </c>
      <c r="G405" t="s">
        <v>987</v>
      </c>
      <c r="H405" t="s">
        <v>1679</v>
      </c>
      <c r="I405" t="s">
        <v>987</v>
      </c>
      <c r="J405" t="s">
        <v>987</v>
      </c>
      <c r="K405" t="b">
        <v>1</v>
      </c>
      <c r="L405" t="b">
        <v>0</v>
      </c>
      <c r="M405" t="s">
        <v>987</v>
      </c>
      <c r="N405" t="s">
        <v>989</v>
      </c>
      <c r="O405" t="s">
        <v>1068</v>
      </c>
      <c r="P405" t="s">
        <v>1680</v>
      </c>
      <c r="Q405" t="s">
        <v>1681</v>
      </c>
    </row>
    <row r="406" spans="1:17">
      <c r="A406" t="s">
        <v>44</v>
      </c>
      <c r="B406" t="s">
        <v>1678</v>
      </c>
      <c r="C406" t="s">
        <v>1707</v>
      </c>
      <c r="D406" t="s">
        <v>985</v>
      </c>
      <c r="E406">
        <v>8161.5029999999997</v>
      </c>
      <c r="F406" t="s">
        <v>1708</v>
      </c>
      <c r="G406" t="s">
        <v>1709</v>
      </c>
      <c r="H406" t="s">
        <v>1679</v>
      </c>
      <c r="I406" t="s">
        <v>1020</v>
      </c>
      <c r="J406" t="s">
        <v>987</v>
      </c>
      <c r="K406" t="b">
        <v>1</v>
      </c>
      <c r="L406" t="b">
        <v>0</v>
      </c>
      <c r="M406" t="s">
        <v>987</v>
      </c>
      <c r="N406" t="s">
        <v>1710</v>
      </c>
      <c r="O406" t="s">
        <v>1151</v>
      </c>
      <c r="P406" t="s">
        <v>1711</v>
      </c>
      <c r="Q406" t="s">
        <v>1712</v>
      </c>
    </row>
    <row r="407" spans="1:17">
      <c r="A407" t="s">
        <v>44</v>
      </c>
      <c r="B407" t="s">
        <v>1682</v>
      </c>
      <c r="C407" t="s">
        <v>1707</v>
      </c>
      <c r="D407" t="s">
        <v>994</v>
      </c>
      <c r="E407">
        <v>8187.3010000000004</v>
      </c>
      <c r="F407" t="s">
        <v>1708</v>
      </c>
      <c r="G407" t="s">
        <v>1709</v>
      </c>
      <c r="H407" t="s">
        <v>1679</v>
      </c>
      <c r="I407" t="s">
        <v>1026</v>
      </c>
      <c r="J407" t="s">
        <v>987</v>
      </c>
      <c r="K407" t="b">
        <v>1</v>
      </c>
      <c r="L407" t="b">
        <v>0</v>
      </c>
      <c r="M407" t="s">
        <v>987</v>
      </c>
      <c r="N407" t="s">
        <v>1710</v>
      </c>
      <c r="O407" t="s">
        <v>1151</v>
      </c>
      <c r="P407" t="s">
        <v>1711</v>
      </c>
      <c r="Q407" t="s">
        <v>1712</v>
      </c>
    </row>
    <row r="408" spans="1:17">
      <c r="A408" t="s">
        <v>44</v>
      </c>
      <c r="B408" t="s">
        <v>1683</v>
      </c>
      <c r="C408" t="s">
        <v>1707</v>
      </c>
      <c r="D408" t="s">
        <v>996</v>
      </c>
      <c r="E408">
        <v>8541.6679999999997</v>
      </c>
      <c r="F408" t="s">
        <v>1708</v>
      </c>
      <c r="G408" t="s">
        <v>1709</v>
      </c>
      <c r="H408" t="s">
        <v>1679</v>
      </c>
      <c r="I408" t="s">
        <v>1029</v>
      </c>
      <c r="J408" t="s">
        <v>987</v>
      </c>
      <c r="K408" t="b">
        <v>1</v>
      </c>
      <c r="L408" t="b">
        <v>0</v>
      </c>
      <c r="M408" t="s">
        <v>987</v>
      </c>
      <c r="N408" t="s">
        <v>1710</v>
      </c>
      <c r="O408" t="s">
        <v>1151</v>
      </c>
      <c r="P408" t="s">
        <v>1711</v>
      </c>
      <c r="Q408" t="s">
        <v>1712</v>
      </c>
    </row>
    <row r="409" spans="1:17">
      <c r="A409" t="s">
        <v>44</v>
      </c>
      <c r="B409" t="s">
        <v>1684</v>
      </c>
      <c r="C409" t="s">
        <v>1707</v>
      </c>
      <c r="D409" t="s">
        <v>998</v>
      </c>
      <c r="E409">
        <v>8832.8250000000007</v>
      </c>
      <c r="F409" t="s">
        <v>1708</v>
      </c>
      <c r="G409" t="s">
        <v>1709</v>
      </c>
      <c r="H409" t="s">
        <v>1679</v>
      </c>
      <c r="I409" t="s">
        <v>987</v>
      </c>
      <c r="J409" t="s">
        <v>987</v>
      </c>
      <c r="K409" t="b">
        <v>1</v>
      </c>
      <c r="L409" t="b">
        <v>0</v>
      </c>
      <c r="M409" t="s">
        <v>987</v>
      </c>
      <c r="N409" t="s">
        <v>1710</v>
      </c>
      <c r="O409" t="s">
        <v>1151</v>
      </c>
      <c r="P409" t="s">
        <v>1711</v>
      </c>
      <c r="Q409" t="s">
        <v>1712</v>
      </c>
    </row>
    <row r="410" spans="1:17">
      <c r="A410" t="s">
        <v>44</v>
      </c>
      <c r="B410" t="s">
        <v>1685</v>
      </c>
      <c r="C410" t="s">
        <v>1707</v>
      </c>
      <c r="D410" t="s">
        <v>1000</v>
      </c>
      <c r="E410">
        <v>9370.44</v>
      </c>
      <c r="F410" t="s">
        <v>1708</v>
      </c>
      <c r="G410" t="s">
        <v>1709</v>
      </c>
      <c r="H410" t="s">
        <v>1679</v>
      </c>
      <c r="I410" t="s">
        <v>1036</v>
      </c>
      <c r="J410" t="s">
        <v>987</v>
      </c>
      <c r="K410" t="b">
        <v>1</v>
      </c>
      <c r="L410" t="b">
        <v>0</v>
      </c>
      <c r="M410" t="s">
        <v>987</v>
      </c>
      <c r="N410" t="s">
        <v>1710</v>
      </c>
      <c r="O410" t="s">
        <v>1151</v>
      </c>
      <c r="P410" t="s">
        <v>1711</v>
      </c>
      <c r="Q410" t="s">
        <v>1712</v>
      </c>
    </row>
    <row r="411" spans="1:17">
      <c r="A411" t="s">
        <v>44</v>
      </c>
      <c r="B411" t="s">
        <v>1686</v>
      </c>
      <c r="C411" t="s">
        <v>1707</v>
      </c>
      <c r="D411" t="s">
        <v>1002</v>
      </c>
      <c r="E411">
        <v>9559.31</v>
      </c>
      <c r="F411" t="s">
        <v>1708</v>
      </c>
      <c r="G411" t="s">
        <v>1709</v>
      </c>
      <c r="H411" t="s">
        <v>1679</v>
      </c>
      <c r="I411" t="s">
        <v>1039</v>
      </c>
      <c r="J411" t="s">
        <v>987</v>
      </c>
      <c r="K411" t="b">
        <v>1</v>
      </c>
      <c r="L411" t="b">
        <v>0</v>
      </c>
      <c r="M411" t="s">
        <v>987</v>
      </c>
      <c r="N411" t="s">
        <v>1710</v>
      </c>
      <c r="O411" t="s">
        <v>1151</v>
      </c>
      <c r="P411" t="s">
        <v>1711</v>
      </c>
      <c r="Q411" t="s">
        <v>1712</v>
      </c>
    </row>
    <row r="412" spans="1:17">
      <c r="A412" t="s">
        <v>44</v>
      </c>
      <c r="B412" t="s">
        <v>1687</v>
      </c>
      <c r="C412" t="s">
        <v>1707</v>
      </c>
      <c r="D412" t="s">
        <v>1004</v>
      </c>
      <c r="E412">
        <v>9824.7029999999995</v>
      </c>
      <c r="F412" t="s">
        <v>1708</v>
      </c>
      <c r="G412" t="s">
        <v>1709</v>
      </c>
      <c r="H412" t="s">
        <v>1679</v>
      </c>
      <c r="I412" t="s">
        <v>1042</v>
      </c>
      <c r="J412" t="s">
        <v>987</v>
      </c>
      <c r="K412" t="b">
        <v>1</v>
      </c>
      <c r="L412" t="b">
        <v>0</v>
      </c>
      <c r="M412" t="s">
        <v>987</v>
      </c>
      <c r="N412" t="s">
        <v>1710</v>
      </c>
      <c r="O412" t="s">
        <v>1151</v>
      </c>
      <c r="P412" t="s">
        <v>1711</v>
      </c>
      <c r="Q412" t="s">
        <v>1712</v>
      </c>
    </row>
    <row r="413" spans="1:17">
      <c r="A413" t="s">
        <v>44</v>
      </c>
      <c r="B413" t="s">
        <v>1688</v>
      </c>
      <c r="C413" t="s">
        <v>1707</v>
      </c>
      <c r="D413" t="s">
        <v>1006</v>
      </c>
      <c r="E413">
        <v>10246.513000000001</v>
      </c>
      <c r="F413" t="s">
        <v>1708</v>
      </c>
      <c r="G413" t="s">
        <v>1709</v>
      </c>
      <c r="H413" t="s">
        <v>1679</v>
      </c>
      <c r="I413" t="s">
        <v>987</v>
      </c>
      <c r="J413" t="s">
        <v>987</v>
      </c>
      <c r="K413" t="b">
        <v>1</v>
      </c>
      <c r="L413" t="b">
        <v>0</v>
      </c>
      <c r="M413" t="s">
        <v>987</v>
      </c>
      <c r="N413" t="s">
        <v>1710</v>
      </c>
      <c r="O413" t="s">
        <v>1151</v>
      </c>
      <c r="P413" t="s">
        <v>1711</v>
      </c>
      <c r="Q413" t="s">
        <v>1712</v>
      </c>
    </row>
    <row r="414" spans="1:17">
      <c r="A414" t="s">
        <v>44</v>
      </c>
      <c r="B414" t="s">
        <v>1689</v>
      </c>
      <c r="C414" t="s">
        <v>1707</v>
      </c>
      <c r="D414" t="s">
        <v>1008</v>
      </c>
      <c r="E414">
        <v>10542.800999999999</v>
      </c>
      <c r="F414" t="s">
        <v>1708</v>
      </c>
      <c r="G414" t="s">
        <v>1709</v>
      </c>
      <c r="H414" t="s">
        <v>1679</v>
      </c>
      <c r="I414" t="s">
        <v>1048</v>
      </c>
      <c r="J414" t="s">
        <v>987</v>
      </c>
      <c r="K414" t="b">
        <v>1</v>
      </c>
      <c r="L414" t="b">
        <v>0</v>
      </c>
      <c r="M414" t="s">
        <v>987</v>
      </c>
      <c r="N414" t="s">
        <v>1710</v>
      </c>
      <c r="O414" t="s">
        <v>1151</v>
      </c>
      <c r="P414" t="s">
        <v>1711</v>
      </c>
      <c r="Q414" t="s">
        <v>1712</v>
      </c>
    </row>
    <row r="415" spans="1:17">
      <c r="A415" t="s">
        <v>44</v>
      </c>
      <c r="B415" t="s">
        <v>1690</v>
      </c>
      <c r="C415" t="s">
        <v>1707</v>
      </c>
      <c r="D415" t="s">
        <v>1010</v>
      </c>
      <c r="E415">
        <v>11079.165999999999</v>
      </c>
      <c r="F415" t="s">
        <v>1708</v>
      </c>
      <c r="G415" t="s">
        <v>1709</v>
      </c>
      <c r="H415" t="s">
        <v>1679</v>
      </c>
      <c r="I415" t="s">
        <v>1039</v>
      </c>
      <c r="J415" t="s">
        <v>987</v>
      </c>
      <c r="K415" t="b">
        <v>1</v>
      </c>
      <c r="L415" t="b">
        <v>0</v>
      </c>
      <c r="M415" t="s">
        <v>987</v>
      </c>
      <c r="N415" t="s">
        <v>1710</v>
      </c>
      <c r="O415" t="s">
        <v>1151</v>
      </c>
      <c r="P415" t="s">
        <v>1711</v>
      </c>
      <c r="Q415" t="s">
        <v>1712</v>
      </c>
    </row>
    <row r="416" spans="1:17">
      <c r="A416" t="s">
        <v>44</v>
      </c>
      <c r="B416" t="s">
        <v>1691</v>
      </c>
      <c r="C416" t="s">
        <v>1707</v>
      </c>
      <c r="D416" t="s">
        <v>1012</v>
      </c>
      <c r="E416">
        <v>11510.307000000001</v>
      </c>
      <c r="F416" t="s">
        <v>1708</v>
      </c>
      <c r="G416" t="s">
        <v>1709</v>
      </c>
      <c r="H416" t="s">
        <v>1679</v>
      </c>
      <c r="I416" t="s">
        <v>1042</v>
      </c>
      <c r="J416" t="s">
        <v>987</v>
      </c>
      <c r="K416" t="b">
        <v>1</v>
      </c>
      <c r="L416" t="b">
        <v>0</v>
      </c>
      <c r="M416" t="s">
        <v>987</v>
      </c>
      <c r="N416" t="s">
        <v>1710</v>
      </c>
      <c r="O416" t="s">
        <v>1151</v>
      </c>
      <c r="P416" t="s">
        <v>1711</v>
      </c>
      <c r="Q416" t="s">
        <v>1712</v>
      </c>
    </row>
    <row r="417" spans="1:17">
      <c r="A417" t="s">
        <v>44</v>
      </c>
      <c r="B417" t="s">
        <v>1692</v>
      </c>
      <c r="C417" t="s">
        <v>1707</v>
      </c>
      <c r="D417" t="s">
        <v>1014</v>
      </c>
      <c r="E417">
        <v>12050.762000000001</v>
      </c>
      <c r="F417" t="s">
        <v>1708</v>
      </c>
      <c r="G417" t="s">
        <v>1709</v>
      </c>
      <c r="H417" t="s">
        <v>1679</v>
      </c>
      <c r="I417" t="s">
        <v>987</v>
      </c>
      <c r="J417" t="s">
        <v>987</v>
      </c>
      <c r="K417" t="b">
        <v>1</v>
      </c>
      <c r="L417" t="b">
        <v>0</v>
      </c>
      <c r="M417" t="s">
        <v>987</v>
      </c>
      <c r="N417" t="s">
        <v>1710</v>
      </c>
      <c r="O417" t="s">
        <v>1151</v>
      </c>
      <c r="P417" t="s">
        <v>1711</v>
      </c>
      <c r="Q417" t="s">
        <v>1712</v>
      </c>
    </row>
    <row r="418" spans="1:17">
      <c r="A418" t="s">
        <v>44</v>
      </c>
      <c r="B418" t="s">
        <v>1693</v>
      </c>
      <c r="C418" t="s">
        <v>1707</v>
      </c>
      <c r="D418" t="s">
        <v>1016</v>
      </c>
      <c r="E418">
        <v>12249.757</v>
      </c>
      <c r="F418" t="s">
        <v>1708</v>
      </c>
      <c r="G418" t="s">
        <v>1709</v>
      </c>
      <c r="H418" t="s">
        <v>1679</v>
      </c>
      <c r="I418" t="s">
        <v>1048</v>
      </c>
      <c r="J418" t="s">
        <v>987</v>
      </c>
      <c r="K418" t="b">
        <v>1</v>
      </c>
      <c r="L418" t="b">
        <v>0</v>
      </c>
      <c r="M418" t="s">
        <v>987</v>
      </c>
      <c r="N418" t="s">
        <v>1710</v>
      </c>
      <c r="O418" t="s">
        <v>1151</v>
      </c>
      <c r="P418" t="s">
        <v>1711</v>
      </c>
      <c r="Q418" t="s">
        <v>1712</v>
      </c>
    </row>
    <row r="419" spans="1:17">
      <c r="A419" t="s">
        <v>44</v>
      </c>
      <c r="B419" t="s">
        <v>1120</v>
      </c>
      <c r="C419" t="s">
        <v>1713</v>
      </c>
      <c r="D419" t="s">
        <v>985</v>
      </c>
      <c r="E419">
        <v>1714.317</v>
      </c>
      <c r="F419" t="s">
        <v>1708</v>
      </c>
      <c r="G419" t="s">
        <v>1714</v>
      </c>
      <c r="H419" t="s">
        <v>1679</v>
      </c>
      <c r="I419" t="s">
        <v>1020</v>
      </c>
      <c r="J419" t="s">
        <v>987</v>
      </c>
      <c r="K419" t="b">
        <v>1</v>
      </c>
      <c r="L419" t="b">
        <v>0</v>
      </c>
      <c r="M419" t="s">
        <v>987</v>
      </c>
      <c r="N419" t="s">
        <v>1710</v>
      </c>
      <c r="O419" t="s">
        <v>1151</v>
      </c>
      <c r="P419" t="s">
        <v>1711</v>
      </c>
      <c r="Q419" t="s">
        <v>1715</v>
      </c>
    </row>
    <row r="420" spans="1:17">
      <c r="A420" t="s">
        <v>44</v>
      </c>
      <c r="B420" t="s">
        <v>1122</v>
      </c>
      <c r="C420" t="s">
        <v>1713</v>
      </c>
      <c r="D420" t="s">
        <v>994</v>
      </c>
      <c r="E420">
        <v>1827.183</v>
      </c>
      <c r="F420" t="s">
        <v>1708</v>
      </c>
      <c r="G420" t="s">
        <v>1714</v>
      </c>
      <c r="H420" t="s">
        <v>1679</v>
      </c>
      <c r="I420" t="s">
        <v>1026</v>
      </c>
      <c r="J420" t="s">
        <v>987</v>
      </c>
      <c r="K420" t="b">
        <v>1</v>
      </c>
      <c r="L420" t="b">
        <v>0</v>
      </c>
      <c r="M420" t="s">
        <v>987</v>
      </c>
      <c r="N420" t="s">
        <v>1710</v>
      </c>
      <c r="O420" t="s">
        <v>1151</v>
      </c>
      <c r="P420" t="s">
        <v>1711</v>
      </c>
      <c r="Q420" t="s">
        <v>1715</v>
      </c>
    </row>
    <row r="421" spans="1:17">
      <c r="A421" t="s">
        <v>44</v>
      </c>
      <c r="B421" t="s">
        <v>1124</v>
      </c>
      <c r="C421" t="s">
        <v>1713</v>
      </c>
      <c r="D421" t="s">
        <v>996</v>
      </c>
      <c r="E421">
        <v>1916.394</v>
      </c>
      <c r="F421" t="s">
        <v>1708</v>
      </c>
      <c r="G421" t="s">
        <v>1714</v>
      </c>
      <c r="H421" t="s">
        <v>1679</v>
      </c>
      <c r="I421" t="s">
        <v>1029</v>
      </c>
      <c r="J421" t="s">
        <v>987</v>
      </c>
      <c r="K421" t="b">
        <v>1</v>
      </c>
      <c r="L421" t="b">
        <v>0</v>
      </c>
      <c r="M421" t="s">
        <v>987</v>
      </c>
      <c r="N421" t="s">
        <v>1710</v>
      </c>
      <c r="O421" t="s">
        <v>1151</v>
      </c>
      <c r="P421" t="s">
        <v>1711</v>
      </c>
      <c r="Q421" t="s">
        <v>1715</v>
      </c>
    </row>
    <row r="422" spans="1:17">
      <c r="A422" t="s">
        <v>44</v>
      </c>
      <c r="B422" t="s">
        <v>1126</v>
      </c>
      <c r="C422" t="s">
        <v>1713</v>
      </c>
      <c r="D422" t="s">
        <v>998</v>
      </c>
      <c r="E422">
        <v>1496.1089999999999</v>
      </c>
      <c r="F422" t="s">
        <v>1708</v>
      </c>
      <c r="G422" t="s">
        <v>1714</v>
      </c>
      <c r="H422" t="s">
        <v>1679</v>
      </c>
      <c r="I422" t="s">
        <v>987</v>
      </c>
      <c r="J422" t="s">
        <v>987</v>
      </c>
      <c r="K422" t="b">
        <v>1</v>
      </c>
      <c r="L422" t="b">
        <v>0</v>
      </c>
      <c r="M422" t="s">
        <v>987</v>
      </c>
      <c r="N422" t="s">
        <v>1710</v>
      </c>
      <c r="O422" t="s">
        <v>1151</v>
      </c>
      <c r="P422" t="s">
        <v>1711</v>
      </c>
      <c r="Q422" t="s">
        <v>1715</v>
      </c>
    </row>
    <row r="423" spans="1:17">
      <c r="A423" t="s">
        <v>44</v>
      </c>
      <c r="B423" t="s">
        <v>1129</v>
      </c>
      <c r="C423" t="s">
        <v>1713</v>
      </c>
      <c r="D423" t="s">
        <v>1000</v>
      </c>
      <c r="E423">
        <v>2632.5340000000001</v>
      </c>
      <c r="F423" t="s">
        <v>1708</v>
      </c>
      <c r="G423" t="s">
        <v>1714</v>
      </c>
      <c r="H423" t="s">
        <v>1679</v>
      </c>
      <c r="I423" t="s">
        <v>1036</v>
      </c>
      <c r="J423" t="s">
        <v>987</v>
      </c>
      <c r="K423" t="b">
        <v>1</v>
      </c>
      <c r="L423" t="b">
        <v>0</v>
      </c>
      <c r="M423" t="s">
        <v>987</v>
      </c>
      <c r="N423" t="s">
        <v>1710</v>
      </c>
      <c r="O423" t="s">
        <v>1151</v>
      </c>
      <c r="P423" t="s">
        <v>1711</v>
      </c>
      <c r="Q423" t="s">
        <v>1715</v>
      </c>
    </row>
    <row r="424" spans="1:17">
      <c r="A424" t="s">
        <v>44</v>
      </c>
      <c r="B424" t="s">
        <v>1131</v>
      </c>
      <c r="C424" t="s">
        <v>1713</v>
      </c>
      <c r="D424" t="s">
        <v>1002</v>
      </c>
      <c r="E424">
        <v>2602.837</v>
      </c>
      <c r="F424" t="s">
        <v>1708</v>
      </c>
      <c r="G424" t="s">
        <v>1714</v>
      </c>
      <c r="H424" t="s">
        <v>1679</v>
      </c>
      <c r="I424" t="s">
        <v>1039</v>
      </c>
      <c r="J424" t="s">
        <v>987</v>
      </c>
      <c r="K424" t="b">
        <v>1</v>
      </c>
      <c r="L424" t="b">
        <v>0</v>
      </c>
      <c r="M424" t="s">
        <v>987</v>
      </c>
      <c r="N424" t="s">
        <v>1710</v>
      </c>
      <c r="O424" t="s">
        <v>1151</v>
      </c>
      <c r="P424" t="s">
        <v>1711</v>
      </c>
      <c r="Q424" t="s">
        <v>1715</v>
      </c>
    </row>
    <row r="425" spans="1:17">
      <c r="A425" t="s">
        <v>44</v>
      </c>
      <c r="B425" t="s">
        <v>1133</v>
      </c>
      <c r="C425" t="s">
        <v>1713</v>
      </c>
      <c r="D425" t="s">
        <v>1004</v>
      </c>
      <c r="E425">
        <v>2909.4769999999999</v>
      </c>
      <c r="F425" t="s">
        <v>1708</v>
      </c>
      <c r="G425" t="s">
        <v>1714</v>
      </c>
      <c r="H425" t="s">
        <v>1679</v>
      </c>
      <c r="I425" t="s">
        <v>1042</v>
      </c>
      <c r="J425" t="s">
        <v>987</v>
      </c>
      <c r="K425" t="b">
        <v>1</v>
      </c>
      <c r="L425" t="b">
        <v>0</v>
      </c>
      <c r="M425" t="s">
        <v>987</v>
      </c>
      <c r="N425" t="s">
        <v>1710</v>
      </c>
      <c r="O425" t="s">
        <v>1151</v>
      </c>
      <c r="P425" t="s">
        <v>1711</v>
      </c>
      <c r="Q425" t="s">
        <v>1715</v>
      </c>
    </row>
    <row r="426" spans="1:17">
      <c r="A426" t="s">
        <v>44</v>
      </c>
      <c r="B426" t="s">
        <v>1135</v>
      </c>
      <c r="C426" t="s">
        <v>1713</v>
      </c>
      <c r="D426" t="s">
        <v>1006</v>
      </c>
      <c r="E426">
        <v>2272.7660000000001</v>
      </c>
      <c r="F426" t="s">
        <v>1708</v>
      </c>
      <c r="G426" t="s">
        <v>1714</v>
      </c>
      <c r="H426" t="s">
        <v>1679</v>
      </c>
      <c r="I426" t="s">
        <v>987</v>
      </c>
      <c r="J426" t="s">
        <v>987</v>
      </c>
      <c r="K426" t="b">
        <v>1</v>
      </c>
      <c r="L426" t="b">
        <v>0</v>
      </c>
      <c r="M426" t="s">
        <v>987</v>
      </c>
      <c r="N426" t="s">
        <v>1710</v>
      </c>
      <c r="O426" t="s">
        <v>1151</v>
      </c>
      <c r="P426" t="s">
        <v>1711</v>
      </c>
      <c r="Q426" t="s">
        <v>1715</v>
      </c>
    </row>
    <row r="427" spans="1:17">
      <c r="A427" t="s">
        <v>44</v>
      </c>
      <c r="B427" t="s">
        <v>1138</v>
      </c>
      <c r="C427" t="s">
        <v>1713</v>
      </c>
      <c r="D427" t="s">
        <v>1008</v>
      </c>
      <c r="E427">
        <v>3346.9989999999998</v>
      </c>
      <c r="F427" t="s">
        <v>1708</v>
      </c>
      <c r="G427" t="s">
        <v>1714</v>
      </c>
      <c r="H427" t="s">
        <v>1679</v>
      </c>
      <c r="I427" t="s">
        <v>1048</v>
      </c>
      <c r="J427" t="s">
        <v>987</v>
      </c>
      <c r="K427" t="b">
        <v>1</v>
      </c>
      <c r="L427" t="b">
        <v>0</v>
      </c>
      <c r="M427" t="s">
        <v>987</v>
      </c>
      <c r="N427" t="s">
        <v>1710</v>
      </c>
      <c r="O427" t="s">
        <v>1151</v>
      </c>
      <c r="P427" t="s">
        <v>1711</v>
      </c>
      <c r="Q427" t="s">
        <v>1715</v>
      </c>
    </row>
    <row r="428" spans="1:17">
      <c r="A428" t="s">
        <v>44</v>
      </c>
      <c r="B428" t="s">
        <v>1140</v>
      </c>
      <c r="C428" t="s">
        <v>1713</v>
      </c>
      <c r="D428" t="s">
        <v>1010</v>
      </c>
      <c r="E428">
        <v>3774.694</v>
      </c>
      <c r="F428" t="s">
        <v>1708</v>
      </c>
      <c r="G428" t="s">
        <v>1714</v>
      </c>
      <c r="H428" t="s">
        <v>1679</v>
      </c>
      <c r="I428" t="s">
        <v>1039</v>
      </c>
      <c r="J428" t="s">
        <v>987</v>
      </c>
      <c r="K428" t="b">
        <v>1</v>
      </c>
      <c r="L428" t="b">
        <v>0</v>
      </c>
      <c r="M428" t="s">
        <v>987</v>
      </c>
      <c r="N428" t="s">
        <v>1710</v>
      </c>
      <c r="O428" t="s">
        <v>1151</v>
      </c>
      <c r="P428" t="s">
        <v>1711</v>
      </c>
      <c r="Q428" t="s">
        <v>1715</v>
      </c>
    </row>
    <row r="429" spans="1:17">
      <c r="A429" t="s">
        <v>44</v>
      </c>
      <c r="B429" t="s">
        <v>1142</v>
      </c>
      <c r="C429" t="s">
        <v>1713</v>
      </c>
      <c r="D429" t="s">
        <v>1012</v>
      </c>
      <c r="E429">
        <v>3248.2469999999998</v>
      </c>
      <c r="F429" t="s">
        <v>1708</v>
      </c>
      <c r="G429" t="s">
        <v>1714</v>
      </c>
      <c r="H429" t="s">
        <v>1679</v>
      </c>
      <c r="I429" t="s">
        <v>1042</v>
      </c>
      <c r="J429" t="s">
        <v>987</v>
      </c>
      <c r="K429" t="b">
        <v>1</v>
      </c>
      <c r="L429" t="b">
        <v>0</v>
      </c>
      <c r="M429" t="s">
        <v>987</v>
      </c>
      <c r="N429" t="s">
        <v>1710</v>
      </c>
      <c r="O429" t="s">
        <v>1151</v>
      </c>
      <c r="P429" t="s">
        <v>1711</v>
      </c>
      <c r="Q429" t="s">
        <v>1715</v>
      </c>
    </row>
    <row r="430" spans="1:17">
      <c r="A430" t="s">
        <v>44</v>
      </c>
      <c r="B430" t="s">
        <v>1144</v>
      </c>
      <c r="C430" t="s">
        <v>1713</v>
      </c>
      <c r="D430" t="s">
        <v>1014</v>
      </c>
      <c r="E430">
        <v>2956.663</v>
      </c>
      <c r="F430" t="s">
        <v>1708</v>
      </c>
      <c r="G430" t="s">
        <v>1714</v>
      </c>
      <c r="H430" t="s">
        <v>1679</v>
      </c>
      <c r="I430" t="s">
        <v>987</v>
      </c>
      <c r="J430" t="s">
        <v>987</v>
      </c>
      <c r="K430" t="b">
        <v>1</v>
      </c>
      <c r="L430" t="b">
        <v>0</v>
      </c>
      <c r="M430" t="s">
        <v>987</v>
      </c>
      <c r="N430" t="s">
        <v>1710</v>
      </c>
      <c r="O430" t="s">
        <v>1151</v>
      </c>
      <c r="P430" t="s">
        <v>1711</v>
      </c>
      <c r="Q430" t="s">
        <v>1715</v>
      </c>
    </row>
    <row r="431" spans="1:17">
      <c r="A431" t="s">
        <v>44</v>
      </c>
      <c r="B431" t="s">
        <v>1147</v>
      </c>
      <c r="C431" t="s">
        <v>1713</v>
      </c>
      <c r="D431" t="s">
        <v>1016</v>
      </c>
      <c r="E431">
        <v>3956.9969999999998</v>
      </c>
      <c r="F431" t="s">
        <v>1708</v>
      </c>
      <c r="G431" t="s">
        <v>1714</v>
      </c>
      <c r="H431" t="s">
        <v>1679</v>
      </c>
      <c r="I431" t="s">
        <v>1048</v>
      </c>
      <c r="J431" t="s">
        <v>987</v>
      </c>
      <c r="K431" t="b">
        <v>1</v>
      </c>
      <c r="L431" t="b">
        <v>0</v>
      </c>
      <c r="M431" t="s">
        <v>987</v>
      </c>
      <c r="N431" t="s">
        <v>1710</v>
      </c>
      <c r="O431" t="s">
        <v>1151</v>
      </c>
      <c r="P431" t="s">
        <v>1711</v>
      </c>
      <c r="Q431" t="s">
        <v>1715</v>
      </c>
    </row>
    <row r="432" spans="1:17">
      <c r="A432" t="s">
        <v>42</v>
      </c>
      <c r="B432" t="s">
        <v>1149</v>
      </c>
      <c r="C432" t="s">
        <v>274</v>
      </c>
      <c r="D432" t="s">
        <v>985</v>
      </c>
      <c r="E432">
        <v>-465.02699999999936</v>
      </c>
      <c r="F432" t="s">
        <v>1708</v>
      </c>
      <c r="G432" t="s">
        <v>1714</v>
      </c>
      <c r="H432" t="s">
        <v>988</v>
      </c>
      <c r="I432" t="s">
        <v>1020</v>
      </c>
      <c r="J432" t="s">
        <v>987</v>
      </c>
      <c r="K432" t="b">
        <v>1</v>
      </c>
      <c r="L432" t="b">
        <v>0</v>
      </c>
      <c r="M432" t="s">
        <v>987</v>
      </c>
      <c r="N432" t="s">
        <v>1710</v>
      </c>
      <c r="O432" t="s">
        <v>1151</v>
      </c>
      <c r="P432" t="s">
        <v>1711</v>
      </c>
      <c r="Q432" t="s">
        <v>1716</v>
      </c>
    </row>
    <row r="433" spans="1:17">
      <c r="A433" t="s">
        <v>42</v>
      </c>
      <c r="B433" t="s">
        <v>1153</v>
      </c>
      <c r="C433" t="s">
        <v>274</v>
      </c>
      <c r="D433" t="s">
        <v>994</v>
      </c>
      <c r="E433">
        <v>-537.78300000000013</v>
      </c>
      <c r="F433" t="s">
        <v>1708</v>
      </c>
      <c r="G433" t="s">
        <v>1714</v>
      </c>
      <c r="H433" t="s">
        <v>988</v>
      </c>
      <c r="I433" t="s">
        <v>1026</v>
      </c>
      <c r="J433" t="s">
        <v>987</v>
      </c>
      <c r="K433" t="b">
        <v>1</v>
      </c>
      <c r="L433" t="b">
        <v>0</v>
      </c>
      <c r="M433" t="s">
        <v>987</v>
      </c>
      <c r="N433" t="s">
        <v>1710</v>
      </c>
      <c r="O433" t="s">
        <v>1151</v>
      </c>
      <c r="P433" t="s">
        <v>1711</v>
      </c>
      <c r="Q433" t="s">
        <v>1716</v>
      </c>
    </row>
    <row r="434" spans="1:17">
      <c r="A434" t="s">
        <v>42</v>
      </c>
      <c r="B434" t="s">
        <v>1155</v>
      </c>
      <c r="C434" t="s">
        <v>274</v>
      </c>
      <c r="D434" t="s">
        <v>996</v>
      </c>
      <c r="E434">
        <v>-468.07600000000002</v>
      </c>
      <c r="F434" t="s">
        <v>1708</v>
      </c>
      <c r="G434" t="s">
        <v>1714</v>
      </c>
      <c r="H434" t="s">
        <v>988</v>
      </c>
      <c r="I434" t="s">
        <v>1029</v>
      </c>
      <c r="J434" t="s">
        <v>987</v>
      </c>
      <c r="K434" t="b">
        <v>1</v>
      </c>
      <c r="L434" t="b">
        <v>0</v>
      </c>
      <c r="M434" t="s">
        <v>987</v>
      </c>
      <c r="N434" t="s">
        <v>1710</v>
      </c>
      <c r="O434" t="s">
        <v>1151</v>
      </c>
      <c r="P434" t="s">
        <v>1711</v>
      </c>
      <c r="Q434" t="s">
        <v>1716</v>
      </c>
    </row>
    <row r="435" spans="1:17">
      <c r="A435" t="s">
        <v>42</v>
      </c>
      <c r="B435" t="s">
        <v>1157</v>
      </c>
      <c r="C435" t="s">
        <v>274</v>
      </c>
      <c r="D435" t="s">
        <v>998</v>
      </c>
      <c r="E435">
        <v>2995.6769999999997</v>
      </c>
      <c r="F435" t="s">
        <v>1708</v>
      </c>
      <c r="G435" t="s">
        <v>1714</v>
      </c>
      <c r="H435" t="s">
        <v>988</v>
      </c>
      <c r="I435" t="s">
        <v>987</v>
      </c>
      <c r="J435" t="s">
        <v>987</v>
      </c>
      <c r="K435" t="b">
        <v>1</v>
      </c>
      <c r="L435" t="b">
        <v>0</v>
      </c>
      <c r="M435" t="s">
        <v>987</v>
      </c>
      <c r="N435" t="s">
        <v>1710</v>
      </c>
      <c r="O435" t="s">
        <v>1151</v>
      </c>
      <c r="P435" t="s">
        <v>1711</v>
      </c>
      <c r="Q435" t="s">
        <v>1716</v>
      </c>
    </row>
    <row r="436" spans="1:17">
      <c r="A436" t="s">
        <v>42</v>
      </c>
      <c r="B436" t="s">
        <v>1160</v>
      </c>
      <c r="C436" t="s">
        <v>274</v>
      </c>
      <c r="D436" t="s">
        <v>1000</v>
      </c>
      <c r="E436">
        <v>-316.78600000000006</v>
      </c>
      <c r="F436" t="s">
        <v>1708</v>
      </c>
      <c r="G436" t="s">
        <v>1714</v>
      </c>
      <c r="H436" t="s">
        <v>988</v>
      </c>
      <c r="I436" t="s">
        <v>1036</v>
      </c>
      <c r="J436" t="s">
        <v>987</v>
      </c>
      <c r="K436" t="b">
        <v>1</v>
      </c>
      <c r="L436" t="b">
        <v>0</v>
      </c>
      <c r="M436" t="s">
        <v>987</v>
      </c>
      <c r="N436" t="s">
        <v>1710</v>
      </c>
      <c r="O436" t="s">
        <v>1151</v>
      </c>
      <c r="P436" t="s">
        <v>1711</v>
      </c>
      <c r="Q436" t="s">
        <v>1716</v>
      </c>
    </row>
    <row r="437" spans="1:17">
      <c r="A437" t="s">
        <v>42</v>
      </c>
      <c r="B437" t="s">
        <v>1162</v>
      </c>
      <c r="C437" t="s">
        <v>274</v>
      </c>
      <c r="D437" t="s">
        <v>1002</v>
      </c>
      <c r="E437">
        <v>-345.76499999999942</v>
      </c>
      <c r="F437" t="s">
        <v>1708</v>
      </c>
      <c r="G437" t="s">
        <v>1714</v>
      </c>
      <c r="H437" t="s">
        <v>988</v>
      </c>
      <c r="I437" t="s">
        <v>1039</v>
      </c>
      <c r="J437" t="s">
        <v>987</v>
      </c>
      <c r="K437" t="b">
        <v>1</v>
      </c>
      <c r="L437" t="b">
        <v>0</v>
      </c>
      <c r="M437" t="s">
        <v>987</v>
      </c>
      <c r="N437" t="s">
        <v>1710</v>
      </c>
      <c r="O437" t="s">
        <v>1151</v>
      </c>
      <c r="P437" t="s">
        <v>1711</v>
      </c>
      <c r="Q437" t="s">
        <v>1716</v>
      </c>
    </row>
    <row r="438" spans="1:17">
      <c r="A438" t="s">
        <v>42</v>
      </c>
      <c r="B438" t="s">
        <v>1164</v>
      </c>
      <c r="C438" t="s">
        <v>274</v>
      </c>
      <c r="D438" t="s">
        <v>1004</v>
      </c>
      <c r="E438">
        <v>-336.43899999999985</v>
      </c>
      <c r="F438" t="s">
        <v>1708</v>
      </c>
      <c r="G438" t="s">
        <v>1714</v>
      </c>
      <c r="H438" t="s">
        <v>988</v>
      </c>
      <c r="I438" t="s">
        <v>1042</v>
      </c>
      <c r="J438" t="s">
        <v>987</v>
      </c>
      <c r="K438" t="b">
        <v>1</v>
      </c>
      <c r="L438" t="b">
        <v>0</v>
      </c>
      <c r="M438" t="s">
        <v>987</v>
      </c>
      <c r="N438" t="s">
        <v>1710</v>
      </c>
      <c r="O438" t="s">
        <v>1151</v>
      </c>
      <c r="P438" t="s">
        <v>1711</v>
      </c>
      <c r="Q438" t="s">
        <v>1716</v>
      </c>
    </row>
    <row r="439" spans="1:17">
      <c r="A439" t="s">
        <v>42</v>
      </c>
      <c r="B439" t="s">
        <v>1166</v>
      </c>
      <c r="C439" t="s">
        <v>274</v>
      </c>
      <c r="D439" t="s">
        <v>1006</v>
      </c>
      <c r="E439">
        <v>-374.13500000000113</v>
      </c>
      <c r="F439" t="s">
        <v>1708</v>
      </c>
      <c r="G439" t="s">
        <v>1714</v>
      </c>
      <c r="H439" t="s">
        <v>988</v>
      </c>
      <c r="I439" t="s">
        <v>987</v>
      </c>
      <c r="J439" t="s">
        <v>987</v>
      </c>
      <c r="K439" t="b">
        <v>1</v>
      </c>
      <c r="L439" t="b">
        <v>0</v>
      </c>
      <c r="M439" t="s">
        <v>987</v>
      </c>
      <c r="N439" t="s">
        <v>1710</v>
      </c>
      <c r="O439" t="s">
        <v>1151</v>
      </c>
      <c r="P439" t="s">
        <v>1711</v>
      </c>
      <c r="Q439" t="s">
        <v>1716</v>
      </c>
    </row>
    <row r="440" spans="1:17">
      <c r="A440" t="s">
        <v>42</v>
      </c>
      <c r="B440" t="s">
        <v>1169</v>
      </c>
      <c r="C440" t="s">
        <v>274</v>
      </c>
      <c r="D440" t="s">
        <v>1008</v>
      </c>
      <c r="E440">
        <v>-341.39499999999953</v>
      </c>
      <c r="F440" t="s">
        <v>1708</v>
      </c>
      <c r="G440" t="s">
        <v>1714</v>
      </c>
      <c r="H440" t="s">
        <v>988</v>
      </c>
      <c r="I440" t="s">
        <v>1048</v>
      </c>
      <c r="J440" t="s">
        <v>987</v>
      </c>
      <c r="K440" t="b">
        <v>1</v>
      </c>
      <c r="L440" t="b">
        <v>0</v>
      </c>
      <c r="M440" t="s">
        <v>987</v>
      </c>
      <c r="N440" t="s">
        <v>1710</v>
      </c>
      <c r="O440" t="s">
        <v>1151</v>
      </c>
      <c r="P440" t="s">
        <v>1711</v>
      </c>
      <c r="Q440" t="s">
        <v>1716</v>
      </c>
    </row>
    <row r="441" spans="1:17">
      <c r="A441" t="s">
        <v>42</v>
      </c>
      <c r="B441" t="s">
        <v>1171</v>
      </c>
      <c r="C441" t="s">
        <v>274</v>
      </c>
      <c r="D441" t="s">
        <v>1010</v>
      </c>
      <c r="E441">
        <v>-361.19999999999936</v>
      </c>
      <c r="F441" t="s">
        <v>1708</v>
      </c>
      <c r="G441" t="s">
        <v>1714</v>
      </c>
      <c r="H441" t="s">
        <v>988</v>
      </c>
      <c r="I441" t="s">
        <v>1039</v>
      </c>
      <c r="J441" t="s">
        <v>987</v>
      </c>
      <c r="K441" t="b">
        <v>1</v>
      </c>
      <c r="L441" t="b">
        <v>0</v>
      </c>
      <c r="M441" t="s">
        <v>987</v>
      </c>
      <c r="N441" t="s">
        <v>1710</v>
      </c>
      <c r="O441" t="s">
        <v>1151</v>
      </c>
      <c r="P441" t="s">
        <v>1711</v>
      </c>
      <c r="Q441" t="s">
        <v>1716</v>
      </c>
    </row>
    <row r="442" spans="1:17">
      <c r="A442" t="s">
        <v>42</v>
      </c>
      <c r="B442" t="s">
        <v>1173</v>
      </c>
      <c r="C442" t="s">
        <v>274</v>
      </c>
      <c r="D442" t="s">
        <v>1012</v>
      </c>
      <c r="E442">
        <v>-370.60500000000047</v>
      </c>
      <c r="F442" t="s">
        <v>1708</v>
      </c>
      <c r="G442" t="s">
        <v>1714</v>
      </c>
      <c r="H442" t="s">
        <v>988</v>
      </c>
      <c r="I442" t="s">
        <v>1042</v>
      </c>
      <c r="J442" t="s">
        <v>987</v>
      </c>
      <c r="K442" t="b">
        <v>1</v>
      </c>
      <c r="L442" t="b">
        <v>0</v>
      </c>
      <c r="M442" t="s">
        <v>987</v>
      </c>
      <c r="N442" t="s">
        <v>1710</v>
      </c>
      <c r="O442" t="s">
        <v>1151</v>
      </c>
      <c r="P442" t="s">
        <v>1711</v>
      </c>
      <c r="Q442" t="s">
        <v>1716</v>
      </c>
    </row>
    <row r="443" spans="1:17">
      <c r="A443" t="s">
        <v>42</v>
      </c>
      <c r="B443" t="s">
        <v>1175</v>
      </c>
      <c r="C443" t="s">
        <v>274</v>
      </c>
      <c r="D443" t="s">
        <v>1014</v>
      </c>
      <c r="E443">
        <v>-481.81900000000041</v>
      </c>
      <c r="F443" t="s">
        <v>1708</v>
      </c>
      <c r="G443" t="s">
        <v>1714</v>
      </c>
      <c r="H443" t="s">
        <v>988</v>
      </c>
      <c r="I443" t="s">
        <v>987</v>
      </c>
      <c r="J443" t="s">
        <v>987</v>
      </c>
      <c r="K443" t="b">
        <v>1</v>
      </c>
      <c r="L443" t="b">
        <v>0</v>
      </c>
      <c r="M443" t="s">
        <v>987</v>
      </c>
      <c r="N443" t="s">
        <v>1710</v>
      </c>
      <c r="O443" t="s">
        <v>1151</v>
      </c>
      <c r="P443" t="s">
        <v>1711</v>
      </c>
      <c r="Q443" t="s">
        <v>1716</v>
      </c>
    </row>
    <row r="444" spans="1:17">
      <c r="A444" t="s">
        <v>42</v>
      </c>
      <c r="B444" t="s">
        <v>1178</v>
      </c>
      <c r="C444" t="s">
        <v>274</v>
      </c>
      <c r="D444" t="s">
        <v>1016</v>
      </c>
      <c r="E444">
        <v>-504.0339999999992</v>
      </c>
      <c r="F444" t="s">
        <v>1708</v>
      </c>
      <c r="G444" t="s">
        <v>1714</v>
      </c>
      <c r="H444" t="s">
        <v>988</v>
      </c>
      <c r="I444" t="s">
        <v>1048</v>
      </c>
      <c r="J444" t="s">
        <v>987</v>
      </c>
      <c r="K444" t="b">
        <v>1</v>
      </c>
      <c r="L444" t="b">
        <v>0</v>
      </c>
      <c r="M444" t="s">
        <v>987</v>
      </c>
      <c r="N444" t="s">
        <v>1710</v>
      </c>
      <c r="O444" t="s">
        <v>1151</v>
      </c>
      <c r="P444" t="s">
        <v>1711</v>
      </c>
      <c r="Q444" t="s">
        <v>1716</v>
      </c>
    </row>
    <row r="445" spans="1:17">
      <c r="A445" t="s">
        <v>42</v>
      </c>
      <c r="B445" t="s">
        <v>1226</v>
      </c>
      <c r="C445" t="s">
        <v>281</v>
      </c>
      <c r="D445" t="s">
        <v>998</v>
      </c>
      <c r="E445">
        <v>-491.31200000000024</v>
      </c>
      <c r="F445" t="s">
        <v>1708</v>
      </c>
      <c r="G445" t="s">
        <v>1717</v>
      </c>
      <c r="H445" t="s">
        <v>988</v>
      </c>
      <c r="I445" t="s">
        <v>987</v>
      </c>
      <c r="J445" t="s">
        <v>987</v>
      </c>
      <c r="K445" t="b">
        <v>1</v>
      </c>
      <c r="L445" t="b">
        <v>1</v>
      </c>
      <c r="M445" t="s">
        <v>1718</v>
      </c>
      <c r="N445" t="s">
        <v>1710</v>
      </c>
      <c r="O445" t="s">
        <v>1151</v>
      </c>
      <c r="P445" t="s">
        <v>1711</v>
      </c>
      <c r="Q445" t="s">
        <v>1719</v>
      </c>
    </row>
    <row r="446" spans="1:17">
      <c r="A446" t="s">
        <v>42</v>
      </c>
      <c r="B446" t="s">
        <v>1235</v>
      </c>
      <c r="C446" t="s">
        <v>281</v>
      </c>
      <c r="D446" t="s">
        <v>1006</v>
      </c>
      <c r="E446">
        <v>-569.26400000000058</v>
      </c>
      <c r="F446" t="s">
        <v>1708</v>
      </c>
      <c r="G446" t="s">
        <v>1717</v>
      </c>
      <c r="H446" t="s">
        <v>988</v>
      </c>
      <c r="I446" t="s">
        <v>987</v>
      </c>
      <c r="J446" t="s">
        <v>987</v>
      </c>
      <c r="K446" t="b">
        <v>1</v>
      </c>
      <c r="L446" t="b">
        <v>0</v>
      </c>
      <c r="M446" t="s">
        <v>987</v>
      </c>
      <c r="N446" t="s">
        <v>1710</v>
      </c>
      <c r="O446" t="s">
        <v>1151</v>
      </c>
      <c r="P446" t="s">
        <v>1711</v>
      </c>
      <c r="Q446" t="s">
        <v>1719</v>
      </c>
    </row>
    <row r="447" spans="1:17">
      <c r="A447" t="s">
        <v>42</v>
      </c>
      <c r="B447" t="s">
        <v>1238</v>
      </c>
      <c r="C447" t="s">
        <v>281</v>
      </c>
      <c r="D447" t="s">
        <v>1008</v>
      </c>
      <c r="E447">
        <v>-302.54699999999957</v>
      </c>
      <c r="F447" t="s">
        <v>1708</v>
      </c>
      <c r="G447" t="s">
        <v>1717</v>
      </c>
      <c r="H447" t="s">
        <v>988</v>
      </c>
      <c r="I447" t="s">
        <v>1048</v>
      </c>
      <c r="J447" t="s">
        <v>987</v>
      </c>
      <c r="K447" t="b">
        <v>1</v>
      </c>
      <c r="L447" t="b">
        <v>0</v>
      </c>
      <c r="M447" t="s">
        <v>987</v>
      </c>
      <c r="N447" t="s">
        <v>1710</v>
      </c>
      <c r="O447" t="s">
        <v>1151</v>
      </c>
      <c r="P447" t="s">
        <v>1711</v>
      </c>
      <c r="Q447" t="s">
        <v>1719</v>
      </c>
    </row>
    <row r="448" spans="1:17">
      <c r="A448" t="s">
        <v>42</v>
      </c>
      <c r="B448" t="s">
        <v>1240</v>
      </c>
      <c r="C448" t="s">
        <v>281</v>
      </c>
      <c r="D448" t="s">
        <v>1010</v>
      </c>
      <c r="E448">
        <v>-469.91100000000051</v>
      </c>
      <c r="F448" t="s">
        <v>1708</v>
      </c>
      <c r="G448" t="s">
        <v>1717</v>
      </c>
      <c r="H448" t="s">
        <v>988</v>
      </c>
      <c r="I448" t="s">
        <v>1039</v>
      </c>
      <c r="J448" t="s">
        <v>987</v>
      </c>
      <c r="K448" t="b">
        <v>1</v>
      </c>
      <c r="L448" t="b">
        <v>0</v>
      </c>
      <c r="M448" t="s">
        <v>987</v>
      </c>
      <c r="N448" t="s">
        <v>1710</v>
      </c>
      <c r="O448" t="s">
        <v>1151</v>
      </c>
      <c r="P448" t="s">
        <v>1711</v>
      </c>
      <c r="Q448" t="s">
        <v>1719</v>
      </c>
    </row>
    <row r="449" spans="1:17">
      <c r="A449" t="s">
        <v>42</v>
      </c>
      <c r="B449" t="s">
        <v>1242</v>
      </c>
      <c r="C449" t="s">
        <v>281</v>
      </c>
      <c r="D449" t="s">
        <v>1012</v>
      </c>
      <c r="E449">
        <v>-516.78800000000001</v>
      </c>
      <c r="F449" t="s">
        <v>1708</v>
      </c>
      <c r="G449" t="s">
        <v>1717</v>
      </c>
      <c r="H449" t="s">
        <v>988</v>
      </c>
      <c r="I449" t="s">
        <v>1042</v>
      </c>
      <c r="J449" t="s">
        <v>987</v>
      </c>
      <c r="K449" t="b">
        <v>1</v>
      </c>
      <c r="L449" t="b">
        <v>0</v>
      </c>
      <c r="M449" t="s">
        <v>987</v>
      </c>
      <c r="N449" t="s">
        <v>1710</v>
      </c>
      <c r="O449" t="s">
        <v>1151</v>
      </c>
      <c r="P449" t="s">
        <v>1711</v>
      </c>
      <c r="Q449" t="s">
        <v>1719</v>
      </c>
    </row>
    <row r="450" spans="1:17">
      <c r="A450" t="s">
        <v>42</v>
      </c>
      <c r="B450" t="s">
        <v>1244</v>
      </c>
      <c r="C450" t="s">
        <v>281</v>
      </c>
      <c r="D450" t="s">
        <v>1014</v>
      </c>
      <c r="E450">
        <v>910.8580000000004</v>
      </c>
      <c r="F450" t="s">
        <v>1708</v>
      </c>
      <c r="G450" t="s">
        <v>1717</v>
      </c>
      <c r="H450" t="s">
        <v>988</v>
      </c>
      <c r="I450" t="s">
        <v>987</v>
      </c>
      <c r="J450" t="s">
        <v>987</v>
      </c>
      <c r="K450" t="b">
        <v>1</v>
      </c>
      <c r="L450" t="b">
        <v>0</v>
      </c>
      <c r="M450" t="s">
        <v>987</v>
      </c>
      <c r="N450" t="s">
        <v>1710</v>
      </c>
      <c r="O450" t="s">
        <v>1151</v>
      </c>
      <c r="P450" t="s">
        <v>1711</v>
      </c>
      <c r="Q450" t="s">
        <v>1719</v>
      </c>
    </row>
    <row r="451" spans="1:17">
      <c r="A451" t="s">
        <v>42</v>
      </c>
      <c r="B451" t="s">
        <v>1247</v>
      </c>
      <c r="C451" t="s">
        <v>281</v>
      </c>
      <c r="D451" t="s">
        <v>1016</v>
      </c>
      <c r="E451">
        <v>-1315.3720000000003</v>
      </c>
      <c r="F451" t="s">
        <v>1708</v>
      </c>
      <c r="G451" t="s">
        <v>1717</v>
      </c>
      <c r="H451" t="s">
        <v>988</v>
      </c>
      <c r="I451" t="s">
        <v>1048</v>
      </c>
      <c r="J451" t="s">
        <v>987</v>
      </c>
      <c r="K451" t="b">
        <v>1</v>
      </c>
      <c r="L451" t="b">
        <v>0</v>
      </c>
      <c r="M451" t="s">
        <v>987</v>
      </c>
      <c r="N451" t="s">
        <v>1710</v>
      </c>
      <c r="O451" t="s">
        <v>1151</v>
      </c>
      <c r="P451" t="s">
        <v>1711</v>
      </c>
      <c r="Q451" t="s">
        <v>1719</v>
      </c>
    </row>
    <row r="452" spans="1:17">
      <c r="A452" t="s">
        <v>42</v>
      </c>
      <c r="B452" t="s">
        <v>1472</v>
      </c>
      <c r="C452" t="s">
        <v>348</v>
      </c>
      <c r="D452" t="s">
        <v>985</v>
      </c>
      <c r="E452">
        <v>11167.055</v>
      </c>
      <c r="F452" t="s">
        <v>1708</v>
      </c>
      <c r="G452" t="s">
        <v>1720</v>
      </c>
      <c r="H452" t="s">
        <v>1264</v>
      </c>
      <c r="I452" t="s">
        <v>987</v>
      </c>
      <c r="J452" t="s">
        <v>987</v>
      </c>
      <c r="K452" t="b">
        <v>1</v>
      </c>
      <c r="L452" t="b">
        <v>0</v>
      </c>
      <c r="M452" t="s">
        <v>987</v>
      </c>
      <c r="N452" t="s">
        <v>1710</v>
      </c>
      <c r="O452" t="s">
        <v>1151</v>
      </c>
      <c r="P452" t="s">
        <v>1711</v>
      </c>
      <c r="Q452" t="s">
        <v>1721</v>
      </c>
    </row>
    <row r="453" spans="1:17">
      <c r="A453" t="s">
        <v>42</v>
      </c>
      <c r="B453" t="s">
        <v>1473</v>
      </c>
      <c r="C453" t="s">
        <v>348</v>
      </c>
      <c r="D453" t="s">
        <v>994</v>
      </c>
      <c r="E453">
        <v>9593.9869999999937</v>
      </c>
      <c r="F453" t="s">
        <v>1708</v>
      </c>
      <c r="G453" t="s">
        <v>1720</v>
      </c>
      <c r="H453" t="s">
        <v>1264</v>
      </c>
      <c r="I453" t="s">
        <v>987</v>
      </c>
      <c r="J453" t="s">
        <v>987</v>
      </c>
      <c r="K453" t="b">
        <v>1</v>
      </c>
      <c r="L453" t="b">
        <v>0</v>
      </c>
      <c r="M453" t="s">
        <v>987</v>
      </c>
      <c r="N453" t="s">
        <v>1710</v>
      </c>
      <c r="O453" t="s">
        <v>1151</v>
      </c>
      <c r="P453" t="s">
        <v>1711</v>
      </c>
      <c r="Q453" t="s">
        <v>1721</v>
      </c>
    </row>
    <row r="454" spans="1:17">
      <c r="A454" t="s">
        <v>42</v>
      </c>
      <c r="B454" t="s">
        <v>1474</v>
      </c>
      <c r="C454" t="s">
        <v>348</v>
      </c>
      <c r="D454" t="s">
        <v>996</v>
      </c>
      <c r="E454">
        <v>9646.5169999999998</v>
      </c>
      <c r="F454" t="s">
        <v>1708</v>
      </c>
      <c r="G454" t="s">
        <v>1720</v>
      </c>
      <c r="H454" t="s">
        <v>1264</v>
      </c>
      <c r="I454" t="s">
        <v>987</v>
      </c>
      <c r="J454" t="s">
        <v>987</v>
      </c>
      <c r="K454" t="b">
        <v>1</v>
      </c>
      <c r="L454" t="b">
        <v>0</v>
      </c>
      <c r="M454" t="s">
        <v>987</v>
      </c>
      <c r="N454" t="s">
        <v>1710</v>
      </c>
      <c r="O454" t="s">
        <v>1151</v>
      </c>
      <c r="P454" t="s">
        <v>1711</v>
      </c>
      <c r="Q454" t="s">
        <v>1721</v>
      </c>
    </row>
    <row r="455" spans="1:17">
      <c r="A455" t="s">
        <v>42</v>
      </c>
      <c r="B455" t="s">
        <v>1475</v>
      </c>
      <c r="C455" t="s">
        <v>348</v>
      </c>
      <c r="D455" t="s">
        <v>998</v>
      </c>
      <c r="E455">
        <v>8002.0350000000035</v>
      </c>
      <c r="F455" t="s">
        <v>1708</v>
      </c>
      <c r="G455" t="s">
        <v>1720</v>
      </c>
      <c r="H455" t="s">
        <v>1264</v>
      </c>
      <c r="I455" t="s">
        <v>987</v>
      </c>
      <c r="J455" t="s">
        <v>987</v>
      </c>
      <c r="K455" t="b">
        <v>1</v>
      </c>
      <c r="L455" t="b">
        <v>0</v>
      </c>
      <c r="M455" t="s">
        <v>987</v>
      </c>
      <c r="N455" t="s">
        <v>1710</v>
      </c>
      <c r="O455" t="s">
        <v>1151</v>
      </c>
      <c r="P455" t="s">
        <v>1711</v>
      </c>
      <c r="Q455" t="s">
        <v>1721</v>
      </c>
    </row>
    <row r="456" spans="1:17">
      <c r="A456" t="s">
        <v>42</v>
      </c>
      <c r="B456" t="s">
        <v>1476</v>
      </c>
      <c r="C456" t="s">
        <v>348</v>
      </c>
      <c r="D456" t="s">
        <v>1000</v>
      </c>
      <c r="E456">
        <v>13963.629000000001</v>
      </c>
      <c r="F456" t="s">
        <v>1708</v>
      </c>
      <c r="G456" t="s">
        <v>1720</v>
      </c>
      <c r="H456" t="s">
        <v>1264</v>
      </c>
      <c r="I456" t="s">
        <v>987</v>
      </c>
      <c r="J456" t="s">
        <v>987</v>
      </c>
      <c r="K456" t="b">
        <v>1</v>
      </c>
      <c r="L456" t="b">
        <v>0</v>
      </c>
      <c r="M456" t="s">
        <v>987</v>
      </c>
      <c r="N456" t="s">
        <v>1710</v>
      </c>
      <c r="O456" t="s">
        <v>1151</v>
      </c>
      <c r="P456" t="s">
        <v>1711</v>
      </c>
      <c r="Q456" t="s">
        <v>1721</v>
      </c>
    </row>
    <row r="457" spans="1:17">
      <c r="A457" t="s">
        <v>42</v>
      </c>
      <c r="B457" t="s">
        <v>1477</v>
      </c>
      <c r="C457" t="s">
        <v>348</v>
      </c>
      <c r="D457" t="s">
        <v>1002</v>
      </c>
      <c r="E457">
        <v>11181.433000000005</v>
      </c>
      <c r="F457" t="s">
        <v>1708</v>
      </c>
      <c r="G457" t="s">
        <v>1720</v>
      </c>
      <c r="H457" t="s">
        <v>1264</v>
      </c>
      <c r="I457" t="s">
        <v>987</v>
      </c>
      <c r="J457" t="s">
        <v>987</v>
      </c>
      <c r="K457" t="b">
        <v>1</v>
      </c>
      <c r="L457" t="b">
        <v>0</v>
      </c>
      <c r="M457" t="s">
        <v>987</v>
      </c>
      <c r="N457" t="s">
        <v>1710</v>
      </c>
      <c r="O457" t="s">
        <v>1151</v>
      </c>
      <c r="P457" t="s">
        <v>1711</v>
      </c>
      <c r="Q457" t="s">
        <v>1721</v>
      </c>
    </row>
    <row r="458" spans="1:17">
      <c r="A458" t="s">
        <v>42</v>
      </c>
      <c r="B458" t="s">
        <v>1478</v>
      </c>
      <c r="C458" t="s">
        <v>348</v>
      </c>
      <c r="D458" t="s">
        <v>1004</v>
      </c>
      <c r="E458">
        <v>11082.221000000005</v>
      </c>
      <c r="F458" t="s">
        <v>1708</v>
      </c>
      <c r="G458" t="s">
        <v>1720</v>
      </c>
      <c r="H458" t="s">
        <v>1264</v>
      </c>
      <c r="I458" t="s">
        <v>987</v>
      </c>
      <c r="J458" t="s">
        <v>987</v>
      </c>
      <c r="K458" t="b">
        <v>1</v>
      </c>
      <c r="L458" t="b">
        <v>0</v>
      </c>
      <c r="M458" t="s">
        <v>987</v>
      </c>
      <c r="N458" t="s">
        <v>1710</v>
      </c>
      <c r="O458" t="s">
        <v>1151</v>
      </c>
      <c r="P458" t="s">
        <v>1711</v>
      </c>
      <c r="Q458" t="s">
        <v>1721</v>
      </c>
    </row>
    <row r="459" spans="1:17">
      <c r="A459" t="s">
        <v>42</v>
      </c>
      <c r="B459" t="s">
        <v>1479</v>
      </c>
      <c r="C459" t="s">
        <v>348</v>
      </c>
      <c r="D459" t="s">
        <v>1006</v>
      </c>
      <c r="E459">
        <v>7473.8439999999973</v>
      </c>
      <c r="F459" t="s">
        <v>1708</v>
      </c>
      <c r="G459" t="s">
        <v>1720</v>
      </c>
      <c r="H459" t="s">
        <v>1264</v>
      </c>
      <c r="I459" t="s">
        <v>987</v>
      </c>
      <c r="J459" t="s">
        <v>987</v>
      </c>
      <c r="K459" t="b">
        <v>1</v>
      </c>
      <c r="L459" t="b">
        <v>0</v>
      </c>
      <c r="M459" t="s">
        <v>987</v>
      </c>
      <c r="N459" t="s">
        <v>1710</v>
      </c>
      <c r="O459" t="s">
        <v>1151</v>
      </c>
      <c r="P459" t="s">
        <v>1711</v>
      </c>
      <c r="Q459" t="s">
        <v>1721</v>
      </c>
    </row>
    <row r="460" spans="1:17">
      <c r="A460" t="s">
        <v>42</v>
      </c>
      <c r="B460" t="s">
        <v>1368</v>
      </c>
      <c r="C460" t="s">
        <v>338</v>
      </c>
      <c r="D460" t="s">
        <v>1008</v>
      </c>
      <c r="E460">
        <v>27512.965</v>
      </c>
      <c r="F460" t="s">
        <v>1708</v>
      </c>
      <c r="G460" t="s">
        <v>1720</v>
      </c>
      <c r="H460" t="s">
        <v>1264</v>
      </c>
      <c r="I460" t="s">
        <v>987</v>
      </c>
      <c r="J460" t="s">
        <v>987</v>
      </c>
      <c r="K460" t="b">
        <v>1</v>
      </c>
      <c r="L460" t="b">
        <v>0</v>
      </c>
      <c r="M460" t="s">
        <v>987</v>
      </c>
      <c r="N460" t="s">
        <v>1710</v>
      </c>
      <c r="O460" t="s">
        <v>1151</v>
      </c>
      <c r="P460" t="s">
        <v>1711</v>
      </c>
      <c r="Q460" t="s">
        <v>1721</v>
      </c>
    </row>
    <row r="461" spans="1:17">
      <c r="A461" t="s">
        <v>42</v>
      </c>
      <c r="B461" t="s">
        <v>1371</v>
      </c>
      <c r="C461" t="s">
        <v>338</v>
      </c>
      <c r="D461" t="s">
        <v>1010</v>
      </c>
      <c r="E461">
        <v>29627.881999999983</v>
      </c>
      <c r="F461" t="s">
        <v>1708</v>
      </c>
      <c r="G461" t="s">
        <v>1720</v>
      </c>
      <c r="H461" t="s">
        <v>1264</v>
      </c>
      <c r="I461" t="s">
        <v>987</v>
      </c>
      <c r="J461" t="s">
        <v>987</v>
      </c>
      <c r="K461" t="b">
        <v>1</v>
      </c>
      <c r="L461" t="b">
        <v>0</v>
      </c>
      <c r="M461" t="s">
        <v>987</v>
      </c>
      <c r="N461" t="s">
        <v>1710</v>
      </c>
      <c r="O461" t="s">
        <v>1151</v>
      </c>
      <c r="P461" t="s">
        <v>1711</v>
      </c>
      <c r="Q461" t="s">
        <v>1721</v>
      </c>
    </row>
    <row r="462" spans="1:17">
      <c r="A462" t="s">
        <v>42</v>
      </c>
      <c r="B462" t="s">
        <v>1373</v>
      </c>
      <c r="C462" t="s">
        <v>338</v>
      </c>
      <c r="D462" t="s">
        <v>1012</v>
      </c>
      <c r="E462">
        <v>29125.295000000006</v>
      </c>
      <c r="F462" t="s">
        <v>1708</v>
      </c>
      <c r="G462" t="s">
        <v>1720</v>
      </c>
      <c r="H462" t="s">
        <v>1264</v>
      </c>
      <c r="I462" t="s">
        <v>987</v>
      </c>
      <c r="J462" t="s">
        <v>987</v>
      </c>
      <c r="K462" t="b">
        <v>1</v>
      </c>
      <c r="L462" t="b">
        <v>0</v>
      </c>
      <c r="M462" t="s">
        <v>987</v>
      </c>
      <c r="N462" t="s">
        <v>1710</v>
      </c>
      <c r="O462" t="s">
        <v>1151</v>
      </c>
      <c r="P462" t="s">
        <v>1711</v>
      </c>
      <c r="Q462" t="s">
        <v>1721</v>
      </c>
    </row>
    <row r="463" spans="1:17">
      <c r="A463" t="s">
        <v>42</v>
      </c>
      <c r="B463" t="s">
        <v>1375</v>
      </c>
      <c r="C463" t="s">
        <v>338</v>
      </c>
      <c r="D463" t="s">
        <v>1014</v>
      </c>
      <c r="E463">
        <v>28037.932000000004</v>
      </c>
      <c r="F463" t="s">
        <v>1708</v>
      </c>
      <c r="G463" t="s">
        <v>1720</v>
      </c>
      <c r="H463" t="s">
        <v>1264</v>
      </c>
      <c r="I463" t="s">
        <v>987</v>
      </c>
      <c r="J463" t="s">
        <v>987</v>
      </c>
      <c r="K463" t="b">
        <v>1</v>
      </c>
      <c r="L463" t="b">
        <v>0</v>
      </c>
      <c r="M463" t="s">
        <v>987</v>
      </c>
      <c r="N463" t="s">
        <v>1710</v>
      </c>
      <c r="O463" t="s">
        <v>1151</v>
      </c>
      <c r="P463" t="s">
        <v>1711</v>
      </c>
      <c r="Q463" t="s">
        <v>1721</v>
      </c>
    </row>
    <row r="464" spans="1:17">
      <c r="A464" t="s">
        <v>42</v>
      </c>
      <c r="B464" t="s">
        <v>1379</v>
      </c>
      <c r="C464" t="s">
        <v>338</v>
      </c>
      <c r="D464" t="s">
        <v>1016</v>
      </c>
      <c r="E464">
        <v>39455.027000000009</v>
      </c>
      <c r="F464" t="s">
        <v>1708</v>
      </c>
      <c r="G464" t="s">
        <v>1720</v>
      </c>
      <c r="H464" t="s">
        <v>1264</v>
      </c>
      <c r="I464" t="s">
        <v>987</v>
      </c>
      <c r="J464" t="s">
        <v>987</v>
      </c>
      <c r="K464" t="b">
        <v>1</v>
      </c>
      <c r="L464" t="b">
        <v>0</v>
      </c>
      <c r="M464" t="s">
        <v>987</v>
      </c>
      <c r="N464" t="s">
        <v>1710</v>
      </c>
      <c r="O464" t="s">
        <v>1151</v>
      </c>
      <c r="P464" t="s">
        <v>1711</v>
      </c>
      <c r="Q464" t="s">
        <v>1721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221</vt:i4>
      </vt:variant>
    </vt:vector>
  </HeadingPairs>
  <TitlesOfParts>
    <vt:vector size="24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2019-08-15T14:34:41Z</dcterms:created>
  <dcterms:modified xsi:type="dcterms:W3CDTF">2026-05-21T00:42:26Z</dcterms:modified>
</cp:coreProperties>
</file>